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Gabriela Gomez\Desktop\LSHTM\Vaccine\"/>
    </mc:Choice>
  </mc:AlternateContent>
  <xr:revisionPtr revIDLastSave="0" documentId="13_ncr:1_{9A4A60A0-3541-42B5-84A1-0D900F7CCC0D}" xr6:coauthVersionLast="43" xr6:coauthVersionMax="43" xr10:uidLastSave="{00000000-0000-0000-0000-000000000000}"/>
  <bookViews>
    <workbookView xWindow="-108" yWindow="-108" windowWidth="23256" windowHeight="12576" xr2:uid="{2266602C-5A42-4D59-A962-18F1A2D01792}"/>
  </bookViews>
  <sheets>
    <sheet name="Cost model" sheetId="1" r:id="rId1"/>
    <sheet name="Budget" sheetId="2" r:id="rId2"/>
    <sheet name="India - TB" sheetId="3" r:id="rId3"/>
    <sheet name="India - vacc" sheetId="5" r:id="rId4"/>
    <sheet name="China - TB&amp;vacc" sheetId="8" r:id="rId5"/>
    <sheet name="Russia - TB&amp;Vacc" sheetId="10" r:id="rId6"/>
  </sheets>
  <externalReferences>
    <externalReference r:id="rId7"/>
    <externalReference r:id="rId8"/>
  </externalReferences>
  <definedNames>
    <definedName name="_xlnm._FilterDatabase" localSheetId="1" hidden="1">Budget!$A$1:$E$7</definedName>
    <definedName name="_xlnm._FilterDatabase" localSheetId="0" hidden="1">'Cost model'!$A$1:$K$25</definedName>
    <definedName name="adhere_support">#REF!</definedName>
    <definedName name="births">'[1]Vaccine costs (routine)'!$H$3</definedName>
    <definedName name="buffer_stock">'[1]Vaccine costs (routine)'!$C$7</definedName>
    <definedName name="data_mgmt">#REF!</definedName>
    <definedName name="days">#REF!</definedName>
    <definedName name="deflator">'[1]DS Treatment'!$S$6</definedName>
    <definedName name="diagnoses_2015">#REF!</definedName>
    <definedName name="diagnoses_MDR_2015">#REF!</definedName>
    <definedName name="districts">'India - vacc'!$B$28</definedName>
    <definedName name="exch_rate">'[1]Vaccine costs (routine)'!$H$10</definedName>
    <definedName name="exch_rate_CH">'China - TB&amp;vacc'!$C$1</definedName>
    <definedName name="facility_ART_pop">#REF!</definedName>
    <definedName name="facility_MDR_pop">#REF!</definedName>
    <definedName name="hr_increment">#REF!</definedName>
    <definedName name="inh_rpt">#REF!</definedName>
    <definedName name="ipt">#REF!</definedName>
    <definedName name="life_exp_ART">#REF!</definedName>
    <definedName name="m_e">#REF!</definedName>
    <definedName name="m_health">#REF!</definedName>
    <definedName name="mdr_decentr_diag_mon">#REF!</definedName>
    <definedName name="mdr_decentr_drug_mgmt">#REF!</definedName>
    <definedName name="mins_per_day">'[2]HR Option A '!$L$29</definedName>
    <definedName name="mobile_unit">#REF!</definedName>
    <definedName name="months">#REF!</definedName>
    <definedName name="out_tracer">#REF!</definedName>
    <definedName name="PHC_share">'[2]Nurse training'!$G$47</definedName>
    <definedName name="pop_2015">#REF!</definedName>
    <definedName name="pop_screened_2015">#REF!</definedName>
    <definedName name="preg_women">'[1]Vaccine costs (routine)'!$H$5</definedName>
    <definedName name="screen_detect_2015">#REF!</definedName>
    <definedName name="simulations">#REF!</definedName>
    <definedName name="simulations1">#REF!</definedName>
    <definedName name="states">'India - vacc'!$B$27</definedName>
    <definedName name="support_log">#REF!</definedName>
    <definedName name="surv_infants">'[1]Vaccine costs (routine)'!$H$4</definedName>
    <definedName name="train_adhere_support">#REF!</definedName>
    <definedName name="train_counsel">#REF!</definedName>
    <definedName name="train_counsel_days">#REF!</definedName>
    <definedName name="train_counsel_year">#REF!</definedName>
    <definedName name="train_data_mgmt">#REF!</definedName>
    <definedName name="train_m_e">#REF!</definedName>
    <definedName name="train_m_health">#REF!</definedName>
    <definedName name="train_nurse">#REF!</definedName>
    <definedName name="train_nurse_days">#REF!</definedName>
    <definedName name="train_nurse_year">#REF!</definedName>
    <definedName name="tst">#REF!</definedName>
    <definedName name="VAT">#REF!</definedName>
    <definedName name="visits_diag_mon">#REF!</definedName>
    <definedName name="visits_drugs">#REF!</definedName>
    <definedName name="work_days">'[2]HR Option A '!$B$21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6" i="8" l="1"/>
  <c r="F7" i="8" l="1"/>
  <c r="D7" i="8"/>
  <c r="H9" i="1"/>
  <c r="AR213" i="8"/>
  <c r="AS213" i="8" s="1"/>
  <c r="AT213" i="8" s="1"/>
  <c r="F6" i="8"/>
  <c r="E6" i="8"/>
  <c r="AT215" i="8"/>
  <c r="AT214" i="8"/>
  <c r="AR214" i="8"/>
  <c r="AN225" i="8"/>
  <c r="AN227" i="8"/>
  <c r="AN221" i="8"/>
  <c r="AN219" i="8"/>
  <c r="AN214" i="8"/>
  <c r="AM219" i="8"/>
  <c r="AM218" i="8"/>
  <c r="AM217" i="8"/>
  <c r="AM216" i="8"/>
  <c r="AM215" i="8"/>
  <c r="AM214" i="8"/>
  <c r="F9" i="1"/>
  <c r="G9" i="1"/>
  <c r="E7" i="8"/>
  <c r="C7" i="8"/>
  <c r="C6" i="8"/>
  <c r="D129" i="8"/>
  <c r="D130" i="8"/>
  <c r="D128" i="8"/>
  <c r="B130" i="8"/>
  <c r="B129" i="8"/>
  <c r="B128" i="8"/>
  <c r="M248" i="8"/>
  <c r="M249" i="8"/>
  <c r="K249" i="8"/>
  <c r="K248" i="8"/>
  <c r="J249" i="8"/>
  <c r="J248" i="8"/>
  <c r="K82" i="8" l="1"/>
  <c r="L82" i="8" s="1"/>
  <c r="M230" i="8"/>
  <c r="O230" i="8"/>
  <c r="O229" i="8"/>
  <c r="M229" i="8"/>
  <c r="F6" i="1"/>
  <c r="H6" i="1" s="1"/>
  <c r="D4" i="8"/>
  <c r="I54" i="8"/>
  <c r="C4" i="8"/>
  <c r="F4" i="1"/>
  <c r="I3" i="1"/>
  <c r="G2" i="1"/>
  <c r="G3" i="1" s="1"/>
  <c r="H2" i="1"/>
  <c r="H3" i="1" s="1"/>
  <c r="G6" i="1" l="1"/>
  <c r="F2" i="1"/>
  <c r="F3" i="1" s="1"/>
  <c r="I77" i="8"/>
  <c r="J76" i="8" l="1"/>
  <c r="I76" i="8"/>
  <c r="AS214" i="8"/>
  <c r="AR215" i="8"/>
  <c r="AS215" i="8" s="1"/>
  <c r="D5" i="8" l="1"/>
  <c r="D68" i="10"/>
  <c r="G11" i="1"/>
  <c r="G10" i="1"/>
  <c r="V9" i="5"/>
  <c r="V8" i="5"/>
  <c r="U9" i="5"/>
  <c r="U8" i="5"/>
  <c r="P8" i="5"/>
  <c r="Q8" i="5" s="1"/>
  <c r="G25" i="1" l="1"/>
  <c r="H25" i="1"/>
  <c r="H24" i="1"/>
  <c r="G24" i="1"/>
  <c r="E51" i="10"/>
  <c r="F51" i="10"/>
  <c r="F50" i="10"/>
  <c r="E50" i="10"/>
  <c r="D51" i="10"/>
  <c r="H22" i="1"/>
  <c r="G22" i="1"/>
  <c r="E47" i="10"/>
  <c r="H11" i="10"/>
  <c r="E31" i="10"/>
  <c r="E49" i="10" s="1"/>
  <c r="G23" i="1" s="1"/>
  <c r="CI125" i="3"/>
  <c r="CI126" i="3" s="1"/>
  <c r="C68" i="10"/>
  <c r="G19" i="1" s="1"/>
  <c r="G20" i="1" s="1"/>
  <c r="C65" i="10"/>
  <c r="C64" i="10"/>
  <c r="C63" i="10"/>
  <c r="C62" i="10"/>
  <c r="C66" i="10" s="1"/>
  <c r="C72" i="10" l="1"/>
  <c r="D74" i="10"/>
  <c r="D56" i="10"/>
  <c r="L49" i="10"/>
  <c r="D36" i="10"/>
  <c r="D34" i="10" s="1"/>
  <c r="D37" i="10" s="1"/>
  <c r="H35" i="10"/>
  <c r="H33" i="10"/>
  <c r="F31" i="10"/>
  <c r="F49" i="10" s="1"/>
  <c r="H23" i="1" s="1"/>
  <c r="D31" i="10"/>
  <c r="D49" i="10" s="1"/>
  <c r="H28" i="10"/>
  <c r="H27" i="10"/>
  <c r="H26" i="10"/>
  <c r="H25" i="10"/>
  <c r="H24" i="10"/>
  <c r="H23" i="10"/>
  <c r="H22" i="10"/>
  <c r="H21" i="10"/>
  <c r="H20" i="10"/>
  <c r="H19" i="10"/>
  <c r="H18" i="10"/>
  <c r="H17" i="10"/>
  <c r="H16" i="10"/>
  <c r="H15" i="10"/>
  <c r="H14" i="10"/>
  <c r="D13" i="10"/>
  <c r="H12" i="10"/>
  <c r="H10" i="10"/>
  <c r="D9" i="10"/>
  <c r="H9" i="10" s="1"/>
  <c r="H8" i="10"/>
  <c r="H7" i="10"/>
  <c r="H6" i="10"/>
  <c r="D5" i="10"/>
  <c r="H5" i="10" s="1"/>
  <c r="H4" i="10"/>
  <c r="H3" i="10"/>
  <c r="D29" i="10" l="1"/>
  <c r="H13" i="10"/>
  <c r="H36" i="10"/>
  <c r="D47" i="10"/>
  <c r="D48" i="10"/>
  <c r="H29" i="10"/>
  <c r="H34" i="10"/>
  <c r="H37" i="10" s="1"/>
  <c r="D52" i="10" l="1"/>
  <c r="D50" i="10"/>
  <c r="C70" i="10"/>
  <c r="C75" i="10" s="1"/>
  <c r="G21" i="1" s="1"/>
  <c r="G18" i="1"/>
  <c r="G17" i="1"/>
  <c r="J6" i="1"/>
  <c r="L224" i="8"/>
  <c r="J253" i="8"/>
  <c r="G253" i="8"/>
  <c r="J252" i="8"/>
  <c r="G252" i="8"/>
  <c r="J251" i="8"/>
  <c r="G251" i="8"/>
  <c r="J250" i="8"/>
  <c r="G250" i="8"/>
  <c r="C249" i="8"/>
  <c r="G249" i="8" s="1"/>
  <c r="G248" i="8"/>
  <c r="J245" i="8"/>
  <c r="G245" i="8"/>
  <c r="J244" i="8"/>
  <c r="G244" i="8"/>
  <c r="K244" i="8" s="1"/>
  <c r="L244" i="8" s="1"/>
  <c r="J243" i="8"/>
  <c r="G243" i="8"/>
  <c r="J242" i="8"/>
  <c r="G242" i="8"/>
  <c r="K242" i="8" s="1"/>
  <c r="L242" i="8" s="1"/>
  <c r="J241" i="8"/>
  <c r="G241" i="8"/>
  <c r="J240" i="8"/>
  <c r="G240" i="8"/>
  <c r="K240" i="8" s="1"/>
  <c r="L240" i="8" s="1"/>
  <c r="J238" i="8"/>
  <c r="G238" i="8"/>
  <c r="J237" i="8"/>
  <c r="G237" i="8"/>
  <c r="K237" i="8" s="1"/>
  <c r="L237" i="8" s="1"/>
  <c r="J236" i="8"/>
  <c r="G236" i="8"/>
  <c r="J235" i="8"/>
  <c r="G235" i="8"/>
  <c r="K235" i="8" s="1"/>
  <c r="L235" i="8" s="1"/>
  <c r="J234" i="8"/>
  <c r="G234" i="8"/>
  <c r="J233" i="8"/>
  <c r="G233" i="8"/>
  <c r="K233" i="8" s="1"/>
  <c r="L233" i="8" s="1"/>
  <c r="J232" i="8"/>
  <c r="G232" i="8"/>
  <c r="J228" i="8"/>
  <c r="G228" i="8"/>
  <c r="K228" i="8" s="1"/>
  <c r="L228" i="8" s="1"/>
  <c r="J227" i="8"/>
  <c r="G227" i="8"/>
  <c r="J226" i="8"/>
  <c r="G226" i="8"/>
  <c r="K226" i="8" s="1"/>
  <c r="L226" i="8" s="1"/>
  <c r="J225" i="8"/>
  <c r="G225" i="8"/>
  <c r="J223" i="8"/>
  <c r="G223" i="8"/>
  <c r="K223" i="8" s="1"/>
  <c r="L223" i="8" s="1"/>
  <c r="J222" i="8"/>
  <c r="G222" i="8"/>
  <c r="K222" i="8" s="1"/>
  <c r="L222" i="8" s="1"/>
  <c r="J221" i="8"/>
  <c r="K221" i="8" s="1"/>
  <c r="L221" i="8" s="1"/>
  <c r="G221" i="8"/>
  <c r="J220" i="8"/>
  <c r="G220" i="8"/>
  <c r="J219" i="8"/>
  <c r="G219" i="8"/>
  <c r="H215" i="8"/>
  <c r="J215" i="8" s="1"/>
  <c r="G215" i="8"/>
  <c r="H214" i="8"/>
  <c r="J214" i="8" s="1"/>
  <c r="K214" i="8" s="1"/>
  <c r="L214" i="8" s="1"/>
  <c r="G214" i="8"/>
  <c r="D164" i="8"/>
  <c r="D136" i="8"/>
  <c r="D137" i="8"/>
  <c r="D138" i="8"/>
  <c r="D139" i="8"/>
  <c r="D134" i="8"/>
  <c r="D135" i="8"/>
  <c r="D133" i="8"/>
  <c r="J5" i="1"/>
  <c r="D118" i="8"/>
  <c r="D117" i="8"/>
  <c r="D109" i="8"/>
  <c r="D115" i="8"/>
  <c r="D150" i="8"/>
  <c r="F8" i="1" l="1"/>
  <c r="H8" i="1"/>
  <c r="G8" i="1"/>
  <c r="H7" i="1"/>
  <c r="C5" i="8"/>
  <c r="G7" i="1" s="1"/>
  <c r="K220" i="8"/>
  <c r="L220" i="8" s="1"/>
  <c r="K219" i="8"/>
  <c r="K229" i="8" s="1"/>
  <c r="K225" i="8"/>
  <c r="L225" i="8" s="1"/>
  <c r="K227" i="8"/>
  <c r="L227" i="8" s="1"/>
  <c r="K251" i="8"/>
  <c r="K253" i="8"/>
  <c r="L248" i="8"/>
  <c r="L219" i="8"/>
  <c r="K232" i="8"/>
  <c r="L232" i="8" s="1"/>
  <c r="K234" i="8"/>
  <c r="L234" i="8" s="1"/>
  <c r="K236" i="8"/>
  <c r="L236" i="8" s="1"/>
  <c r="K238" i="8"/>
  <c r="L238" i="8" s="1"/>
  <c r="K241" i="8"/>
  <c r="L241" i="8" s="1"/>
  <c r="K243" i="8"/>
  <c r="L243" i="8" s="1"/>
  <c r="K245" i="8"/>
  <c r="L245" i="8" s="1"/>
  <c r="K250" i="8"/>
  <c r="K252" i="8"/>
  <c r="K215" i="8"/>
  <c r="L215" i="8" s="1"/>
  <c r="L250" i="8" l="1"/>
  <c r="M250" i="8"/>
  <c r="F7" i="1"/>
  <c r="L252" i="8"/>
  <c r="M252" i="8"/>
  <c r="L251" i="8"/>
  <c r="M251" i="8"/>
  <c r="L253" i="8"/>
  <c r="M253" i="8"/>
  <c r="L249" i="8"/>
  <c r="K254" i="8"/>
  <c r="K255" i="8" s="1"/>
  <c r="L229" i="8"/>
  <c r="K246" i="8"/>
  <c r="K216" i="8"/>
  <c r="L216" i="8" s="1"/>
  <c r="M254" i="8" l="1"/>
  <c r="M255" i="8" s="1"/>
  <c r="L254" i="8"/>
  <c r="L246" i="8"/>
  <c r="M246" i="8"/>
  <c r="C13" i="8" l="1"/>
  <c r="C22" i="8" s="1"/>
  <c r="C14" i="8"/>
  <c r="B22" i="8"/>
  <c r="D22" i="8"/>
  <c r="G22" i="8"/>
  <c r="B35" i="8"/>
  <c r="C35" i="8"/>
  <c r="D35" i="8"/>
  <c r="B110" i="8"/>
  <c r="D110" i="8" s="1"/>
  <c r="I55" i="8"/>
  <c r="B113" i="8" s="1"/>
  <c r="D113" i="8" s="1"/>
  <c r="D3" i="8" s="1"/>
  <c r="H64" i="8"/>
  <c r="B107" i="8" s="1"/>
  <c r="D107" i="8" s="1"/>
  <c r="C3" i="8" s="1"/>
  <c r="H35" i="8" l="1"/>
  <c r="B120" i="8" s="1"/>
  <c r="D120" i="8" s="1"/>
  <c r="G5" i="1"/>
  <c r="H5" i="1"/>
  <c r="F5" i="1" l="1"/>
  <c r="C22" i="5"/>
  <c r="B55" i="5" s="1"/>
  <c r="D55" i="5" s="1"/>
  <c r="C24" i="5"/>
  <c r="C23" i="5"/>
  <c r="B53" i="5" s="1"/>
  <c r="C21" i="5"/>
  <c r="B49" i="5" s="1"/>
  <c r="D49" i="5" s="1"/>
  <c r="C20" i="5"/>
  <c r="C19" i="5"/>
  <c r="B51" i="5" s="1"/>
  <c r="D51" i="5" s="1"/>
  <c r="C17" i="5"/>
  <c r="B41" i="5" s="1"/>
  <c r="D41" i="5" s="1"/>
  <c r="C16" i="5"/>
  <c r="B40" i="5" s="1"/>
  <c r="D40" i="5" s="1"/>
  <c r="C15" i="5"/>
  <c r="B52" i="5" s="1"/>
  <c r="D52" i="5" s="1"/>
  <c r="C53" i="5"/>
  <c r="B34" i="5"/>
  <c r="C18" i="5" s="1"/>
  <c r="T31" i="5"/>
  <c r="S31" i="5"/>
  <c r="R31" i="5"/>
  <c r="Q31" i="5"/>
  <c r="P31" i="5"/>
  <c r="O31" i="5"/>
  <c r="T29" i="5"/>
  <c r="T30" i="5" s="1"/>
  <c r="S29" i="5"/>
  <c r="S30" i="5" s="1"/>
  <c r="R29" i="5"/>
  <c r="R30" i="5" s="1"/>
  <c r="Q29" i="5"/>
  <c r="Q30" i="5" s="1"/>
  <c r="P29" i="5"/>
  <c r="P30" i="5" s="1"/>
  <c r="O29" i="5"/>
  <c r="O30" i="5" s="1"/>
  <c r="B50" i="5"/>
  <c r="D50" i="5" s="1"/>
  <c r="J10" i="5"/>
  <c r="I10" i="5"/>
  <c r="G10" i="5"/>
  <c r="F10" i="5"/>
  <c r="E9" i="3"/>
  <c r="A9" i="3"/>
  <c r="E8" i="3"/>
  <c r="A8" i="3"/>
  <c r="D115" i="3"/>
  <c r="C115" i="3"/>
  <c r="D114" i="3"/>
  <c r="C112" i="3"/>
  <c r="C111" i="3"/>
  <c r="B7" i="3"/>
  <c r="K84" i="3"/>
  <c r="K88" i="3" s="1"/>
  <c r="I87" i="3"/>
  <c r="I85" i="3"/>
  <c r="G96" i="3"/>
  <c r="G87" i="3" s="1"/>
  <c r="E85" i="3"/>
  <c r="E87" i="3"/>
  <c r="C86" i="3"/>
  <c r="E86" i="3" s="1"/>
  <c r="C84" i="3"/>
  <c r="E84" i="3" s="1"/>
  <c r="E61" i="3"/>
  <c r="C5" i="3"/>
  <c r="C6" i="3"/>
  <c r="C19" i="3"/>
  <c r="C20" i="3"/>
  <c r="C21" i="3"/>
  <c r="C22" i="3"/>
  <c r="C24" i="3"/>
  <c r="C25" i="3"/>
  <c r="C50" i="3"/>
  <c r="E64" i="3"/>
  <c r="E63" i="3"/>
  <c r="E62" i="3"/>
  <c r="W17" i="3"/>
  <c r="W16" i="3"/>
  <c r="W15" i="3"/>
  <c r="W14" i="3"/>
  <c r="W13" i="3"/>
  <c r="A6" i="3"/>
  <c r="A7" i="3" s="1"/>
  <c r="A5" i="3"/>
  <c r="H49" i="3"/>
  <c r="H50" i="3"/>
  <c r="J87" i="3" l="1"/>
  <c r="B54" i="5"/>
  <c r="D54" i="5" s="1"/>
  <c r="D53" i="5"/>
  <c r="D56" i="5" s="1"/>
  <c r="G12" i="1" s="1"/>
  <c r="O32" i="5"/>
  <c r="O33" i="5"/>
  <c r="D106" i="3"/>
  <c r="G62" i="3" s="1"/>
  <c r="H62" i="3" s="1"/>
  <c r="D117" i="3"/>
  <c r="D109" i="3"/>
  <c r="G85" i="3"/>
  <c r="J85" i="3" s="1"/>
  <c r="J88" i="3" s="1"/>
  <c r="E88" i="3"/>
  <c r="E65" i="3"/>
  <c r="G64" i="3" l="1"/>
  <c r="H64" i="3" s="1"/>
  <c r="D9" i="3"/>
  <c r="H13" i="1" s="1"/>
  <c r="H14" i="1" s="1"/>
  <c r="C9" i="3"/>
  <c r="G13" i="1" s="1"/>
  <c r="G14" i="1" s="1"/>
  <c r="D8" i="3"/>
  <c r="C8" i="3"/>
  <c r="H65" i="3"/>
  <c r="K65" i="3" s="1"/>
  <c r="L66" i="3" s="1"/>
  <c r="M88" i="3"/>
  <c r="N89" i="3" s="1"/>
  <c r="L67" i="3" l="1"/>
  <c r="N90" i="3"/>
  <c r="H32" i="3" l="1"/>
  <c r="H54" i="3"/>
  <c r="E54" i="3"/>
  <c r="H53" i="3"/>
  <c r="E53" i="3"/>
  <c r="H52" i="3"/>
  <c r="E52" i="3"/>
  <c r="H51" i="3"/>
  <c r="E51" i="3"/>
  <c r="E50" i="3"/>
  <c r="I50" i="3" s="1"/>
  <c r="J50" i="3" s="1"/>
  <c r="E49" i="3"/>
  <c r="I49" i="3" s="1"/>
  <c r="H45" i="3"/>
  <c r="E45" i="3"/>
  <c r="H44" i="3"/>
  <c r="E44" i="3"/>
  <c r="H43" i="3"/>
  <c r="E43" i="3"/>
  <c r="H42" i="3"/>
  <c r="E42" i="3"/>
  <c r="H41" i="3"/>
  <c r="E41" i="3"/>
  <c r="H40" i="3"/>
  <c r="E40" i="3"/>
  <c r="H38" i="3"/>
  <c r="E38" i="3"/>
  <c r="H37" i="3"/>
  <c r="E37" i="3"/>
  <c r="H36" i="3"/>
  <c r="E36" i="3"/>
  <c r="I36" i="3" s="1"/>
  <c r="J36" i="3" s="1"/>
  <c r="H35" i="3"/>
  <c r="E35" i="3"/>
  <c r="H34" i="3"/>
  <c r="E34" i="3"/>
  <c r="I34" i="3" s="1"/>
  <c r="J34" i="3" s="1"/>
  <c r="H33" i="3"/>
  <c r="E33" i="3"/>
  <c r="E32" i="3"/>
  <c r="E14" i="3"/>
  <c r="D25" i="3"/>
  <c r="D24" i="3"/>
  <c r="D20" i="3"/>
  <c r="D21" i="3"/>
  <c r="D22" i="3"/>
  <c r="D19" i="3"/>
  <c r="E20" i="3"/>
  <c r="J20" i="3" s="1"/>
  <c r="E21" i="3"/>
  <c r="J21" i="3" s="1"/>
  <c r="E22" i="3"/>
  <c r="J22" i="3" s="1"/>
  <c r="F14" i="3"/>
  <c r="H14" i="3" s="1"/>
  <c r="F15" i="3"/>
  <c r="H15" i="3" s="1"/>
  <c r="E15" i="3"/>
  <c r="I38" i="3" l="1"/>
  <c r="J38" i="3" s="1"/>
  <c r="I41" i="3"/>
  <c r="J41" i="3" s="1"/>
  <c r="I43" i="3"/>
  <c r="J43" i="3" s="1"/>
  <c r="I45" i="3"/>
  <c r="J45" i="3" s="1"/>
  <c r="I51" i="3"/>
  <c r="J51" i="3" s="1"/>
  <c r="I53" i="3"/>
  <c r="J53" i="3" s="1"/>
  <c r="I33" i="3"/>
  <c r="J33" i="3" s="1"/>
  <c r="I35" i="3"/>
  <c r="J35" i="3" s="1"/>
  <c r="I37" i="3"/>
  <c r="J37" i="3" s="1"/>
  <c r="I40" i="3"/>
  <c r="J40" i="3" s="1"/>
  <c r="I42" i="3"/>
  <c r="J42" i="3" s="1"/>
  <c r="I54" i="3"/>
  <c r="J54" i="3" s="1"/>
  <c r="I32" i="3"/>
  <c r="J32" i="3" s="1"/>
  <c r="E19" i="3"/>
  <c r="J19" i="3" s="1"/>
  <c r="I52" i="3"/>
  <c r="J52" i="3" s="1"/>
  <c r="J49" i="3"/>
  <c r="J55" i="3" s="1"/>
  <c r="E24" i="3"/>
  <c r="J24" i="3" s="1"/>
  <c r="I14" i="3"/>
  <c r="J14" i="3" s="1"/>
  <c r="I44" i="3"/>
  <c r="J44" i="3" s="1"/>
  <c r="E25" i="3"/>
  <c r="J25" i="3" s="1"/>
  <c r="I15" i="3"/>
  <c r="J15" i="3" s="1"/>
  <c r="J26" i="3" l="1"/>
  <c r="J27" i="3" s="1"/>
  <c r="I27" i="3" s="1"/>
  <c r="D3" i="3" s="1"/>
  <c r="D4" i="3" s="1"/>
  <c r="H15" i="1" s="1"/>
  <c r="I16" i="3"/>
  <c r="C3" i="3" s="1"/>
  <c r="C4" i="3" s="1"/>
  <c r="G15" i="1" s="1"/>
  <c r="J46" i="3"/>
  <c r="I55" i="3"/>
  <c r="I56" i="3" s="1"/>
  <c r="D6" i="3" s="1"/>
  <c r="I46" i="3"/>
  <c r="I47" i="3" s="1"/>
  <c r="D5" i="3" s="1"/>
  <c r="J16" i="3" l="1"/>
  <c r="C7" i="3"/>
  <c r="G16" i="1" s="1"/>
  <c r="D7" i="3"/>
  <c r="H1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Fiammetta</author>
  </authors>
  <commentList>
    <comment ref="E12" authorId="0" shapeId="0" xr:uid="{80F7CE5E-171D-4144-AA64-05A6177F9317}">
      <text>
        <r>
          <rPr>
            <b/>
            <sz val="9"/>
            <color indexed="81"/>
            <rFont val="Tahoma"/>
            <family val="2"/>
          </rPr>
          <t>Fiammetta:</t>
        </r>
        <r>
          <rPr>
            <sz val="9"/>
            <color indexed="81"/>
            <rFont val="Tahoma"/>
            <family val="2"/>
          </rPr>
          <t xml:space="preserve">
*days in a week * weeks in a month</t>
        </r>
      </text>
    </comment>
    <comment ref="E30" authorId="0" shapeId="0" xr:uid="{EB403769-E2E7-448C-808F-E613472573C0}">
      <text>
        <r>
          <rPr>
            <b/>
            <sz val="9"/>
            <color indexed="81"/>
            <rFont val="Tahoma"/>
            <family val="2"/>
          </rPr>
          <t>Fiammetta:</t>
        </r>
        <r>
          <rPr>
            <sz val="9"/>
            <color indexed="81"/>
            <rFont val="Tahoma"/>
            <family val="2"/>
          </rPr>
          <t xml:space="preserve">
*days in a week * weeks in a month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Fiammetta</author>
  </authors>
  <commentList>
    <comment ref="J10" authorId="0" shapeId="0" xr:uid="{AAF7E926-1E64-4F0A-8A30-DBC40A8E894B}">
      <text>
        <r>
          <rPr>
            <b/>
            <sz val="9"/>
            <color indexed="81"/>
            <rFont val="Tahoma"/>
            <family val="2"/>
          </rPr>
          <t>Fiammetta:</t>
        </r>
        <r>
          <rPr>
            <sz val="9"/>
            <color indexed="81"/>
            <rFont val="Tahoma"/>
            <family val="2"/>
          </rPr>
          <t xml:space="preserve">
Per FIC = per dose if we assume TB vaccine is single dose. Makes sense compared to Prinja 2017 unit cost which includes visit + vaccine cost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Fiammetta</author>
    <author>Windows User</author>
  </authors>
  <commentList>
    <comment ref="D95" authorId="0" shapeId="0" xr:uid="{3E1ED297-6933-4496-B4AA-266A69232405}">
      <text>
        <r>
          <rPr>
            <b/>
            <sz val="9"/>
            <color indexed="81"/>
            <rFont val="Tahoma"/>
            <family val="2"/>
          </rPr>
          <t>Fiammetta:</t>
        </r>
        <r>
          <rPr>
            <sz val="9"/>
            <color indexed="81"/>
            <rFont val="Tahoma"/>
            <family val="2"/>
          </rPr>
          <t xml:space="preserve">
For now I converted only FLT, MDR treatment and diagnosis</t>
        </r>
      </text>
    </comment>
    <comment ref="B122" authorId="1" shapeId="0" xr:uid="{CBEF7571-56B1-4B1D-8E66-D5AC0E983D1A}">
      <text>
        <r>
          <rPr>
            <b/>
            <sz val="9"/>
            <color indexed="81"/>
            <rFont val="Tahoma"/>
            <family val="2"/>
          </rPr>
          <t>Windows User:</t>
        </r>
        <r>
          <rPr>
            <sz val="9"/>
            <color indexed="81"/>
            <rFont val="Tahoma"/>
            <family val="2"/>
          </rPr>
          <t xml:space="preserve">
should we add hospitalisation costs? WHO Andrew data: 4% of these patients stay on average 14d in hospital during FL treatment</t>
        </r>
      </text>
    </comment>
    <comment ref="B131" authorId="1" shapeId="0" xr:uid="{80AA1073-6C7B-438E-8F3A-CE0EA1E96BE0}">
      <text>
        <r>
          <rPr>
            <b/>
            <sz val="9"/>
            <color indexed="81"/>
            <rFont val="Tahoma"/>
            <family val="2"/>
          </rPr>
          <t>Windows User:</t>
        </r>
        <r>
          <rPr>
            <sz val="9"/>
            <color indexed="81"/>
            <rFont val="Tahoma"/>
            <family val="2"/>
          </rPr>
          <t xml:space="preserve">
100% of MDR patietns are reported to be hospitalised</t>
        </r>
      </text>
    </comment>
    <comment ref="G212" authorId="0" shapeId="0" xr:uid="{37BB9F1A-D7BB-402B-81D9-CCDA3CEF3EA3}">
      <text>
        <r>
          <rPr>
            <b/>
            <sz val="9"/>
            <color indexed="81"/>
            <rFont val="Tahoma"/>
            <family val="2"/>
          </rPr>
          <t>Fiammetta:</t>
        </r>
        <r>
          <rPr>
            <sz val="9"/>
            <color indexed="81"/>
            <rFont val="Tahoma"/>
            <family val="2"/>
          </rPr>
          <t xml:space="preserve">
*days in a week * weeks in a month</t>
        </r>
      </text>
    </comment>
  </commentList>
</comments>
</file>

<file path=xl/sharedStrings.xml><?xml version="1.0" encoding="utf-8"?>
<sst xmlns="http://schemas.openxmlformats.org/spreadsheetml/2006/main" count="2317" uniqueCount="1131">
  <si>
    <t>Intervention or service</t>
  </si>
  <si>
    <t>Description</t>
  </si>
  <si>
    <t>Unit cost</t>
  </si>
  <si>
    <t>Unit</t>
  </si>
  <si>
    <t>Attached to</t>
  </si>
  <si>
    <t>Comments</t>
  </si>
  <si>
    <t>Intervention</t>
  </si>
  <si>
    <t>Cost of vaccine delivery through routine system (variable and incremental)</t>
  </si>
  <si>
    <t>c_routine_delivery</t>
  </si>
  <si>
    <t>person vaccinated (once)</t>
  </si>
  <si>
    <t>Cost of vaccine delivery through campaign (variable)</t>
  </si>
  <si>
    <t>c_campaign_delivery</t>
  </si>
  <si>
    <t>Cost of vaccine delivery through campaign (fixed)</t>
  </si>
  <si>
    <t>c_campaign_fixed</t>
  </si>
  <si>
    <t>per 10000 people in cohort</t>
  </si>
  <si>
    <t xml:space="preserve">total per year </t>
  </si>
  <si>
    <t>per dose</t>
  </si>
  <si>
    <t>Service</t>
  </si>
  <si>
    <t xml:space="preserve">Cost of TB testing </t>
  </si>
  <si>
    <t>c_diagnosis</t>
  </si>
  <si>
    <t>per person tested</t>
  </si>
  <si>
    <t>Cost of person month on first line TB treatment</t>
  </si>
  <si>
    <t>c_FLT</t>
  </si>
  <si>
    <t>Cost of person month on standard MDR-TB treatment</t>
  </si>
  <si>
    <t>c_MDR_reg</t>
  </si>
  <si>
    <t>Country</t>
  </si>
  <si>
    <t>China</t>
  </si>
  <si>
    <t>India</t>
  </si>
  <si>
    <t>person-months on FLT</t>
  </si>
  <si>
    <t>person-months on MDR treatment</t>
  </si>
  <si>
    <t>Cost of vaccine delivery through school+community-based campaign (variable)</t>
  </si>
  <si>
    <t>Cost of vaccine delivery through school+community-based campaign (fixed)</t>
  </si>
  <si>
    <t>per campaign</t>
  </si>
  <si>
    <t>total per year (years 1-2 only)</t>
  </si>
  <si>
    <t>Cost of TB testing</t>
  </si>
  <si>
    <t>Lump sum for 2yr nationwide school+community campaign, routine delivery afterwards</t>
  </si>
  <si>
    <t>per patient month</t>
  </si>
  <si>
    <t>Russia</t>
  </si>
  <si>
    <t>https://www.sciencedirect.com/science/article/pii/S0264410X05012041?via%3Dihub</t>
  </si>
  <si>
    <t>As for China per 10000 people in cohort, plus mark-up for size</t>
  </si>
  <si>
    <t>http://www.who.int/tb/data/en/</t>
  </si>
  <si>
    <t>Was 384,000,000 in previous year. Substantial increase in this year's report that was recently published</t>
  </si>
  <si>
    <t>Budget (USD 2017)</t>
  </si>
  <si>
    <t>Type</t>
  </si>
  <si>
    <t>TB</t>
  </si>
  <si>
    <t>Immunization</t>
  </si>
  <si>
    <t>Russia only publishes expenditure data on vaccines, not for the immunization programme as a whole</t>
  </si>
  <si>
    <t>http://www.who.int/immunization/programmes_systems/financing/data_indicators/en/</t>
  </si>
  <si>
    <t>Drugs</t>
  </si>
  <si>
    <t>Tablets/inj. vials per day</t>
  </si>
  <si>
    <t>Treatment months</t>
  </si>
  <si>
    <t>Tot. pills/injs. In regimen</t>
  </si>
  <si>
    <t>No. pills/vials in box</t>
  </si>
  <si>
    <t>Price per box (US$)</t>
  </si>
  <si>
    <t>Price per pill (US$)</t>
  </si>
  <si>
    <t>Total cost (US$)</t>
  </si>
  <si>
    <t>Total cost (INR)</t>
  </si>
  <si>
    <t>Notes</t>
  </si>
  <si>
    <t>First line treatment</t>
  </si>
  <si>
    <t>RHZE (150, 75, 400, 275), intensive phase</t>
  </si>
  <si>
    <t>All prices from StopTB Partnership product catalogue</t>
  </si>
  <si>
    <t>new patient (55-70 kg)</t>
  </si>
  <si>
    <t>RH (150, 75), continuation phase</t>
  </si>
  <si>
    <t>Cost per course</t>
  </si>
  <si>
    <t>USD-INR</t>
  </si>
  <si>
    <t>National Health System Cost Database for India</t>
  </si>
  <si>
    <t>Name of the drug/consumable</t>
  </si>
  <si>
    <t>drug costs (per patient month)</t>
  </si>
  <si>
    <t>min</t>
  </si>
  <si>
    <t>max</t>
  </si>
  <si>
    <t>Price per unit (2015INR)</t>
  </si>
  <si>
    <t>2015INR</t>
  </si>
  <si>
    <t>https://data.gov.in/catalog/all-india-consumer-price-index-ruralurban</t>
  </si>
  <si>
    <t>Rural+Urban</t>
  </si>
  <si>
    <t>2018INR</t>
  </si>
  <si>
    <t>unit</t>
  </si>
  <si>
    <t>minimum represents international prices; maximum represents local procurement prices</t>
  </si>
  <si>
    <t>comments</t>
  </si>
  <si>
    <t>Rifampicin 150 mg</t>
  </si>
  <si>
    <t>Isoniazid 75 mg</t>
  </si>
  <si>
    <t>Pyrazinamide 400 mg</t>
  </si>
  <si>
    <t>Ethambutol 275 mg</t>
  </si>
  <si>
    <t xml:space="preserve">short course MDR-TB </t>
  </si>
  <si>
    <t>Intensive phase</t>
  </si>
  <si>
    <t>(51-70 kg)</t>
  </si>
  <si>
    <t>Kanamycin 1 g</t>
  </si>
  <si>
    <t>Moxifloxacin 400 mg</t>
  </si>
  <si>
    <t>Prothionamide 250 mg</t>
  </si>
  <si>
    <t>Isoniazid 300 mg</t>
  </si>
  <si>
    <t>Clofazimine 100 mg</t>
  </si>
  <si>
    <t>Ethambutol 400 mg</t>
  </si>
  <si>
    <t>Pyrazinamide 500 mg</t>
  </si>
  <si>
    <t>Continuation phase</t>
  </si>
  <si>
    <t>Bedaquiline 100 mg (weeks 1-2)</t>
  </si>
  <si>
    <t>Intensive phase as for standard MDR-treatment. BDQ initiated only after 2nd line DST results. If no resistance to FQ/SLI, then standard MDR-treatment continued</t>
  </si>
  <si>
    <t>Bedaquiline 100 mg (weeks 3-22)</t>
  </si>
  <si>
    <t>200 mg 3 times a week</t>
  </si>
  <si>
    <t>Linezolid, 600 mg, Film coated tablet(s), Blister(s)</t>
  </si>
  <si>
    <t>This background treatment option excludes SLIs and FQs, which would be administered depending on individual resistance profile. This is the cost for an average XDR case resistant to both</t>
  </si>
  <si>
    <t>Cycloserine 250 mg</t>
  </si>
  <si>
    <t>Background regimen to BDQ is the same as standard MDR treatment as per national guidelines</t>
  </si>
  <si>
    <t>Levofloxacin 500 mg</t>
  </si>
  <si>
    <t>Generic bedaquiline prices projected: https://academic.oup.com/jac/article/72/4/1243/2884272</t>
  </si>
  <si>
    <t>All prices from StopTB Partnership product catalogue; couldn’t find national procurement equivalent prices</t>
  </si>
  <si>
    <t>all international prices, generic projection prices for bedaquiline</t>
  </si>
  <si>
    <t>Cost cat</t>
  </si>
  <si>
    <t>Regimen</t>
  </si>
  <si>
    <t>Component</t>
  </si>
  <si>
    <t>visits</t>
  </si>
  <si>
    <t xml:space="preserve"> tests for laboratory monitoring</t>
  </si>
  <si>
    <t xml:space="preserve">Hospitalization costs (e) </t>
  </si>
  <si>
    <t xml:space="preserve">Full treat-ment </t>
  </si>
  <si>
    <t>Number</t>
  </si>
  <si>
    <t>unit cost (b)</t>
  </si>
  <si>
    <t>cost</t>
  </si>
  <si>
    <t>SSM #</t>
  </si>
  <si>
    <t xml:space="preserve">unit cost (c) </t>
  </si>
  <si>
    <t>first line catI</t>
  </si>
  <si>
    <t>Intensive phase (2 mo)</t>
  </si>
  <si>
    <t>Continuation phase (4 mo)</t>
  </si>
  <si>
    <t>Full course</t>
  </si>
  <si>
    <t>Visits assumptions</t>
  </si>
  <si>
    <t>3 visits per week</t>
  </si>
  <si>
    <t>1 visit per week</t>
  </si>
  <si>
    <t xml:space="preserve">cost estimate obtained by costing study </t>
  </si>
  <si>
    <t>c=</t>
  </si>
  <si>
    <t xml:space="preserve">Microscopy </t>
  </si>
  <si>
    <t xml:space="preserve">The number of visits are clinic visits. For catI assumed to be thrice weekly during the intensive phase and weekly during the continuation phase, to a clinic close to the patients home. </t>
  </si>
  <si>
    <t xml:space="preserve"> level PE: health centre with beds;   </t>
  </si>
  <si>
    <t xml:space="preserve"> http://www.who.int/choice/cost-effectiveness/inputs/health_service/en/   </t>
  </si>
  <si>
    <t>b=</t>
  </si>
  <si>
    <t>visit</t>
  </si>
  <si>
    <t>Visits</t>
  </si>
  <si>
    <t xml:space="preserve">Visits for laboratory monitoring with smear microscopy are to a higher level facility (health center with beds). </t>
  </si>
  <si>
    <t>Follows the NTP guidance that each patient on CatI has two smears (2 months and 5 months) to monitor bacteriological response to treatment)</t>
  </si>
  <si>
    <t>https://www.ncbi.nlm.nih.gov/pubmed/28284251</t>
  </si>
  <si>
    <t>d=</t>
  </si>
  <si>
    <t>Overheads</t>
  </si>
  <si>
    <t xml:space="preserve">point estimate: average of cost categories 'management' and 'other' in Pantoja 2009 and Floyd 2006 (2x).  Muniyandi 2006 was excluded as it is an incomplete estimate.   </t>
  </si>
  <si>
    <t>overheads (d)</t>
  </si>
  <si>
    <t>all costs (per patient month)</t>
  </si>
  <si>
    <t>See India assumptions</t>
  </si>
  <si>
    <t>Min Value (US$ 2017)</t>
  </si>
  <si>
    <t xml:space="preserve">WHO MDR revised regimen (18months): Bdq Lzd Lfx (Mfx) Cs Cfz </t>
  </si>
  <si>
    <t>visits for treatment and lab monitoring</t>
  </si>
  <si>
    <t>Number (b1)</t>
  </si>
  <si>
    <t>unit cost (b2)</t>
  </si>
  <si>
    <t>cultures #</t>
  </si>
  <si>
    <t>DST #</t>
  </si>
  <si>
    <t>Second line</t>
  </si>
  <si>
    <t>Intensive phase (6 mo)</t>
  </si>
  <si>
    <t>Continuation phase (12 mo)</t>
  </si>
  <si>
    <t>b1=</t>
  </si>
  <si>
    <t>Assumes that during each treatment phase 5 visits are needed to provide a sample for culture.</t>
  </si>
  <si>
    <t>The number of visits are clinic visits. As per discussion with India team: 6 vistis per week for intensive phase; one visit per week for continuation phase</t>
  </si>
  <si>
    <t>b2=</t>
  </si>
  <si>
    <t>same as above</t>
  </si>
  <si>
    <t>cost estimate obtained by costing study (Tab diagnostics) for liquid culture $11.07 + $1.7 for decontamination +$4 for transportation (estimate India team) +50% needs identification @ $ 3.95</t>
  </si>
  <si>
    <t>culture PE</t>
  </si>
  <si>
    <t>DST</t>
  </si>
  <si>
    <t>Assumes as indicated by Dr. Shubhangi, that patients are treated in the community, but initially they are hospitalized for 1-3 weeks. So assume 2 weeks (=14 days)</t>
  </si>
  <si>
    <t>e=</t>
  </si>
  <si>
    <t xml:space="preserve">Cost per hospitaliztion day: Cost per bed day at tertiary level. </t>
  </si>
  <si>
    <t>overheads /Other (d)</t>
  </si>
  <si>
    <t>One microscopy, one x-ray, 4 visits</t>
  </si>
  <si>
    <t>Diagnostics</t>
  </si>
  <si>
    <t>microscopy</t>
  </si>
  <si>
    <t>xray</t>
  </si>
  <si>
    <t>USD 2017</t>
  </si>
  <si>
    <t>mean</t>
  </si>
  <si>
    <t xml:space="preserve">microscopy </t>
  </si>
  <si>
    <t>c_diagnosis_GXP</t>
  </si>
  <si>
    <t>All TB symptomatics to have CXR as a screening test and use of rapid molecular test upfront (GXP cost assumed) + 2 visits. Not included from NSP: a high visibility campaign – ‘TB mukt bharat’ campaign for awareness generation to ensure early case finding</t>
  </si>
  <si>
    <t>One xray, one GXP, 2 visits</t>
  </si>
  <si>
    <t>GXP</t>
  </si>
  <si>
    <t>person tested (TB suspects)</t>
  </si>
  <si>
    <t>Diagnosis in public sector (no GXP)</t>
  </si>
  <si>
    <t>Diagnosis in public sector (GXP)</t>
  </si>
  <si>
    <t>all costs (per person tested)</t>
  </si>
  <si>
    <t>all international prices; for reference but not used</t>
  </si>
  <si>
    <t>Lit review - all antigens</t>
  </si>
  <si>
    <r>
      <rPr>
        <b/>
        <sz val="9"/>
        <color theme="1"/>
        <rFont val="Calibri"/>
        <family val="2"/>
        <scheme val="minor"/>
      </rPr>
      <t>Susmita BMJ Global paper</t>
    </r>
    <r>
      <rPr>
        <sz val="9"/>
        <color theme="1"/>
        <rFont val="Calibri"/>
        <family val="2"/>
        <scheme val="minor"/>
      </rPr>
      <t xml:space="preserve"> (Chatterjee 2018) - doses delivered</t>
    </r>
  </si>
  <si>
    <t xml:space="preserve">Incremental costs </t>
  </si>
  <si>
    <t>Bihar</t>
  </si>
  <si>
    <t>Gujarat</t>
  </si>
  <si>
    <t>Kerala</t>
  </si>
  <si>
    <t>Meghalaya</t>
  </si>
  <si>
    <t>Punjab</t>
  </si>
  <si>
    <t>UP</t>
  </si>
  <si>
    <t>West Bengal</t>
  </si>
  <si>
    <t>First author (year)</t>
  </si>
  <si>
    <t>Areea</t>
  </si>
  <si>
    <t>Antigens</t>
  </si>
  <si>
    <t>Delivery mode</t>
  </si>
  <si>
    <t>Currency</t>
  </si>
  <si>
    <t>Cold storage</t>
  </si>
  <si>
    <t>Transport</t>
  </si>
  <si>
    <t>Visit</t>
  </si>
  <si>
    <t xml:space="preserve">Other </t>
  </si>
  <si>
    <t>Sources</t>
  </si>
  <si>
    <t>sub-centre</t>
  </si>
  <si>
    <t>Clark (2013)</t>
  </si>
  <si>
    <t>Hib</t>
  </si>
  <si>
    <t>Routine immunisation</t>
  </si>
  <si>
    <t>USD</t>
  </si>
  <si>
    <t>N/A</t>
  </si>
  <si>
    <t>1.75 - 1.82</t>
  </si>
  <si>
    <r>
      <t xml:space="preserve">Vaccine costs only - no cold chain expansion required as Hib added to quadrivalent (no additional space requirement). </t>
    </r>
    <r>
      <rPr>
        <b/>
        <sz val="9"/>
        <color theme="1"/>
        <rFont val="Calibri"/>
        <family val="2"/>
        <scheme val="minor"/>
      </rPr>
      <t>Price per dose:</t>
    </r>
    <r>
      <rPr>
        <sz val="9"/>
        <color theme="1"/>
        <rFont val="Calibri"/>
        <family val="2"/>
        <scheme val="minor"/>
      </rPr>
      <t xml:space="preserve"> UNICEF procurement list</t>
    </r>
  </si>
  <si>
    <t>PHC</t>
  </si>
  <si>
    <t>Prinja (2016)</t>
  </si>
  <si>
    <t>Haryana, Himachal Pradesh, Punjab</t>
  </si>
  <si>
    <t>All</t>
  </si>
  <si>
    <t>INR</t>
  </si>
  <si>
    <t>PHC: 41.8 - 145.2 CHC: 53.6 - 196.8</t>
  </si>
  <si>
    <t>82 - 116</t>
  </si>
  <si>
    <t>per FIC</t>
  </si>
  <si>
    <r>
      <rPr>
        <b/>
        <sz val="9"/>
        <color theme="1"/>
        <rFont val="Calibri"/>
        <family val="2"/>
        <scheme val="minor"/>
      </rPr>
      <t>Cost per visit:</t>
    </r>
    <r>
      <rPr>
        <sz val="9"/>
        <color theme="1"/>
        <rFont val="Calibri"/>
        <family val="2"/>
        <scheme val="minor"/>
      </rPr>
      <t xml:space="preserve"> bottom-up costing at 14 sites in 3 states (PHC and CHC avg, respsctively)</t>
    </r>
  </si>
  <si>
    <t>CHC</t>
  </si>
  <si>
    <t>Prinja (2017)</t>
  </si>
  <si>
    <t>HPV</t>
  </si>
  <si>
    <t>From Prinja (2016)</t>
  </si>
  <si>
    <r>
      <rPr>
        <b/>
        <sz val="9"/>
        <color theme="1"/>
        <rFont val="Calibri"/>
        <family val="2"/>
        <scheme val="minor"/>
      </rPr>
      <t>Cost per visit:</t>
    </r>
    <r>
      <rPr>
        <sz val="9"/>
        <color theme="1"/>
        <rFont val="Calibri"/>
        <family val="2"/>
        <scheme val="minor"/>
      </rPr>
      <t xml:space="preserve"> Prinja 2016. </t>
    </r>
    <r>
      <rPr>
        <b/>
        <sz val="9"/>
        <color theme="1"/>
        <rFont val="Calibri"/>
        <family val="2"/>
        <scheme val="minor"/>
      </rPr>
      <t>Price per dose:</t>
    </r>
    <r>
      <rPr>
        <sz val="9"/>
        <color theme="1"/>
        <rFont val="Calibri"/>
        <family val="2"/>
        <scheme val="minor"/>
      </rPr>
      <t xml:space="preserve"> GAVI </t>
    </r>
  </si>
  <si>
    <t>DH post partum unit</t>
  </si>
  <si>
    <t>Khan (2017)</t>
  </si>
  <si>
    <t>OPV / IPV</t>
  </si>
  <si>
    <r>
      <t>20 per m</t>
    </r>
    <r>
      <rPr>
        <vertAlign val="superscript"/>
        <sz val="9"/>
        <color theme="1"/>
        <rFont val="Calibri"/>
        <family val="2"/>
        <scheme val="minor"/>
      </rPr>
      <t>3</t>
    </r>
  </si>
  <si>
    <t>2 - 4 per 1000 doses</t>
  </si>
  <si>
    <t>OPV: 0.154 IPV:0.225</t>
  </si>
  <si>
    <t>Social mobilisation: 20 per 1000 doses. Waste disposal: 0.01 per dose</t>
  </si>
  <si>
    <r>
      <rPr>
        <b/>
        <sz val="9"/>
        <color theme="1"/>
        <rFont val="Calibri"/>
        <family val="2"/>
        <scheme val="minor"/>
      </rPr>
      <t xml:space="preserve">Transport cost: </t>
    </r>
    <r>
      <rPr>
        <sz val="9"/>
        <color theme="1"/>
        <rFont val="Calibri"/>
        <family val="2"/>
        <scheme val="minor"/>
      </rPr>
      <t xml:space="preserve">based on PATH report (2010). OPV and IPV, respectively.  </t>
    </r>
    <r>
      <rPr>
        <b/>
        <sz val="9"/>
        <color theme="1"/>
        <rFont val="Calibri"/>
        <family val="2"/>
        <scheme val="minor"/>
      </rPr>
      <t>Waste dispolsal:</t>
    </r>
    <r>
      <rPr>
        <sz val="9"/>
        <color theme="1"/>
        <rFont val="Calibri"/>
        <family val="2"/>
        <scheme val="minor"/>
      </rPr>
      <t xml:space="preserve"> PATH report (2010). </t>
    </r>
    <r>
      <rPr>
        <b/>
        <sz val="9"/>
        <color theme="1"/>
        <rFont val="Calibri"/>
        <family val="2"/>
        <scheme val="minor"/>
      </rPr>
      <t>Cold storage cost</t>
    </r>
    <r>
      <rPr>
        <sz val="9"/>
        <color theme="1"/>
        <rFont val="Calibri"/>
        <family val="2"/>
        <scheme val="minor"/>
      </rPr>
      <t>: Assumption.</t>
    </r>
    <r>
      <rPr>
        <b/>
        <sz val="9"/>
        <color theme="1"/>
        <rFont val="Calibri"/>
        <family val="2"/>
        <scheme val="minor"/>
      </rPr>
      <t xml:space="preserve"> Social mobilisation costs: </t>
    </r>
    <r>
      <rPr>
        <sz val="9"/>
        <color theme="1"/>
        <rFont val="Calibri"/>
        <family val="2"/>
        <scheme val="minor"/>
      </rPr>
      <t>Assumption</t>
    </r>
    <r>
      <rPr>
        <b/>
        <sz val="9"/>
        <color theme="1"/>
        <rFont val="Calibri"/>
        <family val="2"/>
        <scheme val="minor"/>
      </rPr>
      <t>. Cost per visit:</t>
    </r>
    <r>
      <rPr>
        <sz val="9"/>
        <color theme="1"/>
        <rFont val="Calibri"/>
        <family val="2"/>
        <scheme val="minor"/>
      </rPr>
      <t xml:space="preserve"> Sangrujee (2004) plus mark-up</t>
    </r>
  </si>
  <si>
    <t>cost per dose icl. vaccine (2017 US$)</t>
  </si>
  <si>
    <t>Prinja (2014)</t>
  </si>
  <si>
    <r>
      <t xml:space="preserve">Vaccine + delivery cost </t>
    </r>
    <r>
      <rPr>
        <sz val="9"/>
        <color rgb="FFFF0000"/>
        <rFont val="Calibri"/>
        <family val="2"/>
        <scheme val="minor"/>
      </rPr>
      <t>using CHWs in sub-centres</t>
    </r>
  </si>
  <si>
    <t>weigh avg national cost per dose</t>
  </si>
  <si>
    <t xml:space="preserve">INR 2012 - Himachal Pradesh </t>
  </si>
  <si>
    <t>INR 2014 - Odisha, Kerala, Tamil Nadu</t>
  </si>
  <si>
    <t>MR CAMPAIGN COSTS</t>
  </si>
  <si>
    <t>Source: MR Vaccination Campaign Operational Guidelines (Annex 13)</t>
  </si>
  <si>
    <t>Himachal Pradesh</t>
  </si>
  <si>
    <t>Tamil Nadu</t>
  </si>
  <si>
    <t>Odisha</t>
  </si>
  <si>
    <t>Item</t>
  </si>
  <si>
    <t>Assumptions</t>
  </si>
  <si>
    <t>HR</t>
  </si>
  <si>
    <t>Micro-planning</t>
  </si>
  <si>
    <t>national</t>
  </si>
  <si>
    <t>1000 per block phc/chc/district for incidental expenses e.g. printing, photocopying</t>
  </si>
  <si>
    <t>Equipment</t>
  </si>
  <si>
    <r>
      <t xml:space="preserve">10000 per district as pool fund for transport of vaccines up to phc/chc + 50 per session site for transport from block phc/chc to session site </t>
    </r>
    <r>
      <rPr>
        <sz val="9"/>
        <color rgb="FFFF0000"/>
        <rFont val="Calibri"/>
        <family val="2"/>
        <scheme val="minor"/>
      </rPr>
      <t>Assume one session site per block</t>
    </r>
  </si>
  <si>
    <t>Vaccines</t>
  </si>
  <si>
    <t>Cold chain</t>
  </si>
  <si>
    <r>
      <t xml:space="preserve">2000 per phc/chc for generator + 4 for ice pack </t>
    </r>
    <r>
      <rPr>
        <sz val="9"/>
        <color rgb="FFFF0000"/>
        <rFont val="Calibri"/>
        <family val="2"/>
        <scheme val="minor"/>
      </rPr>
      <t>No estimate of no. of ice packs available</t>
    </r>
  </si>
  <si>
    <t>Supplies</t>
  </si>
  <si>
    <t>Supervision</t>
  </si>
  <si>
    <t>100 each for 3 team supervisors during 20 working days for each state, 800 per vehichle per day for two vehicles per block</t>
  </si>
  <si>
    <t>Capital</t>
  </si>
  <si>
    <t>Trainings</t>
  </si>
  <si>
    <t>10 vaccinators, 4 supervisors, 20 CHWs per PHC</t>
  </si>
  <si>
    <t>Furniture</t>
  </si>
  <si>
    <t>Meetings</t>
  </si>
  <si>
    <t xml:space="preserve">30 ToTs and other meetings, 30 participants on avg </t>
  </si>
  <si>
    <t>Mobile team</t>
  </si>
  <si>
    <t>800 per vehicle per day for one vehicle per block</t>
  </si>
  <si>
    <t>Stationery</t>
  </si>
  <si>
    <t>Community mob</t>
  </si>
  <si>
    <t xml:space="preserve">5 posters per 1,500 pop + INR 50,000 per state </t>
  </si>
  <si>
    <t>IEC material</t>
  </si>
  <si>
    <t>Printing cards</t>
  </si>
  <si>
    <t>Funds used</t>
  </si>
  <si>
    <t>Monitoring</t>
  </si>
  <si>
    <t>Cash benefit</t>
  </si>
  <si>
    <t>Total</t>
  </si>
  <si>
    <t>Parameter assumptions</t>
  </si>
  <si>
    <t xml:space="preserve">States </t>
  </si>
  <si>
    <t>Districts</t>
  </si>
  <si>
    <t>US$ 2017</t>
  </si>
  <si>
    <t>HP</t>
  </si>
  <si>
    <t>CHCs</t>
  </si>
  <si>
    <t>https://community.data.gov.in/functioning-community-health-centres-chcs-as-on-31-03-2016/</t>
  </si>
  <si>
    <t>Vaccine &amp; supplies</t>
  </si>
  <si>
    <t>PHCs</t>
  </si>
  <si>
    <t>https://community.data.gov.in/functioning-primary-health-centres-phcs-during-five-year-plans-as-on-31st-march-2014/</t>
  </si>
  <si>
    <t>Delivery</t>
  </si>
  <si>
    <t>days per state</t>
  </si>
  <si>
    <t>vehicles per state</t>
  </si>
  <si>
    <t>Nat avg TOT</t>
  </si>
  <si>
    <t>blocks</t>
  </si>
  <si>
    <t>as of 2012</t>
  </si>
  <si>
    <t>https://data.gov.in/catalog/number-districts-drdas-blocks-villages-country</t>
  </si>
  <si>
    <t>Nat avg delivery</t>
  </si>
  <si>
    <t>blocks per state avg</t>
  </si>
  <si>
    <t>Community + school-based campaign (as for MR)</t>
  </si>
  <si>
    <t>Unit price (US$)</t>
  </si>
  <si>
    <t>N</t>
  </si>
  <si>
    <t>transport</t>
  </si>
  <si>
    <t>cold storage, all levels</t>
  </si>
  <si>
    <t xml:space="preserve">cold storage, national </t>
  </si>
  <si>
    <t>cold storage, regional</t>
  </si>
  <si>
    <t>cold storage, facility</t>
  </si>
  <si>
    <t>cold boxes</t>
  </si>
  <si>
    <t>vaccination visit, nurse</t>
  </si>
  <si>
    <t>vaccination visit, LHW</t>
  </si>
  <si>
    <t>vaccination visit, other cost</t>
  </si>
  <si>
    <t>vaccination campaign, mobile team</t>
  </si>
  <si>
    <t>training, national level (TOT)</t>
  </si>
  <si>
    <t>training, regional level</t>
  </si>
  <si>
    <t>planning</t>
  </si>
  <si>
    <t>print materials</t>
  </si>
  <si>
    <t>supervision &amp; monitoring</t>
  </si>
  <si>
    <t>community orientation</t>
  </si>
  <si>
    <t>Unit cost, per item</t>
  </si>
  <si>
    <t>added cost per dose campaign</t>
  </si>
  <si>
    <t>Population</t>
  </si>
  <si>
    <t>UN pop division (https://esa.un.org/unpd/wpp/DataQuery/)</t>
  </si>
  <si>
    <t>over 2 years</t>
  </si>
  <si>
    <t>per month</t>
  </si>
  <si>
    <t>No omissions</t>
  </si>
  <si>
    <t>.</t>
  </si>
  <si>
    <t>.03</t>
  </si>
  <si>
    <t>Market Only</t>
  </si>
  <si>
    <t>USA</t>
  </si>
  <si>
    <t>Local Paid Income</t>
  </si>
  <si>
    <t>Did Not Specify</t>
  </si>
  <si>
    <t>Yes</t>
  </si>
  <si>
    <t>No</t>
  </si>
  <si>
    <t>Discussed</t>
  </si>
  <si>
    <t>None</t>
  </si>
  <si>
    <t>Real World</t>
  </si>
  <si>
    <t>Economic</t>
  </si>
  <si>
    <t>Provider</t>
  </si>
  <si>
    <t>Entire Program</t>
  </si>
  <si>
    <t>Convenience</t>
  </si>
  <si>
    <t>Longitudinal</t>
  </si>
  <si>
    <t>to assess the cost and cost-effectiveness of two of the first Public-Private Mix DOTS (PPM-DOTS) pprojects to be established in India</t>
  </si>
  <si>
    <t>Drug sensitive TB</t>
  </si>
  <si>
    <t>Adults</t>
  </si>
  <si>
    <t>1998</t>
  </si>
  <si>
    <t>2HRZE(S)/4HR</t>
  </si>
  <si>
    <t>Firstline Treatment</t>
  </si>
  <si>
    <t>Intensive; Continuation</t>
  </si>
  <si>
    <t>Public sector DOTS for tuberculosis (TB) control in India (Hyderabad)</t>
  </si>
  <si>
    <t>TB treatment</t>
  </si>
  <si>
    <t xml:space="preserve">Tb Treatment </t>
  </si>
  <si>
    <t>Mixed</t>
  </si>
  <si>
    <t>Fixed Facility</t>
  </si>
  <si>
    <t>Mixture</t>
  </si>
  <si>
    <t>Delhi and Hyderabad</t>
  </si>
  <si>
    <t>India </t>
  </si>
  <si>
    <t>https://www.ncbi.nlm.nih.gov/pmc/articles/PMC2627367/</t>
  </si>
  <si>
    <t>Bull World Health Organ. 2006;84(6):437–445</t>
  </si>
  <si>
    <t>Cost and cost-effectiveness of PPM-DOTS for tuberculosis control: evidence from India</t>
  </si>
  <si>
    <t>Per 6 Months</t>
  </si>
  <si>
    <t>Per Person Treated</t>
  </si>
  <si>
    <t>PPM-DOTS (public) - Hyderabad</t>
  </si>
  <si>
    <t>Floyd, K.</t>
  </si>
  <si>
    <t>tb483b</t>
  </si>
  <si>
    <t>Ignored</t>
  </si>
  <si>
    <t>No Costs Included</t>
  </si>
  <si>
    <t>Cross-Sectional</t>
  </si>
  <si>
    <t>To assess the cost and cost-effectiveness of public-private mix (PPM) for tuberculosis (TB) care and control when implemented on a large scale.</t>
  </si>
  <si>
    <t>Pulmonary</t>
  </si>
  <si>
    <t>Site Level Direct Service Provision;Above-Site Level Activities</t>
  </si>
  <si>
    <t>Public</t>
  </si>
  <si>
    <t>Bangalore City</t>
  </si>
  <si>
    <t>https://www.ncbi.nlm.nih.gov/pubmed/19460245</t>
  </si>
  <si>
    <t>Int J Tuberc Lung Dis. 2009;13(6):705-12</t>
  </si>
  <si>
    <t>Economic evaluation of public-private mix for tuberculosis care and control, India. Part II. Cost and cost-effectiveness</t>
  </si>
  <si>
    <t>Pre-PPM</t>
  </si>
  <si>
    <t>Pantoja, A.</t>
  </si>
  <si>
    <t>tb385a</t>
  </si>
  <si>
    <t>Partial Omissions</t>
  </si>
  <si>
    <t>IND</t>
  </si>
  <si>
    <t>Capital (Equipment (medical/intervention), Equipment (non-medical/intervention or unspecified), Vehicles, Building/space)</t>
  </si>
  <si>
    <t>The socio-economic impact of TB on
patients/family and the impact of
parental TB on children in particular (1 &amp; 2 studies) were studied in rural and urban areas of Tamil Nadu before and after the implementation of RNTCP, and estimation of provider cost for treating TB patients under RNTCP</t>
  </si>
  <si>
    <t>37% No education</t>
  </si>
  <si>
    <t>64% low SES, 32% medium SES, 4% high SES</t>
  </si>
  <si>
    <t>70% Male</t>
  </si>
  <si>
    <t>Smear positive</t>
  </si>
  <si>
    <t>2HREZ/4HRE</t>
  </si>
  <si>
    <t>The provider cost to treat a TB patient under RNTCP, category 1 (new sm+ patients)</t>
  </si>
  <si>
    <t>https://www.ncbi.nlm.nih.gov/pubmed/17373353</t>
  </si>
  <si>
    <t>J Commun Dis. 2006;38(3):204-15</t>
  </si>
  <si>
    <t>Socio-economic dimensions of tuberculosis control: Review of studies over two decades from Tuberculosis Research Center</t>
  </si>
  <si>
    <t>Provider cost; under RNTCP, category 1 (new sm+ patients)</t>
  </si>
  <si>
    <t>Muniyandi, M.</t>
  </si>
  <si>
    <t>tb464a</t>
  </si>
  <si>
    <t>Indirect Cost Was Calculated Based On Proportion Of
Staff Time For Tb Care Delivery And For Supervision
Of Tb Services.</t>
  </si>
  <si>
    <t>Purposive</t>
  </si>
  <si>
    <t>to measure unit provider cost for treating patients with tuberculosis</t>
  </si>
  <si>
    <t xml:space="preserve">cost of providing care for TB patients (category I regimen) by the governmental health system in Tsamil Nadu, India. </t>
  </si>
  <si>
    <t>http://medind.nic.in/ibr/t06/i1/ibrt06i1p12.pdf</t>
  </si>
  <si>
    <t>Indian J Tuberc. 2006;53:12-17</t>
  </si>
  <si>
    <t>Estimating provider cost for treating patients with tuberculosis under revised national tuberculosis control programme (RNTCP)</t>
  </si>
  <si>
    <t>tb772a</t>
  </si>
  <si>
    <t>Omitted summary</t>
  </si>
  <si>
    <t>Fixed</t>
  </si>
  <si>
    <t>Mixed - all types</t>
  </si>
  <si>
    <t>Mixed - semi-variable and variable</t>
  </si>
  <si>
    <t>Semi-variable</t>
  </si>
  <si>
    <t>Unspecified</t>
  </si>
  <si>
    <t>Variable</t>
  </si>
  <si>
    <t>Primary Service Delivery: Unspecified (A)</t>
  </si>
  <si>
    <t>TB: Directly Observed Therapy Short Course (DOTS)(A)</t>
  </si>
  <si>
    <t>Operational: HMIS and Record-Keeping (A)</t>
  </si>
  <si>
    <t>Operational: Logistics (A)</t>
  </si>
  <si>
    <t>Operational: Program Management (A)</t>
  </si>
  <si>
    <t>Operational: Supervision (A)</t>
  </si>
  <si>
    <t>Secondary Service Delivery: Unspecified (A)</t>
  </si>
  <si>
    <t>Primary SD: Lab Monitoring (A)</t>
  </si>
  <si>
    <t>Primary SD: ARV Delivery (A)</t>
  </si>
  <si>
    <t>Operational: Unspecified (A)</t>
  </si>
  <si>
    <t>Operational: Transportation (A)</t>
  </si>
  <si>
    <t>Operational: Training (A)</t>
  </si>
  <si>
    <t>Operational: Buildings and Equipment (A)</t>
  </si>
  <si>
    <t>Ancillary: Adherence/Retention (A)</t>
  </si>
  <si>
    <t>Ancillary: Demand Generation (A)</t>
  </si>
  <si>
    <t>Ancillary: Unspecified (A)</t>
  </si>
  <si>
    <t>Ancillary: Lab Services (A)</t>
  </si>
  <si>
    <t>Mixed (A)</t>
  </si>
  <si>
    <t>Secondary Service Delivery (A)</t>
  </si>
  <si>
    <t>Primary Service Delivery (A)</t>
  </si>
  <si>
    <t>Operational (A)</t>
  </si>
  <si>
    <t>Ancillary (A)</t>
  </si>
  <si>
    <t>Recurring: Non-medical Supplies (SI)</t>
  </si>
  <si>
    <t>Recurring: Other (SI)</t>
  </si>
  <si>
    <t>Recurring: Medical Supplies (excluding drugs) (SI)</t>
  </si>
  <si>
    <t>Recurring: Supplies (key drugs) (SI)</t>
  </si>
  <si>
    <t>Recurring: Building Space (SI)</t>
  </si>
  <si>
    <t>Personnel: Mixed Unspecified (SI)</t>
  </si>
  <si>
    <t>Personnel: Support (SI)</t>
  </si>
  <si>
    <t>Personnel: Direct Service Delivery (SI)</t>
  </si>
  <si>
    <t>Capital: Vehicles (SI)</t>
  </si>
  <si>
    <t>Capital: Equipment (non-medical) (SI)</t>
  </si>
  <si>
    <t>Capital: Other (SI)</t>
  </si>
  <si>
    <t>Capital: Equipment (medical) (SI)</t>
  </si>
  <si>
    <t>Capital: Building/space (SI)</t>
  </si>
  <si>
    <t>Unspecified (SI)</t>
  </si>
  <si>
    <t>Recurrent Goods (SI)</t>
  </si>
  <si>
    <t>Personnel (SI)</t>
  </si>
  <si>
    <t>Mixed (SI)</t>
  </si>
  <si>
    <t>Combined (SI)</t>
  </si>
  <si>
    <t>Capital (SI)</t>
  </si>
  <si>
    <t>Mean Unit Cost</t>
  </si>
  <si>
    <t>Inflation rate</t>
  </si>
  <si>
    <t>Discount Rate</t>
  </si>
  <si>
    <t>Currency Exchange Rate</t>
  </si>
  <si>
    <t>Currency Exchange Method</t>
  </si>
  <si>
    <t>Currency of Data Collection</t>
  </si>
  <si>
    <t>Reported Currency</t>
  </si>
  <si>
    <t>Reported Currency Year</t>
  </si>
  <si>
    <t>Catastrophic Cost Calculated</t>
  </si>
  <si>
    <t>Patient-Incurred Costs Measured</t>
  </si>
  <si>
    <t>Valuing Family Time</t>
  </si>
  <si>
    <t>Valuing Volunteer Time</t>
  </si>
  <si>
    <t>Overhead Costs List</t>
  </si>
  <si>
    <t>Overhead Costs Included</t>
  </si>
  <si>
    <t>Unrelated Costs Included</t>
  </si>
  <si>
    <t>Research Costs Included</t>
  </si>
  <si>
    <t>Economies of scale</t>
  </si>
  <si>
    <t>Sensitivity Analysis</t>
  </si>
  <si>
    <t>Omitted Costs</t>
  </si>
  <si>
    <t>Above Service Cost List</t>
  </si>
  <si>
    <t>Above Service Costs Included</t>
  </si>
  <si>
    <t>Real World / Per Protocol</t>
  </si>
  <si>
    <t>Economic / Financial</t>
  </si>
  <si>
    <t>Perspective</t>
  </si>
  <si>
    <t>Controls</t>
  </si>
  <si>
    <t>Sample size formally derived</t>
  </si>
  <si>
    <t>Patient Sampling</t>
  </si>
  <si>
    <t>Site Sampling</t>
  </si>
  <si>
    <t>Geographic Area In Country Sampling</t>
  </si>
  <si>
    <t>Country Sampling</t>
  </si>
  <si>
    <t>Timing</t>
  </si>
  <si>
    <t>Costing Purpose</t>
  </si>
  <si>
    <t>TB Drug Resistance</t>
  </si>
  <si>
    <t>TB Prevalence</t>
  </si>
  <si>
    <t>HIV Prevalence</t>
  </si>
  <si>
    <t>Education</t>
  </si>
  <si>
    <t>SES</t>
  </si>
  <si>
    <t>Gender</t>
  </si>
  <si>
    <t>Average Age</t>
  </si>
  <si>
    <t>Target group (clinical)</t>
  </si>
  <si>
    <t>Target group (demographic)</t>
  </si>
  <si>
    <t>Coverage</t>
  </si>
  <si>
    <t>Year introduced at study site</t>
  </si>
  <si>
    <t>Total Months</t>
  </si>
  <si>
    <t>End Year</t>
  </si>
  <si>
    <t>End Month</t>
  </si>
  <si>
    <t>Start Year</t>
  </si>
  <si>
    <t>Start Month</t>
  </si>
  <si>
    <t>Costed activities</t>
  </si>
  <si>
    <t>Software and electronics system</t>
  </si>
  <si>
    <t>Health system</t>
  </si>
  <si>
    <t>Community awareness</t>
  </si>
  <si>
    <t>Screening and diagnosis</t>
  </si>
  <si>
    <t>Treatment</t>
  </si>
  <si>
    <t>ARV Regimen</t>
  </si>
  <si>
    <t>Technology detail</t>
  </si>
  <si>
    <t>Technology</t>
  </si>
  <si>
    <t>Method</t>
  </si>
  <si>
    <t>Referrals</t>
  </si>
  <si>
    <t>Visit type &amp; number</t>
  </si>
  <si>
    <t>Supportive care</t>
  </si>
  <si>
    <t>Staff type &amp; number</t>
  </si>
  <si>
    <t>Counseling content</t>
  </si>
  <si>
    <t>Demand generation</t>
  </si>
  <si>
    <t>Clinical monitoring</t>
  </si>
  <si>
    <t>Treatment phase</t>
  </si>
  <si>
    <t>Intervention Description (Long)</t>
  </si>
  <si>
    <t>Intervention Category</t>
  </si>
  <si>
    <t>Intervention Type</t>
  </si>
  <si>
    <t>Platform specificity</t>
  </si>
  <si>
    <t>Platform</t>
  </si>
  <si>
    <t>Ownership</t>
  </si>
  <si>
    <t>Urbanicity</t>
  </si>
  <si>
    <t>Sites</t>
  </si>
  <si>
    <t>Location</t>
  </si>
  <si>
    <t>URL</t>
  </si>
  <si>
    <t>Journal</t>
  </si>
  <si>
    <t>Title</t>
  </si>
  <si>
    <t>Output Unit (Integrated, generic)</t>
  </si>
  <si>
    <t>Output unit</t>
  </si>
  <si>
    <t>Sub-Studies Unique Trait</t>
  </si>
  <si>
    <t>Reference Year</t>
  </si>
  <si>
    <t>Lead Author</t>
  </si>
  <si>
    <t>Disease</t>
  </si>
  <si>
    <t>ID Variable</t>
  </si>
  <si>
    <t>same as routine delivery + leaflets</t>
  </si>
  <si>
    <t>Average among no omission, FLT, public only</t>
  </si>
  <si>
    <t>c_MDR_new</t>
  </si>
  <si>
    <t>Public expenditures as per WHO</t>
  </si>
  <si>
    <t>patient nutritional support</t>
  </si>
  <si>
    <t>all patients treated</t>
  </si>
  <si>
    <t>500 rupies</t>
  </si>
  <si>
    <t>c_patientsupp</t>
  </si>
  <si>
    <t>incentives to private sector</t>
  </si>
  <si>
    <t>250 rupies per person month treatment and 500 per treatment completed</t>
  </si>
  <si>
    <t>The NTP schedule is 2 DST's during the intensive phase (baseline, 6 months), of which 90% have it done (=1.8). And 2 during the continuation phase (12, 18 months) of which 60% are done (=1.2). This because not all cultures are positive, so then DST is not done.</t>
  </si>
  <si>
    <t>Cost of TB testing: GXP (incremental to TB diagnosis)</t>
  </si>
  <si>
    <t>Cost of person month on new MDR-TB treatment</t>
  </si>
  <si>
    <t>taken from Tupasi (Philipines, DOTS-Plus program).</t>
  </si>
  <si>
    <t>usd 2017</t>
  </si>
  <si>
    <t>Christopher Fitzpatrick, MSc, #a Zhang Hui, PhD, #b Wang Lixia, MS, #b Li Renzhong, MS, b Ruan Yunzhou, PhD, b Chen Mingting, MS, b Zhao Yanlin, PhD, b Zhao Jin, MS, b Su Wei, MS, b Xu Caihong, MS, b Chen Cheng, MS, b Timothy Alston, MSc, a Qu Yan, MS, b Lv Chengfei, MS, c Fu Yunting, MS b , Huan Shitong, MS, d Sun Qiang, PhD,*c Fabio Scano, MD, e Daniel P Chin, MD, d Katherine Floyd, PhD a</t>
  </si>
  <si>
    <t>The cost-effectiveness of a new model of universal coverage for multidrug-resistant tuberculosis in China</t>
  </si>
  <si>
    <t>BULL WHO (review?)</t>
  </si>
  <si>
    <t>X片例均成本</t>
  </si>
  <si>
    <t>Consumable costs</t>
  </si>
  <si>
    <t>耗材成本</t>
  </si>
  <si>
    <t>Equipment costs</t>
  </si>
  <si>
    <t>设备成本</t>
  </si>
  <si>
    <t>Construction costs</t>
  </si>
  <si>
    <t>建筑成本</t>
  </si>
  <si>
    <t>Labor costs</t>
  </si>
  <si>
    <t>人力成本</t>
  </si>
  <si>
    <t>11years of xrays</t>
  </si>
  <si>
    <t>11年拍片数量</t>
    <phoneticPr fontId="0" type="noConversion"/>
  </si>
  <si>
    <t>Chongqing</t>
    <phoneticPr fontId="0" type="noConversion"/>
  </si>
  <si>
    <t>Lian Yungang</t>
    <phoneticPr fontId="0" type="noConversion"/>
  </si>
  <si>
    <t>Kaifeng</t>
    <phoneticPr fontId="0" type="noConversion"/>
  </si>
  <si>
    <t>Hu Hehaote</t>
    <phoneticPr fontId="0" type="noConversion"/>
  </si>
  <si>
    <t>XRAY</t>
  </si>
  <si>
    <t>culture</t>
  </si>
  <si>
    <t>痰培养例均成本</t>
  </si>
  <si>
    <t>smear</t>
  </si>
  <si>
    <t>痰涂片例均成本</t>
  </si>
  <si>
    <t>building</t>
  </si>
  <si>
    <t>分摊到痰涂片的建筑成本</t>
  </si>
  <si>
    <t>分摊到痰涂片的人力成本</t>
  </si>
  <si>
    <t>material</t>
  </si>
  <si>
    <t>痰涂片的耗材成本</t>
  </si>
  <si>
    <t xml:space="preserve">equipment </t>
  </si>
  <si>
    <t>痰涂片的设备成本</t>
  </si>
  <si>
    <t>proportion attributable to smear</t>
  </si>
  <si>
    <t>痰涂片工作量占整个实验室工作量的比例</t>
  </si>
  <si>
    <t>depreciation costs (annual)</t>
  </si>
  <si>
    <t>实验室年均折旧成本</t>
  </si>
  <si>
    <t>实验室建筑成本</t>
  </si>
  <si>
    <t>personnel costs</t>
  </si>
  <si>
    <t>实验室人力成本</t>
  </si>
  <si>
    <t>11年该实验室开展所有实验项目的数量</t>
  </si>
  <si>
    <t>number of sputum (11 yrs)</t>
  </si>
  <si>
    <t>lower outpatient visits, higher non-personnel expenditure</t>
    <phoneticPr fontId="0" type="noConversion"/>
  </si>
  <si>
    <t>missing</t>
    <phoneticPr fontId="0" type="noConversion"/>
  </si>
  <si>
    <t xml:space="preserve">unit cost </t>
    <phoneticPr fontId="0" type="noConversion"/>
  </si>
  <si>
    <t>Support equipment costs</t>
  </si>
  <si>
    <t>Support of construction costs</t>
  </si>
  <si>
    <t>Other non- personnel expenditures hospital</t>
  </si>
  <si>
    <t>Other administrative and logistics management personnel costs</t>
  </si>
  <si>
    <t>General and administrative personnel costs</t>
  </si>
  <si>
    <t>Annual depreciation costs clinic building</t>
  </si>
  <si>
    <t>门诊大楼年均折旧成本</t>
    <phoneticPr fontId="0" type="noConversion"/>
  </si>
  <si>
    <t>Other personnel costs</t>
  </si>
  <si>
    <t>Doctors personnel costs</t>
  </si>
  <si>
    <t>Nursing costs</t>
  </si>
  <si>
    <t>COST OUTPATIENT</t>
  </si>
  <si>
    <t>unit cost</t>
    <phoneticPr fontId="0" type="noConversion"/>
  </si>
  <si>
    <t>TB Room annual depreciation costs</t>
  </si>
  <si>
    <t>sensitive cost</t>
    <phoneticPr fontId="0" type="noConversion"/>
  </si>
  <si>
    <t>COST INPATIENT</t>
  </si>
  <si>
    <r>
      <rPr>
        <sz val="11"/>
        <color indexed="8"/>
        <rFont val="宋体"/>
        <charset val="134"/>
      </rPr>
      <t>护理人员成本</t>
    </r>
  </si>
  <si>
    <r>
      <rPr>
        <sz val="11"/>
        <color indexed="8"/>
        <rFont val="宋体"/>
        <charset val="134"/>
      </rPr>
      <t>医生人员成本</t>
    </r>
  </si>
  <si>
    <r>
      <rPr>
        <sz val="11"/>
        <color indexed="8"/>
        <rFont val="宋体"/>
        <charset val="134"/>
      </rPr>
      <t>其他人员成本</t>
    </r>
  </si>
  <si>
    <r>
      <rPr>
        <sz val="11"/>
        <color indexed="8"/>
        <rFont val="宋体"/>
        <charset val="134"/>
      </rPr>
      <t>结核病房年均折旧成本</t>
    </r>
  </si>
  <si>
    <r>
      <rPr>
        <sz val="11"/>
        <color indexed="8"/>
        <rFont val="宋体"/>
        <charset val="134"/>
      </rPr>
      <t>综合行政管理人员成本</t>
    </r>
  </si>
  <si>
    <r>
      <rPr>
        <sz val="11"/>
        <color indexed="8"/>
        <rFont val="宋体"/>
        <charset val="134"/>
      </rPr>
      <t>其他行政和后勤管理人员成本</t>
    </r>
  </si>
  <si>
    <r>
      <rPr>
        <sz val="11"/>
        <color indexed="8"/>
        <rFont val="宋体"/>
        <charset val="134"/>
      </rPr>
      <t>医院其他非人员性支出</t>
    </r>
  </si>
  <si>
    <r>
      <rPr>
        <sz val="11"/>
        <color indexed="8"/>
        <rFont val="宋体"/>
        <charset val="134"/>
      </rPr>
      <t>支持性建筑成本</t>
    </r>
  </si>
  <si>
    <r>
      <rPr>
        <sz val="11"/>
        <color indexed="8"/>
        <rFont val="宋体"/>
        <charset val="134"/>
      </rPr>
      <t>支持性设备成本</t>
    </r>
  </si>
  <si>
    <r>
      <t>11</t>
    </r>
    <r>
      <rPr>
        <sz val="11"/>
        <color indexed="8"/>
        <rFont val="宋体"/>
        <charset val="134"/>
      </rPr>
      <t>年痰涂片数量</t>
    </r>
  </si>
  <si>
    <t>Four cities study (primary data): https://www.ncbi.nlm.nih.gov/pubmed/26549905</t>
  </si>
  <si>
    <t>Yoko Lawrence Lit review</t>
  </si>
  <si>
    <t>WB deflator</t>
  </si>
  <si>
    <t>http://databank.worldbank.org/data/reports.aspx?source=2&amp;series=NY.GDP.DEFL.KD.ZG&amp;country=</t>
  </si>
  <si>
    <t>Provider mean DS-TB treatment costs per patient (2012 US$)</t>
  </si>
  <si>
    <t>First author</t>
  </si>
  <si>
    <t>Intervention chosen</t>
  </si>
  <si>
    <t>Hospitalisation</t>
  </si>
  <si>
    <t>Outpatient</t>
  </si>
  <si>
    <t>Diagnostic tests</t>
  </si>
  <si>
    <t xml:space="preserve">Total </t>
  </si>
  <si>
    <t>DOTS</t>
  </si>
  <si>
    <t>NI</t>
  </si>
  <si>
    <t>Provider mean DR-TB treatment costs per patient (2012 US$)</t>
  </si>
  <si>
    <t xml:space="preserve"> Mean DS-TB treatment costs reported by patients (2012 US$)</t>
  </si>
  <si>
    <t>User fees</t>
  </si>
  <si>
    <t>Productivity loss</t>
  </si>
  <si>
    <t>---</t>
  </si>
  <si>
    <t>14. Xu Q, Jin SG, Zhang LX (2000) Cost effectiveness of DOTS and non-DOTS strategies for smear-positive pulmonary tuberculosis in Beijing. Biomed Environ Sci 13: 307-313.</t>
  </si>
  <si>
    <t>37. Jackson S, Sleigh AC, Wang GJ, Liu XL (2006) Poverty and the economic effects of TB in rural China. Int J Tuberc Lung Dis 10: 1104-1110.</t>
  </si>
  <si>
    <t>38. Liu X, Thomson R, Gong Y, Zhao F, Squire SB, et al. (2007) How affordable are tuberculosis diagnosis and treatment in rural China? An analysis from community and tuberculosis patient perspectives. Trop Med Int Health 12: 1464-1471.</t>
  </si>
  <si>
    <t>Xu [14]</t>
  </si>
  <si>
    <t>Jackson [37]</t>
  </si>
  <si>
    <t>Liu [38]</t>
  </si>
  <si>
    <t>unit cost</t>
  </si>
  <si>
    <t>currency</t>
  </si>
  <si>
    <t>USD (2017)</t>
  </si>
  <si>
    <t>payer</t>
  </si>
  <si>
    <t>n</t>
  </si>
  <si>
    <t>reference</t>
  </si>
  <si>
    <t>Health service costs</t>
  </si>
  <si>
    <t>Diagnosis</t>
  </si>
  <si>
    <t>sputum induction/session</t>
  </si>
  <si>
    <t>USD (1997)</t>
  </si>
  <si>
    <t>health service</t>
  </si>
  <si>
    <t>Sputum induction to improve the diagnostic yield in patients with suspected pulmonary tuberculosis. Li et al. IJTLD 1999; 3(12):1137–1139</t>
  </si>
  <si>
    <t>cost of conventional DST for MDR diagnosis</t>
  </si>
  <si>
    <t>USD (2011)</t>
  </si>
  <si>
    <t>Pang Y, Li Q, Ou X, Sohn H, Zhang Z, et al. (2013) Cost-Effectiveness Comparison of Genechip and Conventional Drug Susceptibility Test for Detecting Multidrug-Resistant Tuberculosis in China. PLoS ONE 8(7): e69267</t>
  </si>
  <si>
    <t>cost of Genechip for MDR diagnosis</t>
  </si>
  <si>
    <t>Pang Y, Li Q, Ou X, Sohn H, Zhang Z, et al. (2013) Cost-Effectiveness Comparison of Genechip and Conventional Drug Susceptibility Test for Detecting Multidrug-Resistant Tuberculosis in China. PLoS ONE 8(7): e69268</t>
  </si>
  <si>
    <t>cost of modifying a laboratory for conventional DST</t>
  </si>
  <si>
    <t>cost of modifying a laboratory for Genechip</t>
  </si>
  <si>
    <t>Pang Y, Li Q, Ou X, Sohn H, Zhang Z, et al. (2013) Cost-Effectiveness Comparison of Genechip and Conventional Drug Susceptibility Test for Detecting Multidrug-Resistant Tuberculosis in China. PLoS ONE 8(7): e69269</t>
  </si>
  <si>
    <t>cost of purchasing intruments, conventional DST</t>
  </si>
  <si>
    <t>Pang Y, Li Q, Ou X, Sohn H, Zhang Z, et al. (2013) Cost-Effectiveness Comparison of Genechip and Conventional Drug Susceptibility Test for Detecting Multidrug-Resistant Tuberculosis in China. PLoS ONE 8(7): e69270</t>
  </si>
  <si>
    <t>cost of purchasing intruments, Genechip</t>
  </si>
  <si>
    <t>Pang Y, Li Q, Ou X, Sohn H, Zhang Z, et al. (2013) Cost-Effectiveness Comparison of Genechip and Conventional Drug Susceptibility Test for Detecting Multidrug-Resistant Tuberculosis in China. PLoS ONE 8(7): e69271</t>
  </si>
  <si>
    <t>Bil J, van de Hof S, Cobelens F</t>
  </si>
  <si>
    <t>chest x ray</t>
  </si>
  <si>
    <t>Estimate from WHO - TB Planning and Budgeting Tool (2014)</t>
  </si>
  <si>
    <t>Yuan (2011)</t>
  </si>
  <si>
    <t>Sun (four cities)</t>
  </si>
  <si>
    <t>USD (2010)</t>
  </si>
  <si>
    <t>Xia et al (2013). Multicentre evaluation of Ziehl-Neelsen and light-emitting diode fluorescence microscopy in China. INT J TUBERC LUNG DIS 17(1):107–112</t>
  </si>
  <si>
    <t>From india</t>
  </si>
  <si>
    <t>Xpert (cartridge only)</t>
  </si>
  <si>
    <t>USD (2012)</t>
  </si>
  <si>
    <t>http://www.finddiagnostics.org/about/what_we_do/successes/find-negotiated-prices/xpert_mtb_rif.html</t>
  </si>
  <si>
    <t>Xpert (all)</t>
  </si>
  <si>
    <t xml:space="preserve">outpatient costs per visit (Health Centre, no beds) </t>
  </si>
  <si>
    <t>USD (2008)</t>
  </si>
  <si>
    <t>WHO CHOICE</t>
  </si>
  <si>
    <t>outpatient costs per visit (Hospital, no beds) (CDC cost)</t>
  </si>
  <si>
    <t>outpatient costs per visit (patient fee) (county level)</t>
  </si>
  <si>
    <t>Yuan (2010)</t>
  </si>
  <si>
    <t>Sun</t>
  </si>
  <si>
    <t>outpatient visit (designated hospital/CDC)</t>
  </si>
  <si>
    <t xml:space="preserve">frequency of visits </t>
  </si>
  <si>
    <t>Patients from Wanzhou County only visited TB dispensary 3 to 4 times during treatment, whereas in the other three counties/districts, patients were required to visit the TB dispensary every month, which meant at least 6 times for newly diagnosed patients and 8 times for retreated ones. </t>
  </si>
  <si>
    <t>Zhao Q, Wang L, Tao T, Xu B (2013) Impacts of the “transport subsidy initiative on poor TB patients” in Rural China: A Patient-Cohort Based Longitudinal Study in Rural China. PLoS ONE 8(11): e82503.</t>
  </si>
  <si>
    <t>Average visits (DS-TB)</t>
  </si>
  <si>
    <t>WHO (Andrew's email)</t>
  </si>
  <si>
    <t>drugs (RHZE per tablet)</t>
  </si>
  <si>
    <t>USD (2013)</t>
  </si>
  <si>
    <t>MSH</t>
  </si>
  <si>
    <t>http://erc.msh.org/dmpguide/resultsdetail.cfm?language=english&amp;code=ISRPE150T&amp;s_year=2013&amp;year=2013&amp;str=&amp;desc=Rifamp%2E%2BIsoniazid%2BPyrazin%2E%2BEthambut%2E&amp;pack=new&amp;frm=TAB-CAP&amp;rte=PO&amp;class_code2=06.2.4.&amp;supplement=&amp;class_name=Antituberculosis%20medicines</t>
  </si>
  <si>
    <t>drugs (RH per tablet)</t>
  </si>
  <si>
    <t>http://erc.msh.org/dmpguide/resultsdetail.cfm?language=english&amp;code=ISR300T&amp;s_year=2013&amp;year=2013&amp;str=300%2B150%20mg&amp;desc=Rifampicin%2BIsoniazid&amp;pack=new&amp;frm=TAB-CAP&amp;rte=PO&amp;class_code2=06.2.4.&amp;supplement=&amp;class_name=Antituberculosis%20medicines</t>
  </si>
  <si>
    <t>FL treatment</t>
  </si>
  <si>
    <t>press release</t>
  </si>
  <si>
    <t>http://www.reuters.com/article/2010/01/06/us-tuberculosis-china-idUSTRE60501Z20100106 : Regular TB costs 1,000 yuan to treat in China but drug-resistant TB ranges from 100,000 to 300,000 yuan per person, said Zhong Qiu of China's TB Expert Consultative Committee.</t>
  </si>
  <si>
    <t>medication monitoring (box)</t>
  </si>
  <si>
    <t>USD (2014)</t>
  </si>
  <si>
    <t>Beijing workshop, 2015</t>
  </si>
  <si>
    <t>Target price per unit 10USD; reusable for two years</t>
  </si>
  <si>
    <t>MDR treatment</t>
  </si>
  <si>
    <t>Treatment cost per month (USD 2012: 8632 per 24mo)</t>
  </si>
  <si>
    <t>Average hospital duration in days (MDR-TB)</t>
  </si>
  <si>
    <t>Cost per bed day US$ (primary level hospital)</t>
  </si>
  <si>
    <t>intervention: charges of hospital per MDR patient</t>
  </si>
  <si>
    <t>annual</t>
  </si>
  <si>
    <t>Li R, et al. (2015) Effect of a comprehensive programme to provide universal access to care for sputum-smear-positive multidrug-resistant tuberculosis in China: a before-and-after study. Lancet Global Health 2015;3:e217-28</t>
  </si>
  <si>
    <t>intervention: OOP per MDR patient</t>
  </si>
  <si>
    <t>Li R, et al. (2015) Effect of a comprehensive programme to provide universal access to care for sputum-smear-positive multidrug-resistant tuberculosis in China: a before-and-after study. Lancet Global Health 2015;3:e217-29</t>
  </si>
  <si>
    <t>intervention: insurance payment</t>
  </si>
  <si>
    <t>intervention: project payment</t>
  </si>
  <si>
    <t>Li R, et al. (2015) Effect of a comprehensive programme to provide universal access to care for sputum-smear-positive multidrug-resistant tuberculosis in China: a before-and-after study. Lancet Global Health 2015;3:e217-30</t>
  </si>
  <si>
    <t>baseline: charges of hospital per MDR patient</t>
  </si>
  <si>
    <t>baseline: insurance payment</t>
  </si>
  <si>
    <t>baseline: OOP per MDR patient</t>
  </si>
  <si>
    <t>Patient costs</t>
  </si>
  <si>
    <t>Direct costs: medical</t>
  </si>
  <si>
    <t>medical-related costs (Fujian)</t>
  </si>
  <si>
    <t>Yuan (2004)</t>
  </si>
  <si>
    <t>patient</t>
  </si>
  <si>
    <t>How affordable are tuberculosis diagnosis and treatment in rural China? An analysis from community and tuberculosis patient perspectives. Liu et al. Tropical Medicine and International Health 2007; 12(12):1464–1471</t>
  </si>
  <si>
    <t>medical-related costs (Henan)</t>
  </si>
  <si>
    <t>How affordable are tuberculosis diagnosis and treatment in rural China? An analysis from community and tuberculosis patient perspectives. Liu et al. Tropical Medicine and International Health 2007; 12(12):1464–1472</t>
  </si>
  <si>
    <t>medical-related costs (Liaoning)</t>
  </si>
  <si>
    <t>How affordable are tuberculosis diagnosis and treatment in rural China? An analysis from community and tuberculosis patient perspectives. Liu et al. Tropical Medicine and International Health 2007; 12(12):1464–1473</t>
  </si>
  <si>
    <t>medical-related costs (Xinjiang)</t>
  </si>
  <si>
    <t>How affordable are tuberculosis diagnosis and treatment in rural China? An analysis from community and tuberculosis patient perspectives. Liu et al. Tropical Medicine and International Health 2007; 12(12):1464–1474</t>
  </si>
  <si>
    <t>total medical costs</t>
  </si>
  <si>
    <t>Pan et al (2013) Analysis of the economic burden of diagnosis and treatment of tuberculosis patients in rural China. IJTLD 17(12):1575–1580</t>
  </si>
  <si>
    <t>out-patient (medical costs)</t>
  </si>
  <si>
    <t>Pan et al (2013) Analysis of the economic burden of diagnosis and treatment of tuberculosis patients in rural China. IJTLD 17(12):1575–1581</t>
  </si>
  <si>
    <t>hospitalisation (medical costs)</t>
  </si>
  <si>
    <t>Pan et al (2013) Analysis of the economic burden of diagnosis and treatment of tuberculosis patients in rural China. IJTLD 17(12):1575–1582</t>
  </si>
  <si>
    <t>cost among hospitalised patients</t>
  </si>
  <si>
    <t>Pan et al (2013) Analysis of the economic burden of diagnosis and treatment of tuberculosis patients in rural China. IJTLD 17(12):1575–1583</t>
  </si>
  <si>
    <t>direct cost before diagnosis (out of pocket expenditures), dispensary model</t>
  </si>
  <si>
    <t>Yuan (2007)</t>
  </si>
  <si>
    <t>Wei et al. China tuberculosis policy at crucial crossroads: comparing the practice of different hospital and tuberculosis control collaboration models using survey data. PLoS One. 2014 Mar 12;9(3):e90596.</t>
  </si>
  <si>
    <t>direct cost before diagnosis (out of pocket expenditures), specialist model</t>
  </si>
  <si>
    <t>direct cost before diagnosis (out of pocket expenditures), integrated model</t>
  </si>
  <si>
    <t>direct cost between diagnosis and DOTS (out of pocket expenditures), dispensary model</t>
  </si>
  <si>
    <t>direct cost between diagnosis and DOTS (out of pocket expenditures), specialist model</t>
  </si>
  <si>
    <t>direct cost between diagnosis and DOTS (out of pocket expenditures), integrated model</t>
  </si>
  <si>
    <t>direct cost during DOTS (out of pocket expenditures), dispensary model</t>
  </si>
  <si>
    <t>In this study, the TB treatment period was recorded in patient charts. The actual TB treatment period was usually longer than the recommended six months. Patients could not enjoy free treatment for the extra time exceeding the standard TB treatment time.</t>
  </si>
  <si>
    <t>direct cost during DOTS (out of pocket expenditures), specialist model</t>
  </si>
  <si>
    <t>direct cost during DOTS (out of pocket expenditures), integrated model</t>
  </si>
  <si>
    <t>cost per day in hospital, dispensary model</t>
  </si>
  <si>
    <t>weighted average - divided the total cost of stay by average number of days in hospital</t>
  </si>
  <si>
    <t>cost per day in hospital, specialist model</t>
  </si>
  <si>
    <t>cost per day in hospital, integrated model</t>
  </si>
  <si>
    <t>Direct medical costs (period dx to tx completion), in county TB clinic</t>
  </si>
  <si>
    <t>Yuan (2003)</t>
  </si>
  <si>
    <t>Jackson et al. Poverty and the economic effects of TB in rural China. IJTLD 2006; 10(10):1104–1110</t>
  </si>
  <si>
    <t>cost measured from diagnosis to treatment completion. divided the total cost by average duration from diagnosis to treatment completion (8.5mo)</t>
  </si>
  <si>
    <t>Direct medical costs (period dx to tx completion), in general hospital or private clinic</t>
  </si>
  <si>
    <t>Jackson et al. Poverty and the economic effects of TB in rural China. IJTLD 2006; 10(10):1104–1111</t>
  </si>
  <si>
    <t>Direct medical costs (period dx to tx completion), in TB clinic above county level</t>
  </si>
  <si>
    <t>Jackson et al. Poverty and the economic effects of TB in rural China. IJTLD 2006; 10(10):1104–1112</t>
  </si>
  <si>
    <t>Patient medical costs before hospital (dispensary)</t>
  </si>
  <si>
    <t>USD (2007)</t>
  </si>
  <si>
    <t>Sun et al. Does integration of TB medical services in the general hospital improve the quality of TB care? Evidence from a case study in China. JPH 2012 35(2):322-328</t>
  </si>
  <si>
    <t>cannot find the duration for this cost</t>
  </si>
  <si>
    <t>Patient medical costs in hospital (dispensary)</t>
  </si>
  <si>
    <t>Sun et al. Does integration of TB medical services in the general hospital improve the quality of TB care? Evidence from a case study in China. JPH 2012 35(2):322-329</t>
  </si>
  <si>
    <t>Patient medical costs before hospital (integrated)</t>
  </si>
  <si>
    <t>Sun et al. Does integration of TB medical services in the general hospital improve the quality of TB care? Evidence from a case study in China. JPH 2012 35(2):322-330</t>
  </si>
  <si>
    <t>Patient medical costs in hospital (integrated)</t>
  </si>
  <si>
    <t>Sun et al. Does integration of TB medical services in the general hospital improve the quality of TB care? Evidence from a case study in China. JPH 2012 35(2):322-331</t>
  </si>
  <si>
    <t>direct other</t>
  </si>
  <si>
    <t>non-medical-related costs (Fujian)</t>
  </si>
  <si>
    <t>How affordable are tuberculosis diagnosis and treatment in rural China? An analysis from community and tuberculosis patient perspectives. Liu et al. Tropical Medicine and International Health 2007; 12(12):1464–1475</t>
  </si>
  <si>
    <t>non-medical-related costs (Henan)</t>
  </si>
  <si>
    <t>How affordable are tuberculosis diagnosis and treatment in rural China? An analysis from community and tuberculosis patient perspectives. Liu et al. Tropical Medicine and International Health 2007; 12(12):1464–1476</t>
  </si>
  <si>
    <t>non-medical-related costs (Liaoning)</t>
  </si>
  <si>
    <t>How affordable are tuberculosis diagnosis and treatment in rural China? An analysis from community and tuberculosis patient perspectives. Liu et al. Tropical Medicine and International Health 2007; 12(12):1464–1477</t>
  </si>
  <si>
    <t>non-medical-related costs (Xinjiang)</t>
  </si>
  <si>
    <t>How affordable are tuberculosis diagnosis and treatment in rural China? An analysis from community and tuberculosis patient perspectives. Liu et al. Tropical Medicine and International Health 2007; 12(12):1464–1478</t>
  </si>
  <si>
    <t>total non-medical costs</t>
  </si>
  <si>
    <t>Pan et al (2013) Analysis of the economic burden of diagnosis and treatment of tuberculosis patients in rural China. IJTLD 17(12):1575–1584</t>
  </si>
  <si>
    <t>transportation (non-medical costs)</t>
  </si>
  <si>
    <t>Pan et al (2013) Analysis of the economic burden of diagnosis and treatment of tuberculosis patients in rural China. IJTLD 17(12):1575–1585</t>
  </si>
  <si>
    <t>accommodation and food (non-medical costs)</t>
  </si>
  <si>
    <t>Pan et al (2013) Analysis of the economic burden of diagnosis and treatment of tuberculosis patients in rural China. IJTLD 17(12):1575–1586</t>
  </si>
  <si>
    <t>self-medication (traditional medicine)</t>
  </si>
  <si>
    <t>Jackson et al. Poverty and the economic effects of TB in rural China. IJTLD 2006; 10(10):1104–1113</t>
  </si>
  <si>
    <t>Direct non-medical costs (transport for patient and companions)</t>
  </si>
  <si>
    <t>Jackson et al. Poverty and the economic effects of TB in rural China. IJTLD 2006; 10(10):1104–1114</t>
  </si>
  <si>
    <t>Direct non-medical costs (food during travel for patient and companions)</t>
  </si>
  <si>
    <t>Jackson et al. Poverty and the economic effects of TB in rural China. IJTLD 2006; 10(10):1104–1115</t>
  </si>
  <si>
    <t>Direct non-medical costs (food taken by patients)</t>
  </si>
  <si>
    <t>Jackson et al. Poverty and the economic effects of TB in rural China. IJTLD 2006; 10(10):1104–1116</t>
  </si>
  <si>
    <t>indirect costs</t>
  </si>
  <si>
    <t>patients (productivity loss per month)</t>
  </si>
  <si>
    <t>Pan et al (2013) Analysis of the economic burden of diagnosis and treatment of tuberculosis patients in rural China. IJTLD 17(12):1575–1588</t>
  </si>
  <si>
    <t>average number of days lost: 54.6 but we don’t know how many days are lost per month</t>
  </si>
  <si>
    <t>family members (productivity loss per month)</t>
  </si>
  <si>
    <t>Pan et al (2013) Analysis of the economic burden of diagnosis and treatment of tuberculosis patients in rural China. IJTLD 17(12):1575–1589</t>
  </si>
  <si>
    <t>average number of days lost: 3 but we don’t know how many days are lost per month</t>
  </si>
  <si>
    <t>Indirect costs (patient income loss per month)</t>
  </si>
  <si>
    <t>Jackson et al. Poverty and the economic effects of TB in rural China. IJTLD 2006; 10(10):1104–1117</t>
  </si>
  <si>
    <t>Indirect costs (companion income loss per month)</t>
  </si>
  <si>
    <t>Jackson et al. Poverty and the economic effects of TB in rural China. IJTLD 2006; 10(10):1104–1118</t>
  </si>
  <si>
    <t>other</t>
  </si>
  <si>
    <t>before diagnosis costs (Fujian)</t>
  </si>
  <si>
    <t>How affordable are tuberculosis diagnosis and treatment in rural China? An analysis from community and tuberculosis patient perspectives. Liu et al. Tropical Medicine and International Health 2007; 12(12):1464–1479</t>
  </si>
  <si>
    <t>includes direct and indirect</t>
  </si>
  <si>
    <t>before diagnosis costs (Henan)</t>
  </si>
  <si>
    <t>How affordable are tuberculosis diagnosis and treatment in rural China? An analysis from community and tuberculosis patient perspectives. Liu et al. Tropical Medicine and International Health 2007; 12(12):1464–1480</t>
  </si>
  <si>
    <t>before diagnosis costs (Liaoning)</t>
  </si>
  <si>
    <t>How affordable are tuberculosis diagnosis and treatment in rural China? An analysis from community and tuberculosis patient perspectives. Liu et al. Tropical Medicine and International Health 2007; 12(12):1464–1481</t>
  </si>
  <si>
    <t>before diagnosis costs (Xinjiang)</t>
  </si>
  <si>
    <t>How affordable are tuberculosis diagnosis and treatment in rural China? An analysis from community and tuberculosis patient perspectives. Liu et al. Tropical Medicine and International Health 2007; 12(12):1464–1482</t>
  </si>
  <si>
    <t>after diagnosis costs (Fujian)</t>
  </si>
  <si>
    <t>How affordable are tuberculosis diagnosis and treatment in rural China? An analysis from community and tuberculosis patient perspectives. Liu et al. Tropical Medicine and International Health 2007; 12(12):1464–1483</t>
  </si>
  <si>
    <t>after diagnosis costs (Henan)</t>
  </si>
  <si>
    <t>How affordable are tuberculosis diagnosis and treatment in rural China? An analysis from community and tuberculosis patient perspectives. Liu et al. Tropical Medicine and International Health 2007; 12(12):1464–1484</t>
  </si>
  <si>
    <t>after diagnosis costs (Liaoning)</t>
  </si>
  <si>
    <t>How affordable are tuberculosis diagnosis and treatment in rural China? An analysis from community and tuberculosis patient perspectives. Liu et al. Tropical Medicine and International Health 2007; 12(12):1464–1485</t>
  </si>
  <si>
    <t>after diagnosis costs (Xinjiang)</t>
  </si>
  <si>
    <t>How affordable are tuberculosis diagnosis and treatment in rural China? An analysis from community and tuberculosis patient perspectives. Liu et al. Tropical Medicine and International Health 2007; 12(12):1464–1486</t>
  </si>
  <si>
    <t>Direct household costs, if free service (Fujian)</t>
  </si>
  <si>
    <t>How affordable are tuberculosis diagnosis and treatment in rural China? An analysis from community and tuberculosis patient perspectives. Liu et al. Tropical Medicine and International Health 2007; 12(12):1464–1487</t>
  </si>
  <si>
    <t>Direct household costs, if free service (Henan)</t>
  </si>
  <si>
    <t>How affordable are tuberculosis diagnosis and treatment in rural China? An analysis from community and tuberculosis patient perspectives. Liu et al. Tropical Medicine and International Health 2007; 12(12):1464–1488</t>
  </si>
  <si>
    <t>Direct household costs, if free service (Liaoning)</t>
  </si>
  <si>
    <t>How affordable are tuberculosis diagnosis and treatment in rural China? An analysis from community and tuberculosis patient perspectives. Liu et al. Tropical Medicine and International Health 2007; 12(12):1464–1489</t>
  </si>
  <si>
    <t>Direct household costs, if free service (Xinjiang)</t>
  </si>
  <si>
    <t>How affordable are tuberculosis diagnosis and treatment in rural China? An analysis from community and tuberculosis patient perspectives. Liu et al. Tropical Medicine and International Health 2007; 12(12):1464–1490</t>
  </si>
  <si>
    <t>Direct household costs, if no free service (Fujian)</t>
  </si>
  <si>
    <t>How affordable are tuberculosis diagnosis and treatment in rural China? An analysis from community and tuberculosis patient perspectives. Liu et al. Tropical Medicine and International Health 2007; 12(12):1464–1491</t>
  </si>
  <si>
    <t>Direct household costs, if no free service (Henan)</t>
  </si>
  <si>
    <t>How affordable are tuberculosis diagnosis and treatment in rural China? An analysis from community and tuberculosis patient perspectives. Liu et al. Tropical Medicine and International Health 2007; 12(12):1464–1492</t>
  </si>
  <si>
    <t>Direct household costs, if no free service (Liaoning)</t>
  </si>
  <si>
    <t>How affordable are tuberculosis diagnosis and treatment in rural China? An analysis from community and tuberculosis patient perspectives. Liu et al. Tropical Medicine and International Health 2007; 12(12):1464–1493</t>
  </si>
  <si>
    <t>Direct household costs, if no free service (Xinjiang)</t>
  </si>
  <si>
    <t>How affordable are tuberculosis diagnosis and treatment in rural China? An analysis from community and tuberculosis patient perspectives. Liu et al. Tropical Medicine and International Health 2007; 12(12):1464–1494</t>
  </si>
  <si>
    <t>transport costs</t>
  </si>
  <si>
    <t>mean cost per round trip to county TB dispensary</t>
  </si>
  <si>
    <t>SMEAR AND CULTURE</t>
  </si>
  <si>
    <t>mdr drugs</t>
  </si>
  <si>
    <t>TB TREATMENT COST CALCULATIONS</t>
  </si>
  <si>
    <t>exch rate</t>
  </si>
  <si>
    <t>avg 2017-18</t>
  </si>
  <si>
    <t>https://www.oanda.com/currency/average</t>
  </si>
  <si>
    <t>Total cost (CNY)</t>
  </si>
  <si>
    <t>MDR-TB standart treatment</t>
  </si>
  <si>
    <t>Capreomycin 1g</t>
  </si>
  <si>
    <t>http://apps.who.int/iris/handle/10665/250125;jsessionid=FA099E09114CC562860D6D5E1BD51799</t>
  </si>
  <si>
    <t>$7.83–$17.22 per patient per month (2015) https://academic.oup.com/jac/article/72/4/1243/2884272</t>
  </si>
  <si>
    <t>WHO MDR treatment</t>
  </si>
  <si>
    <t>https://bmchealthservres.biomedcentral.com/articles/10.1186/s12913-016-1931-3</t>
  </si>
  <si>
    <t>Cost of person month on new MDR-TB treatment (BDQ)</t>
  </si>
  <si>
    <t>Cost of person month on standard MDR-TB treatment (BDQ)</t>
  </si>
  <si>
    <t>Cost of person month on standard no inj course MDR-TB treatment</t>
  </si>
  <si>
    <t>Cost of person month on standard MDR-TB treatment (no inj)</t>
  </si>
  <si>
    <t>Cost of GXP</t>
  </si>
  <si>
    <t>current smear:GXP ratio, 100:1; http://www.savics.org/wp-content/uploads/download/publication/2016%2007%2013%20Albert%20Development%20roll-out%20of%20Xpert%20MTB-RIF.pdf</t>
  </si>
  <si>
    <t>per person month and per course completed</t>
  </si>
  <si>
    <t>12,000 are porgramme costs for Hep B catch up vaccination campaign in children. https://aasldpubs.onlinelibrary.wiley.com/doi/epdf/10.1002/hep.23310</t>
  </si>
  <si>
    <t>Region</t>
  </si>
  <si>
    <t>Country income level</t>
  </si>
  <si>
    <t>Vaccines costed</t>
  </si>
  <si>
    <t>Delivery strategies</t>
  </si>
  <si>
    <t>Target delivery population</t>
  </si>
  <si>
    <t>Economic, financial, or fiscal costs</t>
  </si>
  <si>
    <t>Full or incremental costing</t>
  </si>
  <si>
    <t>Startup and / or recurrent / ongoing costs</t>
  </si>
  <si>
    <t>Cost per capita</t>
  </si>
  <si>
    <t>Cost per dose</t>
  </si>
  <si>
    <t>Cost per person in target population</t>
  </si>
  <si>
    <t>Cost per fully immunized child *</t>
  </si>
  <si>
    <t>Study description</t>
  </si>
  <si>
    <t>Geographic setting</t>
  </si>
  <si>
    <t>Country population</t>
  </si>
  <si>
    <t>Other contextual information</t>
  </si>
  <si>
    <t>Study objective/purpose</t>
  </si>
  <si>
    <t>Costing methodology</t>
  </si>
  <si>
    <t>Number of sampled facilities</t>
  </si>
  <si>
    <t>Sampling strategy</t>
  </si>
  <si>
    <t>Timeframe</t>
  </si>
  <si>
    <t>Number of doses included in costing study</t>
  </si>
  <si>
    <t>Coverage rate of vaccine(s)</t>
  </si>
  <si>
    <t>New vaccine introduction</t>
  </si>
  <si>
    <t>More vaccine information</t>
  </si>
  <si>
    <t>Routine vs SIA</t>
  </si>
  <si>
    <t>Delivery sector</t>
  </si>
  <si>
    <t>More vaccine delivery information</t>
  </si>
  <si>
    <t>Unit Costs, Without Vaccine (2016 USD)::Cost per capita</t>
  </si>
  <si>
    <t>Unit Costs, Without Vaccine (2016 USD)::Cost per dose</t>
  </si>
  <si>
    <t>Unit Costs, Without Vaccine (2016 USD)::Cost per person in target population</t>
  </si>
  <si>
    <t>Unit Costs, Without Vaccine (2016 USD)::Cost per fully immunized child *</t>
  </si>
  <si>
    <t>Unit Costs, With Vaccine (2016 USD)::Cost per capita</t>
  </si>
  <si>
    <t>Unit Costs, With Vaccine (2016 USD)::Cost per dose</t>
  </si>
  <si>
    <t>Unit Costs, With Vaccine (2016 USD)::Cost per person in target population</t>
  </si>
  <si>
    <t>Unit Costs, With Vaccine (2016 USD)::Cost per fully immunized child *</t>
  </si>
  <si>
    <t>More Unit Cost Information::Cost per capita information</t>
  </si>
  <si>
    <t>More Unit Cost Information::Cost per dose information</t>
  </si>
  <si>
    <t>More Unit Cost Information::Cost per person in the target population information</t>
  </si>
  <si>
    <t>More Unit Cost Information::Number of persons in "cost per person in target population" calculation</t>
  </si>
  <si>
    <t>More Unit Cost Information::Cost per fully immunized child* information</t>
  </si>
  <si>
    <t>More Unit Cost Information::Definition of fully immunized child*</t>
  </si>
  <si>
    <t>Total costs (2016 USD)</t>
  </si>
  <si>
    <t>Shared cost items</t>
  </si>
  <si>
    <t>Reported cost exclusions</t>
  </si>
  <si>
    <t>Supply chain only</t>
  </si>
  <si>
    <t>% of Total::Paid human resources</t>
  </si>
  <si>
    <t>Cost Category Included::Paid human resources</t>
  </si>
  <si>
    <t>% of Total::Volunteer human resources</t>
  </si>
  <si>
    <t>Cost Category Included::Volunteer human resources</t>
  </si>
  <si>
    <t>% of Total::Per diem and travel allowances</t>
  </si>
  <si>
    <t>Cost Category Included::Per diem and travel allowances</t>
  </si>
  <si>
    <t>% of Total::Cold chain equipment and overheads</t>
  </si>
  <si>
    <t>Cost Category Included::Cold chain equipment and overheads</t>
  </si>
  <si>
    <t>% of Total::Vehicles, transport, and fuel</t>
  </si>
  <si>
    <t>Cost Category Included::Vehicles, transport, and fuel</t>
  </si>
  <si>
    <t>% of Total::Program management</t>
  </si>
  <si>
    <t>Cost Category Included::Program management</t>
  </si>
  <si>
    <t>% of Total::Training and capacity building</t>
  </si>
  <si>
    <t>Cost Category Included::Training and capacity building</t>
  </si>
  <si>
    <t>% of Total::Social mobilization and advocacy</t>
  </si>
  <si>
    <t>Cost Category Included::Social mobilization and advocacy</t>
  </si>
  <si>
    <t>% of Total::AEFI and disease surveillance</t>
  </si>
  <si>
    <t>Cost Category Included::AEFI and disease surveillance</t>
  </si>
  <si>
    <t>% of Total::Building, utilities, other overheads and/or shared costs</t>
  </si>
  <si>
    <t>Cost Category Included::Building, utilities, other overheads and/or shared costs</t>
  </si>
  <si>
    <t>% of Total::Vaccines</t>
  </si>
  <si>
    <t>Cost Category Included::Vaccines</t>
  </si>
  <si>
    <t>% of Total::Vaccine supplies</t>
  </si>
  <si>
    <t>Cost Category Included::Vaccine supplies</t>
  </si>
  <si>
    <t>% of Total::Waste management</t>
  </si>
  <si>
    <t>Cost Category Included::Waste management</t>
  </si>
  <si>
    <t>% of Total::Other supplies and recurrent costs</t>
  </si>
  <si>
    <t>Cost Category Included::Other supplies and recurrent costs</t>
  </si>
  <si>
    <t>% of Total::Other</t>
  </si>
  <si>
    <t>Cost Category Included::Other</t>
  </si>
  <si>
    <t>Quality score</t>
  </si>
  <si>
    <t>Quality assessment</t>
  </si>
  <si>
    <t>Reference</t>
  </si>
  <si>
    <t>East Asia and Pacific</t>
  </si>
  <si>
    <t>Lower middle income</t>
  </si>
  <si>
    <t>JE</t>
  </si>
  <si>
    <t>Not reported</t>
  </si>
  <si>
    <t>Full</t>
  </si>
  <si>
    <t>Recurrent/ongoing</t>
  </si>
  <si>
    <t>Retrospective costing study that estimates economic costs of adding the JE vaccine to the schedule in China.</t>
  </si>
  <si>
    <t>Rural</t>
  </si>
  <si>
    <t>Guizhou is a largely rural province in Southwest China with a population of 39 million and the lowest per capita gross domestic product (GDP) in the country. In 2008, Guizhou reported a JE incidence rate of 0.85 per 100,000, which was the second highest rate nationwide.</t>
  </si>
  <si>
    <t>To evaluate the integration of JE vaccine into China’s national EPI in Guizhou province in terms of the reduction in morbidity, mortality, disability adjusted life years(DALYs), as well as the direct and indirect medical costs.</t>
  </si>
  <si>
    <t>Societal</t>
  </si>
  <si>
    <t>Authors chose two prefectures at random. Within each prefecture, they sampled two counties, three townships and three villages.</t>
  </si>
  <si>
    <t>JE1: 95%JE2: 85%</t>
  </si>
  <si>
    <t>Routine</t>
  </si>
  <si>
    <t>Buildings (Rent and value of space occupied); cold chain equipment [Article says discussions with province indicated that additional refrigeration and portable cooling equipment was not necessary due to recent expansion in refrigeration capacity]</t>
  </si>
  <si>
    <t>!!!Error!!!</t>
  </si>
  <si>
    <t>Yes [Office expenses; other]</t>
  </si>
  <si>
    <t>The quality of each article/report was assessed using a checklist developed by the ICAN research team. Assessed criteria included study methodological rigor and reporting standards (8 items), uncertainty of results (3 items), and risk of bias and limitations (3 items). A final score was given for each article/report on a 1 to 3 scale. The quality scores across all articles/reports ranged from 1.6 to 2.8, with an average (mean) score of 2.3. See the methodological note for more information on the quality assessment.</t>
  </si>
  <si>
    <t>Yin, Z., Beeler Asay, G. R., Zhang, L., Li, Y., Zuo, S., Hutin, Y. J., … Jiang, F. (2012). An economic evaluation of the use of Japanese encephalitis vaccine in the expanded program of immunization of Guizhou province, China. Vaccine, 30(37), 5569–5577. https://doi.org/10.1016/j.vaccine.2012.05.068</t>
  </si>
  <si>
    <t>Upper middle income</t>
  </si>
  <si>
    <t>BCG MR MMR HepB DTP DT OPV IPV JE Meningococcal</t>
  </si>
  <si>
    <t>Health facility</t>
  </si>
  <si>
    <t>Birth cohort</t>
  </si>
  <si>
    <t>Both introduction/startup and recurrent/ongoing</t>
  </si>
  <si>
    <t>Retrospective costing study that estimates full costs of routine delivery of a full schedule of vaccines in China in urban and rural settings.</t>
  </si>
  <si>
    <t>Urban and rural [inferred]</t>
  </si>
  <si>
    <t>Understand the direct cost and sources of the investment for China’s EPI system.</t>
  </si>
  <si>
    <t>Government [inferred]</t>
  </si>
  <si>
    <t>Ingredients approach</t>
  </si>
  <si>
    <t>Random selection</t>
  </si>
  <si>
    <t>Data collected March - June 2016, for the year 2015</t>
  </si>
  <si>
    <t>92.7% (for MCV1)</t>
  </si>
  <si>
    <t>IPV/OPV, Hepatitis A, MenA, MenAC</t>
  </si>
  <si>
    <t>Public (inferred)</t>
  </si>
  <si>
    <t>Total (all levels)</t>
  </si>
  <si>
    <t>22 doses (entire EPI schedule)</t>
  </si>
  <si>
    <t>Supplementary immunization activities necessary for maintenance of polio-free status and elimination of measles and rubella</t>
  </si>
  <si>
    <t>Yes [Accountants in each facility listed wages and subsidies for EPI staff in 2015; For part-time staff, labor time for RI was assessed with time-related question (e.g., what portion of your working hours is spent on all RI related activities?).]</t>
  </si>
  <si>
    <t>Yes [Travel and accommodation costs during supervision activities]</t>
  </si>
  <si>
    <t>Yes [Cold chain equipment and vaccine management; The cost of cold chain equipment is calculated with the formula of (purchased price x 0.03)/[1 - (1 + 0.03) - useful life of equipment)]</t>
  </si>
  <si>
    <t>Yes [Travel costs during supervision activities]</t>
  </si>
  <si>
    <t>Yes [Supervision including travel and accommodation costs during supervision activities]</t>
  </si>
  <si>
    <t>Yes [Expenditures on the organization of training courses and meetings]</t>
  </si>
  <si>
    <t>Yes [Expenditures on development and distribution of publicity materials for routine and advocacy work; Childhood Vaccination Day and World Hepatitis Day]</t>
  </si>
  <si>
    <t>Yes [Covering the investigation of VPD cases, emergency response, and laboratory monitoring (including specimen collection, delivery, and testing)]</t>
  </si>
  <si>
    <t>Yes [Office equipment (calculated like cold chain equipment) and miscellaneous expenses]</t>
  </si>
  <si>
    <t>Yes [Syringes, diluent, and other supplies used for administration of vaccines]</t>
  </si>
  <si>
    <t>Yu, W., Lu, M., Wang, H., Rodewald, L., Ji, S., Ma, C., … Liu, Y. (2018). Routine immunization services costs and financing in China, 2015. Vaccine, 36(21), 3041-7. 10.1016/j.vaccine.2018.04.008</t>
  </si>
  <si>
    <t>VACCINE - EPIC website: http://immunizationeconomics.org/</t>
  </si>
  <si>
    <t>MDR tx</t>
  </si>
  <si>
    <t>US2012</t>
  </si>
  <si>
    <t>US2017</t>
  </si>
  <si>
    <t>https://data.worldbank.org/indicator/FP.CPI.TOTL</t>
  </si>
  <si>
    <t>Hospitalization</t>
  </si>
  <si>
    <t>bed days</t>
  </si>
  <si>
    <t>Floyd 2012</t>
  </si>
  <si>
    <t>cost per bed day</t>
  </si>
  <si>
    <t>total</t>
  </si>
  <si>
    <t>H R Z E S Ca ClaCy Eto K Ofx PAS rifabutin Amx</t>
  </si>
  <si>
    <t>DOT visit to day-stay in hospital ward</t>
  </si>
  <si>
    <t>cost per visit</t>
  </si>
  <si>
    <t>DOT to outpatient incl nutritional support</t>
  </si>
  <si>
    <t>support</t>
  </si>
  <si>
    <t>programme management</t>
  </si>
  <si>
    <t>technical assistance</t>
  </si>
  <si>
    <t>lab support</t>
  </si>
  <si>
    <t>lab tests</t>
  </si>
  <si>
    <t>cultures</t>
  </si>
  <si>
    <t>cost per culture</t>
  </si>
  <si>
    <t>cost per DST</t>
  </si>
  <si>
    <t>cosr per smear</t>
  </si>
  <si>
    <t>training</t>
  </si>
  <si>
    <t>advocacy</t>
  </si>
  <si>
    <t>radiography, CT scans, clinical laboratory tests</t>
  </si>
  <si>
    <t>adverse events</t>
  </si>
  <si>
    <t>https://journals.plos.org/plosmedicine/article?id=10.1371/journal.pmed.1001348</t>
  </si>
  <si>
    <t>us2014</t>
  </si>
  <si>
    <t>FLT TX</t>
  </si>
  <si>
    <t>outpatient clinics</t>
  </si>
  <si>
    <t>labs</t>
  </si>
  <si>
    <t>drugs</t>
  </si>
  <si>
    <t>https://www.ncbi.nlm.nih.gov/pmc/articles/PMC4559093/</t>
  </si>
  <si>
    <t>drugs short FLT</t>
  </si>
  <si>
    <t>month</t>
  </si>
  <si>
    <t>(4) BPaMZ at USD76.64/month</t>
  </si>
  <si>
    <t>https://www.ncbi.nlm.nih.gov/pubmed/28073970</t>
  </si>
  <si>
    <t>drugs short MDR</t>
  </si>
  <si>
    <t>(4) Km Mfx Pto Clz Z E H / (5) Mfx Clz E Z at USD95.18/month</t>
  </si>
  <si>
    <t>xdr tx</t>
  </si>
  <si>
    <t>Total hospitalization cost per patient (injectable-containing regimens)</t>
  </si>
  <si>
    <t>Ionescu et al</t>
  </si>
  <si>
    <t>Drug regimen costs (injectable-containing regimens)</t>
  </si>
  <si>
    <t>1666 </t>
  </si>
  <si>
    <t>https://www.tandfonline.com/doi/full/10.1080/14737167.2018.1507821</t>
  </si>
  <si>
    <t>conventional</t>
  </si>
  <si>
    <t>http://erj.ersjournals.com/content/erj/early/2012/12/19/09031936.00147912.full.pdf</t>
  </si>
  <si>
    <t>conventional, simple</t>
  </si>
  <si>
    <t>assumming 2 smear, 1 xray, 1 day hospital visit</t>
  </si>
  <si>
    <t>FLT</t>
  </si>
  <si>
    <t>MDR</t>
  </si>
  <si>
    <t>Shortened MDR</t>
  </si>
  <si>
    <t>productivity loss</t>
  </si>
  <si>
    <t>https://www.ncbi.nlm.nih.gov/pubmed/25939501</t>
  </si>
  <si>
    <t>mark-up</t>
  </si>
  <si>
    <t>Russia size, km2</t>
  </si>
  <si>
    <t>China size, km2</t>
  </si>
  <si>
    <t>Russia population 15-19, 2017</t>
  </si>
  <si>
    <t>Russia, population 2017</t>
  </si>
  <si>
    <t>https://datacatalog.worldbank.org/dataset/population-estimates-and-projections</t>
  </si>
  <si>
    <t>World Bank</t>
  </si>
  <si>
    <t>China, per 10000 in cohort</t>
  </si>
  <si>
    <t>Vaccination campaign</t>
  </si>
  <si>
    <t>Platonov (2006)</t>
  </si>
  <si>
    <t>Vaccine delivery cost</t>
  </si>
  <si>
    <t>Secondary hospital</t>
  </si>
  <si>
    <t>Primary hospital</t>
  </si>
  <si>
    <t>Health centre (with beds)</t>
  </si>
  <si>
    <t>http://www.who.int/choice/costs/en/</t>
  </si>
  <si>
    <t>Health centre (no beds)</t>
  </si>
  <si>
    <t>OPD visit</t>
  </si>
  <si>
    <t>USD2017</t>
  </si>
  <si>
    <t>VACCINE</t>
  </si>
  <si>
    <t>USD2008</t>
  </si>
  <si>
    <t>GHCC</t>
  </si>
  <si>
    <t>min: assuming 2 smear, 1 x-ray, 1 outpatient visit; max: assumming 1 culture test, 2 smear, 1 xray, 2 day hospital visit</t>
  </si>
  <si>
    <t>min: assuming 2 smear, 1 x-ray, 1 outpatient visit; max: assumming 1 culture test, 2 smear, 1 xray, 2 day hospital visit. Using unit costs from Floyd (2012)</t>
  </si>
  <si>
    <t>uncertainty +/-20%; https://www.ncbi.nlm.nih.gov/pmc/articles/PMC4559093/</t>
  </si>
  <si>
    <t>uncertainty +/-20%; Floyd (2012)</t>
  </si>
  <si>
    <t>2. MDR/DS drug prices</t>
  </si>
  <si>
    <t>DS:500 RMB</t>
  </si>
  <si>
    <t>MDR: It's quite complicated since the new drugs and regimens has been recently recommended and will be adapted to our national guideline, so we made a continuously adapting plan.</t>
  </si>
  <si>
    <t>2019-2020</t>
  </si>
  <si>
    <t>2021-2025</t>
  </si>
  <si>
    <t>2026-2030</t>
  </si>
  <si>
    <t>2031-2035</t>
  </si>
  <si>
    <r>
      <t>2036</t>
    </r>
    <r>
      <rPr>
        <sz val="9"/>
        <color theme="1"/>
        <rFont val="SimSun"/>
      </rPr>
      <t>—</t>
    </r>
  </si>
  <si>
    <t>Short term (9 months)</t>
  </si>
  <si>
    <t>Long</t>
  </si>
  <si>
    <t>term</t>
  </si>
  <si>
    <t>R1: 6LFX(MFX)-BQD-LZD-CFZ-CS/14MFX-CFZ-CS</t>
  </si>
  <si>
    <r>
      <t>R2: 6CmLfx</t>
    </r>
    <r>
      <rPr>
        <sz val="9"/>
        <color theme="1"/>
        <rFont val="SimSun"/>
      </rPr>
      <t>(</t>
    </r>
    <r>
      <rPr>
        <sz val="9"/>
        <color theme="1"/>
        <rFont val="Calibri"/>
        <family val="2"/>
      </rPr>
      <t>Mfx</t>
    </r>
    <r>
      <rPr>
        <sz val="9"/>
        <color theme="1"/>
        <rFont val="SimSun"/>
      </rPr>
      <t>)</t>
    </r>
    <r>
      <rPr>
        <sz val="9"/>
        <color theme="1"/>
        <rFont val="Calibri"/>
        <family val="2"/>
      </rPr>
      <t>PtoCsZ/18LfxPtoCsZ</t>
    </r>
  </si>
  <si>
    <t>1. The percentage in above table is anticipated proportion each regimen may account for in corresponding year.</t>
  </si>
  <si>
    <t>2. The short term regimen cost about 47K RMB which we aim to account for 40% from 2036.</t>
  </si>
  <si>
    <t>3. For long term regimens, we could provide only R2 for now but we will transit to R1 gradually. R1 cost about 180K while R2 cost about 110K RMB.</t>
  </si>
  <si>
    <t>Drug and monitoring test costs from literature, then added one visit per month. min max reflect variation in treatment site</t>
  </si>
  <si>
    <t>Max Value (US$ 2017)</t>
  </si>
  <si>
    <t>weighted average national estimate from Susmita's paper (Chatterjee 2018) minus 18% of vaccine costs: 1.88; min 1.13 and max 2.40</t>
  </si>
  <si>
    <t>https://www.sciencedirect.com/science/article/pii/S0264410X05012041?via%3Dihub; +/- 20% but not uniform but as 95% CI</t>
  </si>
  <si>
    <t>4-6AM-LFX(Mfx)-Pto-Cfz-Z-H-E/5-7 Mfx-Cfz-Z-E</t>
    <phoneticPr fontId="1" type="noConversion"/>
  </si>
  <si>
    <t>Short term</t>
    <phoneticPr fontId="1" type="noConversion"/>
  </si>
  <si>
    <t>6CmLfx(Mfx)PtoCsZ/18LfxPtoCsZ</t>
  </si>
  <si>
    <t>R2</t>
    <phoneticPr fontId="1" type="noConversion"/>
  </si>
  <si>
    <t>6LFX(MFX)-BQD-LZD-CFZ-CS/14MFX-CFZ-CS</t>
  </si>
  <si>
    <t>R1</t>
    <phoneticPr fontId="1" type="noConversion"/>
  </si>
  <si>
    <t>H-high-dose</t>
    <phoneticPr fontId="1" type="noConversion"/>
  </si>
  <si>
    <t>CM</t>
  </si>
  <si>
    <t>PAS</t>
  </si>
  <si>
    <t>PTO</t>
  </si>
  <si>
    <t>AM</t>
  </si>
  <si>
    <t>MPM</t>
  </si>
  <si>
    <t>IMP-CLN</t>
  </si>
  <si>
    <t>Z</t>
  </si>
  <si>
    <t>E</t>
  </si>
  <si>
    <t>CS</t>
  </si>
  <si>
    <t>CFZ</t>
  </si>
  <si>
    <t>BQD</t>
  </si>
  <si>
    <t>LZD</t>
  </si>
  <si>
    <t>Mfx</t>
  </si>
  <si>
    <t>LFX</t>
  </si>
  <si>
    <t>Price per day(RMB)</t>
    <phoneticPr fontId="1" type="noConversion"/>
  </si>
  <si>
    <t>Name</t>
    <phoneticPr fontId="1" type="noConversion"/>
  </si>
  <si>
    <t>Total comprehensive package minus the intervention specific incentives https://www.ncbi.nlm.nih.gov/pubmed/26549905</t>
  </si>
  <si>
    <t>Includes two outpatient visit, one smear, 50% cost of xray and 50% cost of culture</t>
  </si>
  <si>
    <t>distribution</t>
  </si>
  <si>
    <t>Most likely value 
(US$ 2017)</t>
  </si>
  <si>
    <t>Beta</t>
  </si>
  <si>
    <t>JE paper has a complete cost - including start up costs, which were excluded from the EPI paper. The EPI paer is in rural settings while the JE is in rural/urban settings. We present both estimates as min and max values and the most likely value is estiamted using the % of rural population in CHina from https://data.worldbank.org/indicator/sp.rur.totl.zs
THe distribution is a beta one - slightly skewed towards the max
NOTE: article says discussions with province indicated that additional refrigeration and portable cooling equipment was not necessary due to recent expansion in refrigeration capacity. This cost includes variable and INCREMENTAL costs such as transportation, EPI Staff, training, and other) but excludes all costs that are considered fixed and part of the current programme - surveillance, office expenses - 25% of delivery costs. Yin, Z., Beeler Asay, G. R., Zhang, L., Li, Y., Zuo, S., Hutin, Y. J., … Jiang, F. (2012). An economic evaluation of the use of Japanese encephalitis vaccine in the expanded program of immunization of Guizhou province, China. Vaccine, 30(37), 5569–5577. https://doi.org/10.1016/j.vaccine.2012.05.068</t>
  </si>
  <si>
    <t>same as per above</t>
  </si>
  <si>
    <t>Ingredient approach. Min and max reflect variation in reported practive. Minimun includes two outpatient visits, one smear, and the use of xray for confirmation. The maximum includes three outpatient vists, one smear test, and the use of culture for confirmation. The most likely value is the average of these two values. We assume a normal distribution.</t>
  </si>
  <si>
    <t>Normal</t>
  </si>
  <si>
    <t>https://www.ncbi.nlm.nih.gov/pmc/articles/PMC5906334/</t>
  </si>
  <si>
    <t>Minimum value: https://www.ncbi.nlm.nih.gov/pmc/articles/PMC5906334/; maximum value from FIND report. THe main drivers of the minimum estimate are equipment adn cartridges costs. It is assumed 2.84 equipment costs. Allocated equipement costs can vary with utilisation, while the catridge is a stable (externally fixed, by FIND) value. We vary the equipement costs to assume a variation in utilisation of 25% more or less</t>
  </si>
  <si>
    <t>https://www.sciencedirect.com/science/article/pii/S1098301512016592#bib15</t>
  </si>
  <si>
    <t>METHOD:</t>
  </si>
  <si>
    <t>Ingredient approach: Drug and monitoring test costs from literature, in addition drug costs were validated by local partners. We added one visit per month. min max reflect variation in treatment site and most likely value is an average</t>
  </si>
  <si>
    <t xml:space="preserve">drugs per month </t>
  </si>
  <si>
    <t>drugs per regimen</t>
  </si>
  <si>
    <t>drugs per regimen, from Litao</t>
  </si>
  <si>
    <t>best</t>
  </si>
  <si>
    <t>low</t>
  </si>
  <si>
    <t>high</t>
  </si>
  <si>
    <r>
      <t xml:space="preserve">Total comprehensive package minus the intervention specific incentives (17%) https://www.ncbi.nlm.nih.gov/pubmed/26549905. Kept uncertainty from original costing paper and replaced drug costs (23%). Minimum is the drug costs as per Lixia paper - </t>
    </r>
    <r>
      <rPr>
        <sz val="11"/>
        <color rgb="FFFF0000"/>
        <rFont val="Calibri"/>
        <family val="2"/>
        <scheme val="minor"/>
      </rPr>
      <t>although it is too little and i suspect this is patient-incurred costs</t>
    </r>
    <r>
      <rPr>
        <sz val="11"/>
        <color theme="1"/>
        <rFont val="Calibri"/>
        <family val="2"/>
        <scheme val="minor"/>
      </rPr>
      <t>; the max is the drug costs as per Litao. The most likely value comes from international prices in drugs... distribution is then a  beta</t>
    </r>
  </si>
  <si>
    <t>Total comprehensive package minus the intervention specific incentives (17%) https://www.ncbi.nlm.nih.gov/pubmed/26549905. Kept uncertainty from original costing paper and replaced drug costs (23%). Drug costs are calculated from GDF using MDR TB rapid comm guidelines on BDQ from WHO August 2018. And BDQ generic pricing https://www.ncbi.nlm.nih.gov/pubmed/26549905. Uncertainty in drug costs reflects BDQ price outside pattern (7.83-17.22). CHINA FOOD AND DRUG ADMINISTRATION APPROVES SIRTURO® (BEDAQUILINE) FOR PATIENTS WITH PULMONARY MULTI-DRUG RESISTANT TUBERCULOSIS (MDR-TB) - Dec 2016 (http://www.stoptb.org/assets/documents/news/CHINA%20FOOD%20AND%20DRUG%20ADMINISTRATION%20APPROVES%20SIRTURO.pdf)</t>
  </si>
  <si>
    <t>Total comprehensive package minus the intervention specific incentives (17%) https://www.ncbi.nlm.nih.gov/pubmed/26549905. Kept uncertainty from original costing paper and replaced drug costs (23%). Minimum is the drug costs as per Lixia paper - although it is too little and i suspect this is patient-incurred costs; the max is the drug costs as per Litao. The most likely value comes from international prices in drugs... distribution is then a  beta</t>
  </si>
  <si>
    <t>c_MDR_WHO BDQ</t>
  </si>
  <si>
    <t>c_MDR_WHO noinj</t>
  </si>
  <si>
    <t>FROM LITAO rmb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</si>
</sst>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 #,##0_-;\-* #,##0_-;_-* &quot;-&quot;??_-;_-@_-"/>
    <numFmt numFmtId="165" formatCode="[$$-409]#,##0.00"/>
    <numFmt numFmtId="166" formatCode="0.0"/>
    <numFmt numFmtId="167" formatCode="0.00_ "/>
    <numFmt numFmtId="168" formatCode="0_ "/>
    <numFmt numFmtId="169" formatCode="0.00000"/>
    <numFmt numFmtId="170" formatCode="#,##0.00_-\ [$$-45C]"/>
  </numFmts>
  <fonts count="67">
    <font>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b/>
      <sz val="11"/>
      <color theme="0"/>
      <name val="Calibri"/>
      <family val="2"/>
      <scheme val="minor"/>
    </font>
    <font>
      <u/>
      <sz val="11"/>
      <color theme="10"/>
      <name val="Calibri"/>
      <family val="2"/>
      <scheme val="minor"/>
    </font>
    <font>
      <sz val="11"/>
      <color rgb="FF3F3F76"/>
      <name val="Calibri"/>
      <family val="2"/>
    </font>
    <font>
      <b/>
      <sz val="11"/>
      <color rgb="FFFA7D00"/>
      <name val="Calibri"/>
      <family val="2"/>
    </font>
    <font>
      <sz val="11"/>
      <color rgb="FFFF0000"/>
      <name val="Calibri"/>
      <family val="2"/>
      <scheme val="minor"/>
    </font>
    <font>
      <b/>
      <sz val="11"/>
      <color theme="1"/>
      <name val="Calibri"/>
      <family val="2"/>
      <scheme val="minor"/>
    </font>
    <font>
      <b/>
      <sz val="10"/>
      <color theme="6" tint="-0.499984740745262"/>
      <name val="Calibri"/>
      <family val="2"/>
      <scheme val="minor"/>
    </font>
    <font>
      <b/>
      <sz val="10"/>
      <color theme="1"/>
      <name val="Calibri"/>
      <family val="2"/>
      <scheme val="minor"/>
    </font>
    <font>
      <sz val="10"/>
      <color theme="1"/>
      <name val="Calibri"/>
      <family val="2"/>
      <scheme val="minor"/>
    </font>
    <font>
      <sz val="10"/>
      <color rgb="FF3F3F76"/>
      <name val="Calibri"/>
      <family val="2"/>
      <scheme val="minor"/>
    </font>
    <font>
      <b/>
      <sz val="10"/>
      <color rgb="FFFA7D00"/>
      <name val="Calibri"/>
      <family val="2"/>
      <scheme val="minor"/>
    </font>
    <font>
      <sz val="10"/>
      <color rgb="FFFF0000"/>
      <name val="Calibri"/>
      <family val="2"/>
      <scheme val="minor"/>
    </font>
    <font>
      <b/>
      <i/>
      <sz val="10"/>
      <color theme="1"/>
      <name val="Calibri"/>
      <family val="2"/>
      <scheme val="minor"/>
    </font>
    <font>
      <b/>
      <sz val="9"/>
      <color indexed="81"/>
      <name val="Tahoma"/>
      <family val="2"/>
    </font>
    <font>
      <sz val="9"/>
      <color indexed="81"/>
      <name val="Tahoma"/>
      <family val="2"/>
    </font>
    <font>
      <i/>
      <sz val="10"/>
      <color theme="1"/>
      <name val="Calibri"/>
      <family val="2"/>
      <scheme val="minor"/>
    </font>
    <font>
      <b/>
      <sz val="11"/>
      <color rgb="FFFF0000"/>
      <name val="Calibri"/>
      <family val="2"/>
      <scheme val="minor"/>
    </font>
    <font>
      <i/>
      <sz val="11"/>
      <color theme="1"/>
      <name val="Calibri"/>
      <family val="2"/>
      <scheme val="minor"/>
    </font>
    <font>
      <b/>
      <sz val="9"/>
      <color theme="1"/>
      <name val="Calibri"/>
      <family val="2"/>
      <scheme val="minor"/>
    </font>
    <font>
      <sz val="9"/>
      <color theme="1"/>
      <name val="Calibri"/>
      <family val="2"/>
      <scheme val="minor"/>
    </font>
    <font>
      <sz val="9"/>
      <name val="Calibri"/>
      <family val="2"/>
      <scheme val="minor"/>
    </font>
    <font>
      <vertAlign val="superscript"/>
      <sz val="9"/>
      <color theme="1"/>
      <name val="Calibri"/>
      <family val="2"/>
      <scheme val="minor"/>
    </font>
    <font>
      <sz val="9"/>
      <color rgb="FFFF0000"/>
      <name val="Calibri"/>
      <family val="2"/>
      <scheme val="minor"/>
    </font>
    <font>
      <sz val="11"/>
      <name val="Calibri"/>
      <family val="2"/>
    </font>
    <font>
      <i/>
      <sz val="11"/>
      <color rgb="FF3F3F76"/>
      <name val="Calibri"/>
      <family val="2"/>
    </font>
    <font>
      <b/>
      <i/>
      <sz val="11"/>
      <color rgb="FFFA7D00"/>
      <name val="Calibri"/>
      <family val="2"/>
    </font>
    <font>
      <b/>
      <i/>
      <sz val="11"/>
      <color rgb="FFFA7D00"/>
      <name val="Calibri"/>
      <family val="2"/>
      <scheme val="minor"/>
    </font>
    <font>
      <sz val="11"/>
      <color rgb="FFFF0000"/>
      <name val="Calibri"/>
      <family val="2"/>
    </font>
    <font>
      <b/>
      <sz val="11"/>
      <color rgb="FFFF0000"/>
      <name val="Calibri"/>
      <family val="2"/>
    </font>
    <font>
      <sz val="11"/>
      <color rgb="FF006100"/>
      <name val="Calibri"/>
      <family val="2"/>
      <scheme val="minor"/>
    </font>
    <font>
      <sz val="11"/>
      <color rgb="FF9C0006"/>
      <name val="Calibri"/>
      <family val="2"/>
      <scheme val="minor"/>
    </font>
    <font>
      <sz val="11"/>
      <color rgb="FF9C5700"/>
      <name val="Calibri"/>
      <family val="2"/>
      <scheme val="minor"/>
    </font>
    <font>
      <i/>
      <sz val="11"/>
      <color rgb="FF7F7F7F"/>
      <name val="Calibri"/>
      <family val="2"/>
      <scheme val="minor"/>
    </font>
    <font>
      <sz val="11"/>
      <color theme="1"/>
      <name val="Calibri"/>
      <family val="2"/>
      <charset val="134"/>
      <scheme val="minor"/>
    </font>
    <font>
      <sz val="11"/>
      <color indexed="8"/>
      <name val="Times New Roman"/>
      <family val="1"/>
    </font>
    <font>
      <sz val="11"/>
      <color indexed="8"/>
      <name val="宋体"/>
      <charset val="134"/>
    </font>
    <font>
      <b/>
      <sz val="11"/>
      <color rgb="FFFF0000"/>
      <name val="Times New Roman"/>
      <family val="1"/>
    </font>
    <font>
      <b/>
      <sz val="11"/>
      <color rgb="FFFF0000"/>
      <name val="Calibri"/>
      <family val="2"/>
      <charset val="134"/>
      <scheme val="minor"/>
    </font>
    <font>
      <b/>
      <i/>
      <sz val="11"/>
      <color rgb="FFFF0000"/>
      <name val="Calibri"/>
      <family val="2"/>
      <charset val="134"/>
      <scheme val="minor"/>
    </font>
    <font>
      <b/>
      <i/>
      <sz val="11"/>
      <color rgb="FF7F7F7F"/>
      <name val="Calibri"/>
      <family val="3"/>
      <charset val="134"/>
      <scheme val="minor"/>
    </font>
    <font>
      <b/>
      <sz val="11"/>
      <color indexed="8"/>
      <name val="宋体"/>
      <charset val="134"/>
    </font>
    <font>
      <b/>
      <sz val="11"/>
      <color theme="1"/>
      <name val="Calibri"/>
      <family val="3"/>
      <charset val="134"/>
      <scheme val="minor"/>
    </font>
    <font>
      <sz val="11"/>
      <color theme="1"/>
      <name val="宋体"/>
      <charset val="134"/>
    </font>
    <font>
      <sz val="11"/>
      <color rgb="FF212121"/>
      <name val="Inherit"/>
    </font>
    <font>
      <b/>
      <sz val="11"/>
      <color rgb="FFFF0000"/>
      <name val="宋体"/>
      <charset val="134"/>
    </font>
    <font>
      <b/>
      <sz val="12"/>
      <color theme="1"/>
      <name val="Calibri"/>
      <family val="2"/>
      <scheme val="minor"/>
    </font>
    <font>
      <sz val="10"/>
      <name val="Cambria"/>
      <family val="1"/>
    </font>
    <font>
      <sz val="11"/>
      <color theme="1"/>
      <name val="Calibri"/>
      <family val="2"/>
    </font>
    <font>
      <u/>
      <sz val="11"/>
      <color rgb="FF0563C1"/>
      <name val="Calibri"/>
      <family val="2"/>
    </font>
    <font>
      <b/>
      <sz val="10"/>
      <color rgb="FF000000"/>
      <name val="Cambria"/>
      <family val="1"/>
    </font>
    <font>
      <sz val="10"/>
      <color rgb="FF000000"/>
      <name val="Cambria"/>
      <family val="1"/>
    </font>
    <font>
      <b/>
      <sz val="11"/>
      <color rgb="FF000000"/>
      <name val="Calibri"/>
      <family val="2"/>
    </font>
    <font>
      <b/>
      <sz val="11"/>
      <color rgb="FFFFFFFF"/>
      <name val="Calibri"/>
      <family val="2"/>
    </font>
    <font>
      <sz val="11"/>
      <color rgb="FFFFFFFF"/>
      <name val="Calibri"/>
      <family val="2"/>
    </font>
    <font>
      <sz val="11"/>
      <color rgb="FF000000"/>
      <name val="Calibri"/>
      <family val="2"/>
    </font>
    <font>
      <sz val="9"/>
      <color rgb="FF3F3F76"/>
      <name val="Calibri"/>
      <family val="2"/>
      <scheme val="minor"/>
    </font>
    <font>
      <u/>
      <sz val="10"/>
      <color theme="10"/>
      <name val="Calibri"/>
      <family val="2"/>
      <scheme val="minor"/>
    </font>
    <font>
      <sz val="9"/>
      <color rgb="FF2A2A2A"/>
      <name val="Times New Roman"/>
      <family val="1"/>
    </font>
    <font>
      <b/>
      <sz val="11"/>
      <name val="Calibri"/>
      <family val="2"/>
    </font>
    <font>
      <sz val="10.5"/>
      <color theme="1"/>
      <name val="Calibri"/>
      <family val="2"/>
      <scheme val="minor"/>
    </font>
    <font>
      <sz val="9"/>
      <color theme="1"/>
      <name val="Calibri"/>
      <family val="2"/>
    </font>
    <font>
      <sz val="9"/>
      <color theme="1"/>
      <name val="SimSun"/>
    </font>
    <font>
      <sz val="9"/>
      <color theme="1"/>
      <name val="Calibri"/>
      <family val="2"/>
      <charset val="134"/>
      <scheme val="minor"/>
    </font>
  </fonts>
  <fills count="25">
    <fill>
      <patternFill patternType="none"/>
    </fill>
    <fill>
      <patternFill patternType="gray125"/>
    </fill>
    <fill>
      <patternFill patternType="solid">
        <fgColor rgb="FFFFCC99"/>
      </patternFill>
    </fill>
    <fill>
      <patternFill patternType="solid">
        <fgColor rgb="FFF2F2F2"/>
      </patternFill>
    </fill>
    <fill>
      <patternFill patternType="solid">
        <fgColor theme="5"/>
        <bgColor indexed="64"/>
      </patternFill>
    </fill>
    <fill>
      <patternFill patternType="solid">
        <fgColor rgb="FFFFCC99"/>
        <bgColor rgb="FFFFFFFF"/>
      </patternFill>
    </fill>
    <fill>
      <patternFill patternType="solid">
        <fgColor rgb="FFF2F2F2"/>
        <bgColor rgb="FFFFFFFF"/>
      </patternFill>
    </fill>
    <fill>
      <patternFill patternType="solid">
        <fgColor theme="2" tint="-9.9978637043366805E-2"/>
        <bgColor indexed="64"/>
      </patternFill>
    </fill>
    <fill>
      <patternFill patternType="solid">
        <fgColor rgb="FFFFFF00"/>
        <bgColor indexed="64"/>
      </patternFill>
    </fill>
    <fill>
      <patternFill patternType="solid">
        <fgColor theme="4"/>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FF"/>
        <bgColor indexed="64"/>
      </patternFill>
    </fill>
    <fill>
      <patternFill patternType="solid">
        <fgColor indexed="10"/>
        <bgColor indexed="64"/>
      </patternFill>
    </fill>
    <fill>
      <patternFill patternType="solid">
        <fgColor indexed="9"/>
        <bgColor indexed="64"/>
      </patternFill>
    </fill>
    <fill>
      <patternFill patternType="solid">
        <fgColor rgb="FFFFF2CC"/>
        <bgColor rgb="FF000000"/>
      </patternFill>
    </fill>
    <fill>
      <patternFill patternType="solid">
        <fgColor rgb="FFFFFF00"/>
        <bgColor rgb="FF000000"/>
      </patternFill>
    </fill>
    <fill>
      <patternFill patternType="solid">
        <fgColor rgb="FF375623"/>
        <bgColor rgb="FF000000"/>
      </patternFill>
    </fill>
    <fill>
      <patternFill patternType="solid">
        <fgColor rgb="FFC6E0B4"/>
        <bgColor rgb="FF000000"/>
      </patternFill>
    </fill>
    <fill>
      <patternFill patternType="solid">
        <fgColor rgb="FFFCE4D6"/>
        <bgColor rgb="FF000000"/>
      </patternFill>
    </fill>
    <fill>
      <patternFill patternType="solid">
        <fgColor rgb="FFFF0000"/>
        <bgColor rgb="FF000000"/>
      </patternFill>
    </fill>
    <fill>
      <patternFill patternType="solid">
        <fgColor rgb="FFA5A5A5"/>
      </patternFill>
    </fill>
  </fills>
  <borders count="24">
    <border>
      <left/>
      <right/>
      <top/>
      <bottom/>
      <diagonal/>
    </border>
    <border>
      <left style="thin">
        <color rgb="FF7F7F7F"/>
      </left>
      <right style="thin">
        <color rgb="FF7F7F7F"/>
      </right>
      <top style="thin">
        <color rgb="FF7F7F7F"/>
      </top>
      <bottom style="thin">
        <color rgb="FF7F7F7F"/>
      </bottom>
      <diagonal/>
    </border>
    <border>
      <left/>
      <right/>
      <top/>
      <bottom style="thin">
        <color auto="1"/>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right/>
      <top style="thin">
        <color indexed="64"/>
      </top>
      <bottom style="thin">
        <color indexed="64"/>
      </bottom>
      <diagonal/>
    </border>
    <border>
      <left/>
      <right style="mediumDashed">
        <color indexed="64"/>
      </right>
      <top style="medium">
        <color indexed="64"/>
      </top>
      <bottom style="medium">
        <color indexed="64"/>
      </bottom>
      <diagonal/>
    </border>
    <border>
      <left/>
      <right style="mediumDashed">
        <color indexed="64"/>
      </right>
      <top/>
      <bottom style="medium">
        <color indexed="64"/>
      </bottom>
      <diagonal/>
    </border>
    <border>
      <left/>
      <right/>
      <top style="thin">
        <color rgb="FF7F7F7F"/>
      </top>
      <bottom/>
      <diagonal/>
    </border>
    <border>
      <left style="double">
        <color rgb="FF3F3F3F"/>
      </left>
      <right style="double">
        <color rgb="FF3F3F3F"/>
      </right>
      <top style="double">
        <color rgb="FF3F3F3F"/>
      </top>
      <bottom style="double">
        <color rgb="FF3F3F3F"/>
      </bottom>
      <diagonal/>
    </border>
  </borders>
  <cellStyleXfs count="11">
    <xf numFmtId="0" fontId="0" fillId="0" borderId="0"/>
    <xf numFmtId="43" fontId="1" fillId="0" borderId="0" applyFont="0" applyFill="0" applyBorder="0" applyAlignment="0" applyProtection="0"/>
    <xf numFmtId="0" fontId="2" fillId="2" borderId="1" applyNumberFormat="0" applyAlignment="0" applyProtection="0"/>
    <xf numFmtId="0" fontId="3" fillId="3" borderId="1" applyNumberFormat="0" applyAlignment="0" applyProtection="0"/>
    <xf numFmtId="0" fontId="5" fillId="0" borderId="0" applyNumberFormat="0" applyFill="0" applyBorder="0" applyAlignment="0" applyProtection="0"/>
    <xf numFmtId="0" fontId="27" fillId="0" borderId="0"/>
    <xf numFmtId="0" fontId="33" fillId="12" borderId="0" applyNumberFormat="0" applyBorder="0" applyAlignment="0" applyProtection="0"/>
    <xf numFmtId="0" fontId="34" fillId="13" borderId="0" applyNumberFormat="0" applyBorder="0" applyAlignment="0" applyProtection="0"/>
    <xf numFmtId="0" fontId="35" fillId="14" borderId="0" applyNumberFormat="0" applyBorder="0" applyAlignment="0" applyProtection="0"/>
    <xf numFmtId="0" fontId="36" fillId="0" borderId="0" applyNumberFormat="0" applyFill="0" applyBorder="0" applyAlignment="0" applyProtection="0"/>
    <xf numFmtId="0" fontId="4" fillId="24" borderId="23" applyNumberFormat="0" applyAlignment="0" applyProtection="0"/>
  </cellStyleXfs>
  <cellXfs count="308">
    <xf numFmtId="0" fontId="0" fillId="0" borderId="0" xfId="0"/>
    <xf numFmtId="0" fontId="4" fillId="4" borderId="0" xfId="0" applyFont="1" applyFill="1" applyAlignment="1">
      <alignment horizontal="center" wrapText="1"/>
    </xf>
    <xf numFmtId="0" fontId="2" fillId="2" borderId="1" xfId="2"/>
    <xf numFmtId="0" fontId="3" fillId="3" borderId="1" xfId="3"/>
    <xf numFmtId="43" fontId="3" fillId="3" borderId="1" xfId="3" applyNumberFormat="1"/>
    <xf numFmtId="0" fontId="5" fillId="2" borderId="1" xfId="4" applyFill="1" applyBorder="1"/>
    <xf numFmtId="2" fontId="3" fillId="3" borderId="1" xfId="3" applyNumberFormat="1"/>
    <xf numFmtId="0" fontId="6" fillId="5" borderId="1" xfId="2" applyFont="1" applyFill="1" applyBorder="1"/>
    <xf numFmtId="0" fontId="7" fillId="6" borderId="1" xfId="3" applyFont="1" applyFill="1" applyBorder="1"/>
    <xf numFmtId="43" fontId="3" fillId="3" borderId="1" xfId="1" applyFont="1" applyFill="1" applyBorder="1"/>
    <xf numFmtId="164" fontId="3" fillId="3" borderId="1" xfId="1" applyNumberFormat="1" applyFont="1" applyFill="1" applyBorder="1"/>
    <xf numFmtId="0" fontId="10" fillId="0" borderId="2" xfId="0" applyFont="1" applyBorder="1" applyAlignment="1">
      <alignment horizontal="left" wrapText="1"/>
    </xf>
    <xf numFmtId="0" fontId="10" fillId="7" borderId="2" xfId="0" applyFont="1" applyFill="1" applyBorder="1" applyAlignment="1">
      <alignment horizontal="left" wrapText="1"/>
    </xf>
    <xf numFmtId="0" fontId="11" fillId="7" borderId="2" xfId="0" applyFont="1" applyFill="1" applyBorder="1" applyAlignment="1">
      <alignment horizontal="center" wrapText="1"/>
    </xf>
    <xf numFmtId="43" fontId="11" fillId="7" borderId="2" xfId="1" applyFont="1" applyFill="1" applyBorder="1" applyAlignment="1">
      <alignment horizontal="center" wrapText="1"/>
    </xf>
    <xf numFmtId="0" fontId="11" fillId="7" borderId="2" xfId="0" applyFont="1" applyFill="1" applyBorder="1" applyAlignment="1">
      <alignment horizontal="left" wrapText="1"/>
    </xf>
    <xf numFmtId="0" fontId="10" fillId="0" borderId="0" xfId="0" applyFont="1"/>
    <xf numFmtId="0" fontId="12" fillId="0" borderId="0" xfId="0" applyFont="1"/>
    <xf numFmtId="43" fontId="12" fillId="0" borderId="0" xfId="1" applyFont="1"/>
    <xf numFmtId="0" fontId="11" fillId="0" borderId="0" xfId="0" applyFont="1"/>
    <xf numFmtId="0" fontId="13" fillId="2" borderId="1" xfId="2" applyFont="1"/>
    <xf numFmtId="0" fontId="14" fillId="3" borderId="1" xfId="3" applyFont="1"/>
    <xf numFmtId="43" fontId="14" fillId="3" borderId="1" xfId="1" applyFont="1" applyFill="1" applyBorder="1"/>
    <xf numFmtId="0" fontId="15" fillId="0" borderId="0" xfId="0" applyFont="1"/>
    <xf numFmtId="0" fontId="16" fillId="0" borderId="0" xfId="0" applyFont="1"/>
    <xf numFmtId="43" fontId="0" fillId="0" borderId="0" xfId="1" applyFont="1"/>
    <xf numFmtId="43" fontId="0" fillId="0" borderId="0" xfId="0" applyNumberFormat="1"/>
    <xf numFmtId="0" fontId="9" fillId="0" borderId="0" xfId="0" applyFont="1"/>
    <xf numFmtId="43" fontId="14" fillId="8" borderId="1" xfId="1" applyFont="1" applyFill="1" applyBorder="1"/>
    <xf numFmtId="0" fontId="0" fillId="0" borderId="0" xfId="0" applyAlignment="1">
      <alignment horizontal="center"/>
    </xf>
    <xf numFmtId="43" fontId="0" fillId="0" borderId="0" xfId="0" applyNumberFormat="1" applyAlignment="1">
      <alignment horizontal="center"/>
    </xf>
    <xf numFmtId="0" fontId="19" fillId="0" borderId="0" xfId="0" applyFont="1"/>
    <xf numFmtId="43" fontId="14" fillId="3" borderId="1" xfId="3" applyNumberFormat="1" applyFont="1"/>
    <xf numFmtId="2" fontId="13" fillId="2" borderId="1" xfId="2" applyNumberFormat="1" applyFont="1"/>
    <xf numFmtId="1" fontId="13" fillId="2" borderId="1" xfId="2" applyNumberFormat="1" applyFont="1"/>
    <xf numFmtId="0" fontId="0" fillId="0" borderId="0" xfId="0" applyFill="1"/>
    <xf numFmtId="0" fontId="5" fillId="0" borderId="0" xfId="4"/>
    <xf numFmtId="0" fontId="4" fillId="9" borderId="0" xfId="0" applyFont="1" applyFill="1"/>
    <xf numFmtId="0" fontId="0" fillId="10" borderId="4" xfId="0" applyFill="1" applyBorder="1"/>
    <xf numFmtId="0" fontId="0" fillId="10" borderId="4" xfId="0" applyFill="1" applyBorder="1" applyAlignment="1">
      <alignment horizontal="center" wrapText="1"/>
    </xf>
    <xf numFmtId="0" fontId="0" fillId="10" borderId="8" xfId="0" applyFill="1" applyBorder="1"/>
    <xf numFmtId="0" fontId="0" fillId="10" borderId="9" xfId="0" applyFill="1" applyBorder="1"/>
    <xf numFmtId="0" fontId="0" fillId="10" borderId="10" xfId="0" applyFill="1" applyBorder="1"/>
    <xf numFmtId="0" fontId="0" fillId="10" borderId="11" xfId="0" applyFill="1" applyBorder="1" applyAlignment="1">
      <alignment horizontal="center"/>
    </xf>
    <xf numFmtId="0" fontId="0" fillId="10" borderId="9" xfId="0" applyFill="1" applyBorder="1" applyAlignment="1">
      <alignment wrapText="1"/>
    </xf>
    <xf numFmtId="165" fontId="0" fillId="0" borderId="0" xfId="0" applyNumberFormat="1"/>
    <xf numFmtId="1" fontId="0" fillId="0" borderId="0" xfId="0" applyNumberFormat="1" applyBorder="1" applyAlignment="1">
      <alignment horizontal="right"/>
    </xf>
    <xf numFmtId="165" fontId="0" fillId="0" borderId="0" xfId="0" applyNumberFormat="1" applyBorder="1"/>
    <xf numFmtId="0" fontId="0" fillId="0" borderId="0" xfId="0" applyBorder="1"/>
    <xf numFmtId="0" fontId="9" fillId="0" borderId="0" xfId="0" applyFont="1" applyBorder="1"/>
    <xf numFmtId="0" fontId="0" fillId="0" borderId="2" xfId="0" applyBorder="1"/>
    <xf numFmtId="165" fontId="0" fillId="0" borderId="2" xfId="0" applyNumberFormat="1" applyBorder="1"/>
    <xf numFmtId="1" fontId="0" fillId="0" borderId="2" xfId="0" applyNumberFormat="1" applyBorder="1" applyAlignment="1">
      <alignment horizontal="right"/>
    </xf>
    <xf numFmtId="0" fontId="9" fillId="0" borderId="2" xfId="0" applyFont="1" applyBorder="1"/>
    <xf numFmtId="165" fontId="9" fillId="0" borderId="0" xfId="0" applyNumberFormat="1" applyFont="1"/>
    <xf numFmtId="0" fontId="0" fillId="10" borderId="8" xfId="0" applyFill="1" applyBorder="1" applyAlignment="1">
      <alignment horizontal="center" wrapText="1"/>
    </xf>
    <xf numFmtId="0" fontId="0" fillId="0" borderId="0" xfId="0" applyAlignment="1">
      <alignment horizontal="right"/>
    </xf>
    <xf numFmtId="0" fontId="9" fillId="0" borderId="0" xfId="0" applyFont="1" applyAlignment="1">
      <alignment horizontal="left"/>
    </xf>
    <xf numFmtId="0" fontId="0" fillId="0" borderId="0" xfId="0" applyBorder="1" applyAlignment="1">
      <alignment wrapText="1"/>
    </xf>
    <xf numFmtId="0" fontId="0" fillId="0" borderId="0" xfId="0" applyBorder="1" applyAlignment="1"/>
    <xf numFmtId="0" fontId="0" fillId="0" borderId="0" xfId="0" applyBorder="1" applyAlignment="1">
      <alignment horizontal="right"/>
    </xf>
    <xf numFmtId="0" fontId="0" fillId="10" borderId="10" xfId="0" applyFill="1" applyBorder="1" applyAlignment="1">
      <alignment wrapText="1"/>
    </xf>
    <xf numFmtId="1" fontId="0" fillId="0" borderId="2" xfId="0" applyNumberFormat="1" applyBorder="1"/>
    <xf numFmtId="166" fontId="0" fillId="0" borderId="2" xfId="0" applyNumberFormat="1" applyBorder="1" applyAlignment="1">
      <alignment horizontal="right"/>
    </xf>
    <xf numFmtId="0" fontId="20" fillId="0" borderId="0" xfId="0" applyFont="1" applyAlignment="1">
      <alignment vertical="center" wrapText="1"/>
    </xf>
    <xf numFmtId="0" fontId="21" fillId="0" borderId="0" xfId="0" applyFont="1"/>
    <xf numFmtId="43" fontId="21" fillId="0" borderId="0" xfId="0" applyNumberFormat="1" applyFont="1" applyAlignment="1">
      <alignment horizontal="center"/>
    </xf>
    <xf numFmtId="0" fontId="22" fillId="0" borderId="0" xfId="0" applyFont="1"/>
    <xf numFmtId="0" fontId="23" fillId="0" borderId="0" xfId="0" applyFont="1"/>
    <xf numFmtId="0" fontId="22" fillId="0" borderId="9" xfId="0" applyFont="1" applyBorder="1" applyAlignment="1"/>
    <xf numFmtId="0" fontId="22" fillId="0" borderId="10" xfId="0" applyFont="1" applyBorder="1" applyAlignment="1"/>
    <xf numFmtId="0" fontId="23" fillId="0" borderId="12" xfId="0" applyFont="1" applyBorder="1"/>
    <xf numFmtId="0" fontId="23" fillId="0" borderId="4" xfId="0" applyFont="1" applyBorder="1"/>
    <xf numFmtId="0" fontId="23" fillId="0" borderId="13" xfId="0" applyFont="1" applyBorder="1"/>
    <xf numFmtId="0" fontId="23" fillId="0" borderId="14" xfId="0" applyFont="1" applyBorder="1"/>
    <xf numFmtId="0" fontId="22" fillId="0" borderId="15" xfId="0" applyFont="1" applyBorder="1" applyAlignment="1">
      <alignment vertical="center" wrapText="1"/>
    </xf>
    <xf numFmtId="0" fontId="22" fillId="0" borderId="14" xfId="0" applyFont="1" applyBorder="1" applyAlignment="1">
      <alignment vertical="center" wrapText="1"/>
    </xf>
    <xf numFmtId="0" fontId="22" fillId="0" borderId="14" xfId="0" applyFont="1" applyBorder="1" applyAlignment="1">
      <alignment horizontal="center" vertical="center" wrapText="1"/>
    </xf>
    <xf numFmtId="0" fontId="23" fillId="0" borderId="15" xfId="0" applyFont="1" applyBorder="1" applyAlignment="1">
      <alignment vertical="center"/>
    </xf>
    <xf numFmtId="3" fontId="23" fillId="0" borderId="5" xfId="1" applyNumberFormat="1" applyFont="1" applyBorder="1" applyAlignment="1">
      <alignment horizontal="center" vertical="center"/>
    </xf>
    <xf numFmtId="3" fontId="23" fillId="0" borderId="15" xfId="1" applyNumberFormat="1" applyFont="1" applyBorder="1" applyAlignment="1">
      <alignment horizontal="center" vertical="center"/>
    </xf>
    <xf numFmtId="3" fontId="23" fillId="0" borderId="6" xfId="1" applyNumberFormat="1" applyFont="1" applyBorder="1" applyAlignment="1">
      <alignment horizontal="center" vertical="center"/>
    </xf>
    <xf numFmtId="3" fontId="23" fillId="0" borderId="7" xfId="1" applyNumberFormat="1" applyFont="1" applyBorder="1" applyAlignment="1">
      <alignment horizontal="center" vertical="center"/>
    </xf>
    <xf numFmtId="0" fontId="24" fillId="0" borderId="8" xfId="0" applyFont="1" applyBorder="1" applyAlignment="1">
      <alignment vertical="center" wrapText="1"/>
    </xf>
    <xf numFmtId="0" fontId="23" fillId="0" borderId="11" xfId="0" applyFont="1" applyBorder="1" applyAlignment="1">
      <alignment vertical="center" wrapText="1"/>
    </xf>
    <xf numFmtId="0" fontId="23" fillId="0" borderId="11" xfId="0" applyFont="1" applyBorder="1" applyAlignment="1">
      <alignment horizontal="center" vertical="center" wrapText="1"/>
    </xf>
    <xf numFmtId="0" fontId="23" fillId="0" borderId="11" xfId="0" applyFont="1" applyBorder="1" applyAlignment="1">
      <alignment horizontal="left" vertical="center" wrapText="1"/>
    </xf>
    <xf numFmtId="0" fontId="23" fillId="0" borderId="16" xfId="0" applyFont="1" applyBorder="1" applyAlignment="1">
      <alignment vertical="center"/>
    </xf>
    <xf numFmtId="3" fontId="23" fillId="0" borderId="0" xfId="1" applyNumberFormat="1" applyFont="1" applyBorder="1" applyAlignment="1">
      <alignment horizontal="center" vertical="center"/>
    </xf>
    <xf numFmtId="3" fontId="23" fillId="0" borderId="16" xfId="1" applyNumberFormat="1" applyFont="1" applyBorder="1" applyAlignment="1">
      <alignment horizontal="center" vertical="center"/>
    </xf>
    <xf numFmtId="3" fontId="23" fillId="0" borderId="17" xfId="1" applyNumberFormat="1" applyFont="1" applyBorder="1" applyAlignment="1">
      <alignment horizontal="center" vertical="center"/>
    </xf>
    <xf numFmtId="0" fontId="23" fillId="0" borderId="9" xfId="0" applyFont="1" applyBorder="1" applyAlignment="1">
      <alignment vertical="center" wrapText="1"/>
    </xf>
    <xf numFmtId="3" fontId="23" fillId="0" borderId="10" xfId="1" applyNumberFormat="1" applyFont="1" applyBorder="1" applyAlignment="1">
      <alignment horizontal="center" vertical="center"/>
    </xf>
    <xf numFmtId="0" fontId="22" fillId="0" borderId="15" xfId="0" applyFont="1" applyBorder="1" applyAlignment="1">
      <alignment wrapText="1"/>
    </xf>
    <xf numFmtId="0" fontId="23" fillId="0" borderId="13" xfId="0" applyFont="1" applyBorder="1" applyAlignment="1">
      <alignment horizontal="center" vertical="center"/>
    </xf>
    <xf numFmtId="0" fontId="23" fillId="0" borderId="15" xfId="0" applyFont="1" applyBorder="1" applyAlignment="1">
      <alignment horizontal="center" vertical="center"/>
    </xf>
    <xf numFmtId="0" fontId="23" fillId="0" borderId="14" xfId="0" applyFont="1" applyBorder="1" applyAlignment="1">
      <alignment horizontal="center" vertical="center"/>
    </xf>
    <xf numFmtId="0" fontId="24" fillId="0" borderId="12" xfId="0" applyFont="1" applyBorder="1" applyAlignment="1">
      <alignment vertical="center" wrapText="1"/>
    </xf>
    <xf numFmtId="0" fontId="23" fillId="0" borderId="15" xfId="0" applyFont="1" applyBorder="1" applyAlignment="1">
      <alignment vertical="center" wrapText="1"/>
    </xf>
    <xf numFmtId="0" fontId="23" fillId="0" borderId="13" xfId="0" applyFont="1" applyBorder="1" applyAlignment="1">
      <alignment vertical="center" wrapText="1"/>
    </xf>
    <xf numFmtId="0" fontId="23" fillId="0" borderId="15" xfId="0" applyFont="1" applyBorder="1" applyAlignment="1">
      <alignment horizontal="center" vertical="center" wrapText="1"/>
    </xf>
    <xf numFmtId="0" fontId="23" fillId="0" borderId="13" xfId="0" applyFont="1" applyBorder="1" applyAlignment="1">
      <alignment horizontal="center" vertical="center" wrapText="1"/>
    </xf>
    <xf numFmtId="0" fontId="23" fillId="0" borderId="15" xfId="0" applyFont="1" applyBorder="1" applyAlignment="1">
      <alignment horizontal="left" vertical="center" wrapText="1"/>
    </xf>
    <xf numFmtId="0" fontId="22" fillId="0" borderId="12" xfId="0" applyFont="1" applyBorder="1" applyAlignment="1">
      <alignment wrapText="1"/>
    </xf>
    <xf numFmtId="0" fontId="24" fillId="0" borderId="0" xfId="0" applyFont="1" applyBorder="1" applyAlignment="1">
      <alignment vertical="center" wrapText="1"/>
    </xf>
    <xf numFmtId="0" fontId="23" fillId="0" borderId="0" xfId="0" applyFont="1" applyBorder="1" applyAlignment="1">
      <alignment vertical="center" wrapText="1"/>
    </xf>
    <xf numFmtId="0" fontId="23" fillId="0" borderId="0" xfId="0" applyFont="1" applyBorder="1" applyAlignment="1">
      <alignment horizontal="center" vertical="center" wrapText="1"/>
    </xf>
    <xf numFmtId="0" fontId="23" fillId="0" borderId="0" xfId="0" applyFont="1" applyBorder="1" applyAlignment="1">
      <alignment horizontal="left" vertical="center" wrapText="1"/>
    </xf>
    <xf numFmtId="2" fontId="23" fillId="0" borderId="0" xfId="0" applyNumberFormat="1" applyFont="1"/>
    <xf numFmtId="0" fontId="23" fillId="0" borderId="12" xfId="0" applyFont="1" applyBorder="1" applyAlignment="1">
      <alignment horizontal="center" vertical="center" wrapText="1"/>
    </xf>
    <xf numFmtId="0" fontId="22" fillId="0" borderId="3" xfId="0" applyFont="1" applyBorder="1" applyAlignment="1">
      <alignment horizontal="center"/>
    </xf>
    <xf numFmtId="0" fontId="22" fillId="0" borderId="0" xfId="0" applyFont="1" applyAlignment="1">
      <alignment horizontal="left"/>
    </xf>
    <xf numFmtId="0" fontId="23" fillId="0" borderId="0" xfId="0" applyFont="1" applyAlignment="1">
      <alignment horizontal="center"/>
    </xf>
    <xf numFmtId="0" fontId="23" fillId="0" borderId="5" xfId="0" applyFont="1" applyBorder="1" applyAlignment="1">
      <alignment horizontal="center"/>
    </xf>
    <xf numFmtId="0" fontId="23" fillId="0" borderId="7" xfId="0" applyFont="1" applyBorder="1" applyAlignment="1">
      <alignment horizontal="center"/>
    </xf>
    <xf numFmtId="0" fontId="23" fillId="0" borderId="6" xfId="0" applyFont="1" applyBorder="1" applyAlignment="1">
      <alignment horizontal="center"/>
    </xf>
    <xf numFmtId="0" fontId="23" fillId="0" borderId="3" xfId="0" applyFont="1" applyBorder="1"/>
    <xf numFmtId="0" fontId="23" fillId="0" borderId="3" xfId="0" applyFont="1" applyBorder="1" applyAlignment="1">
      <alignment horizontal="center"/>
    </xf>
    <xf numFmtId="43" fontId="23" fillId="0" borderId="3" xfId="1" applyFont="1" applyBorder="1" applyAlignment="1">
      <alignment horizontal="right"/>
    </xf>
    <xf numFmtId="0" fontId="23" fillId="0" borderId="18" xfId="0" applyFont="1" applyBorder="1"/>
    <xf numFmtId="0" fontId="23" fillId="0" borderId="16" xfId="0" applyFont="1" applyBorder="1" applyAlignment="1">
      <alignment horizontal="center"/>
    </xf>
    <xf numFmtId="0" fontId="23" fillId="0" borderId="17" xfId="0" applyFont="1" applyBorder="1" applyAlignment="1">
      <alignment horizontal="center"/>
    </xf>
    <xf numFmtId="0" fontId="23" fillId="0" borderId="0" xfId="0" applyFont="1" applyBorder="1" applyAlignment="1">
      <alignment horizontal="center"/>
    </xf>
    <xf numFmtId="0" fontId="26" fillId="0" borderId="3" xfId="0" applyFont="1" applyBorder="1" applyAlignment="1">
      <alignment horizontal="center"/>
    </xf>
    <xf numFmtId="0" fontId="23" fillId="0" borderId="8" xfId="0" applyFont="1" applyBorder="1"/>
    <xf numFmtId="0" fontId="23" fillId="0" borderId="9" xfId="0" applyFont="1" applyBorder="1" applyAlignment="1">
      <alignment horizontal="center"/>
    </xf>
    <xf numFmtId="0" fontId="23" fillId="0" borderId="11" xfId="0" applyFont="1" applyBorder="1" applyAlignment="1">
      <alignment horizontal="center"/>
    </xf>
    <xf numFmtId="0" fontId="23" fillId="0" borderId="10" xfId="0" applyFont="1" applyBorder="1" applyAlignment="1">
      <alignment horizontal="center"/>
    </xf>
    <xf numFmtId="0" fontId="23" fillId="0" borderId="0" xfId="0" applyFont="1" applyBorder="1"/>
    <xf numFmtId="43" fontId="23" fillId="0" borderId="0" xfId="1" applyFont="1" applyBorder="1" applyAlignment="1">
      <alignment horizontal="right"/>
    </xf>
    <xf numFmtId="0" fontId="22" fillId="0" borderId="15" xfId="0" applyFont="1" applyBorder="1" applyAlignment="1">
      <alignment horizontal="right"/>
    </xf>
    <xf numFmtId="0" fontId="23" fillId="0" borderId="12" xfId="0" applyFont="1" applyBorder="1" applyAlignment="1">
      <alignment horizontal="center"/>
    </xf>
    <xf numFmtId="0" fontId="23" fillId="0" borderId="14" xfId="0" applyFont="1" applyBorder="1" applyAlignment="1">
      <alignment horizontal="center"/>
    </xf>
    <xf numFmtId="0" fontId="23" fillId="0" borderId="13" xfId="0" applyFont="1" applyBorder="1" applyAlignment="1">
      <alignment horizontal="center"/>
    </xf>
    <xf numFmtId="0" fontId="23" fillId="0" borderId="5" xfId="0" applyFont="1" applyBorder="1"/>
    <xf numFmtId="0" fontId="23" fillId="0" borderId="7" xfId="0" applyFont="1" applyBorder="1"/>
    <xf numFmtId="0" fontId="23" fillId="0" borderId="6" xfId="0" applyFont="1" applyBorder="1"/>
    <xf numFmtId="0" fontId="23" fillId="0" borderId="16" xfId="0" applyFont="1" applyBorder="1"/>
    <xf numFmtId="0" fontId="23" fillId="0" borderId="17" xfId="0" applyFont="1" applyBorder="1"/>
    <xf numFmtId="0" fontId="23" fillId="0" borderId="15" xfId="0" applyFont="1" applyBorder="1"/>
    <xf numFmtId="0" fontId="11" fillId="11" borderId="19" xfId="0" applyFont="1" applyFill="1" applyBorder="1"/>
    <xf numFmtId="0" fontId="11" fillId="10" borderId="19" xfId="0" applyFont="1" applyFill="1" applyBorder="1" applyAlignment="1">
      <alignment horizontal="center"/>
    </xf>
    <xf numFmtId="43" fontId="16" fillId="10" borderId="0" xfId="1" applyFont="1" applyFill="1"/>
    <xf numFmtId="43" fontId="23" fillId="8" borderId="3" xfId="1" applyFont="1" applyFill="1" applyBorder="1" applyAlignment="1">
      <alignment horizontal="right"/>
    </xf>
    <xf numFmtId="164" fontId="2" fillId="2" borderId="1" xfId="1" applyNumberFormat="1" applyFont="1" applyFill="1" applyBorder="1"/>
    <xf numFmtId="0" fontId="27" fillId="0" borderId="0" xfId="5"/>
    <xf numFmtId="0" fontId="27" fillId="0" borderId="0" xfId="5" applyFont="1"/>
    <xf numFmtId="0" fontId="27" fillId="8" borderId="0" xfId="5" applyFill="1"/>
    <xf numFmtId="0" fontId="28" fillId="5" borderId="1" xfId="2" applyFont="1" applyFill="1" applyBorder="1"/>
    <xf numFmtId="0" fontId="29" fillId="6" borderId="1" xfId="3" applyFont="1" applyFill="1" applyBorder="1"/>
    <xf numFmtId="2" fontId="30" fillId="3" borderId="1" xfId="3" applyNumberFormat="1" applyFont="1"/>
    <xf numFmtId="0" fontId="31" fillId="5" borderId="1" xfId="2" applyFont="1" applyFill="1" applyBorder="1"/>
    <xf numFmtId="0" fontId="32" fillId="6" borderId="1" xfId="3" applyFont="1" applyFill="1" applyBorder="1"/>
    <xf numFmtId="2" fontId="20" fillId="3" borderId="1" xfId="3" applyNumberFormat="1" applyFont="1"/>
    <xf numFmtId="0" fontId="8" fillId="0" borderId="0" xfId="0" applyFont="1"/>
    <xf numFmtId="164" fontId="3" fillId="3" borderId="1" xfId="3" applyNumberFormat="1"/>
    <xf numFmtId="0" fontId="37" fillId="0" borderId="0" xfId="0" applyFont="1" applyAlignment="1">
      <alignment vertical="center"/>
    </xf>
    <xf numFmtId="0" fontId="0" fillId="0" borderId="0" xfId="0" applyFont="1"/>
    <xf numFmtId="0" fontId="38" fillId="0" borderId="0" xfId="0" applyFont="1" applyFill="1" applyAlignment="1">
      <alignment vertical="center"/>
    </xf>
    <xf numFmtId="167" fontId="37" fillId="0" borderId="0" xfId="0" applyNumberFormat="1" applyFont="1" applyAlignment="1">
      <alignment vertical="center"/>
    </xf>
    <xf numFmtId="0" fontId="40" fillId="0" borderId="0" xfId="0" applyFont="1" applyFill="1" applyAlignment="1">
      <alignment vertical="center"/>
    </xf>
    <xf numFmtId="167" fontId="41" fillId="0" borderId="0" xfId="0" applyNumberFormat="1" applyFont="1" applyAlignment="1">
      <alignment vertical="center"/>
    </xf>
    <xf numFmtId="0" fontId="42" fillId="0" borderId="0" xfId="9" applyFont="1" applyAlignment="1">
      <alignment vertical="center"/>
    </xf>
    <xf numFmtId="0" fontId="41" fillId="0" borderId="0" xfId="0" applyFont="1" applyAlignment="1">
      <alignment vertical="center"/>
    </xf>
    <xf numFmtId="0" fontId="39" fillId="0" borderId="0" xfId="0" applyFont="1" applyFill="1" applyAlignment="1">
      <alignment vertical="center"/>
    </xf>
    <xf numFmtId="0" fontId="38" fillId="17" borderId="0" xfId="0" applyFont="1" applyFill="1" applyAlignment="1">
      <alignment vertical="center"/>
    </xf>
    <xf numFmtId="0" fontId="39" fillId="17" borderId="0" xfId="0" applyFont="1" applyFill="1" applyAlignment="1">
      <alignment vertical="center"/>
    </xf>
    <xf numFmtId="168" fontId="37" fillId="0" borderId="0" xfId="0" applyNumberFormat="1" applyFont="1" applyAlignment="1">
      <alignment vertical="center"/>
    </xf>
    <xf numFmtId="0" fontId="39" fillId="8" borderId="0" xfId="0" applyFont="1" applyFill="1" applyAlignment="1">
      <alignment vertical="center"/>
    </xf>
    <xf numFmtId="0" fontId="44" fillId="16" borderId="0" xfId="0" applyFont="1" applyFill="1" applyAlignment="1">
      <alignment vertical="center"/>
    </xf>
    <xf numFmtId="0" fontId="45" fillId="0" borderId="0" xfId="0" applyFont="1" applyAlignment="1">
      <alignment vertical="center"/>
    </xf>
    <xf numFmtId="0" fontId="46" fillId="0" borderId="0" xfId="0" applyFont="1" applyAlignment="1">
      <alignment vertical="center"/>
    </xf>
    <xf numFmtId="0" fontId="39" fillId="0" borderId="0" xfId="0" applyFont="1" applyFill="1" applyAlignment="1">
      <alignment vertical="center" wrapText="1"/>
    </xf>
    <xf numFmtId="168" fontId="46" fillId="0" borderId="0" xfId="0" applyNumberFormat="1" applyFont="1" applyAlignment="1">
      <alignment vertical="center"/>
    </xf>
    <xf numFmtId="0" fontId="47" fillId="0" borderId="0" xfId="0" applyFont="1" applyAlignment="1">
      <alignment horizontal="left" vertical="center"/>
    </xf>
    <xf numFmtId="167" fontId="46" fillId="0" borderId="0" xfId="0" applyNumberFormat="1" applyFont="1" applyAlignment="1">
      <alignment vertical="center"/>
    </xf>
    <xf numFmtId="167" fontId="48" fillId="0" borderId="0" xfId="0" applyNumberFormat="1" applyFont="1" applyAlignment="1">
      <alignment vertical="center"/>
    </xf>
    <xf numFmtId="167" fontId="47" fillId="15" borderId="0" xfId="0" applyNumberFormat="1" applyFont="1" applyFill="1" applyAlignment="1">
      <alignment horizontal="left" vertical="center"/>
    </xf>
    <xf numFmtId="0" fontId="49" fillId="0" borderId="0" xfId="0" applyFont="1"/>
    <xf numFmtId="2" fontId="0" fillId="0" borderId="0" xfId="0" applyNumberFormat="1"/>
    <xf numFmtId="0" fontId="51" fillId="0" borderId="0" xfId="0" applyFont="1" applyFill="1" applyBorder="1"/>
    <xf numFmtId="0" fontId="52" fillId="0" borderId="0" xfId="4" applyFont="1" applyFill="1" applyBorder="1"/>
    <xf numFmtId="0" fontId="53" fillId="0" borderId="15" xfId="0" applyFont="1" applyFill="1" applyBorder="1" applyAlignment="1">
      <alignment vertical="center" wrapText="1"/>
    </xf>
    <xf numFmtId="0" fontId="53" fillId="0" borderId="14" xfId="0" applyFont="1" applyFill="1" applyBorder="1" applyAlignment="1">
      <alignment vertical="center" wrapText="1"/>
    </xf>
    <xf numFmtId="0" fontId="53" fillId="0" borderId="14" xfId="0" applyFont="1" applyFill="1" applyBorder="1" applyAlignment="1">
      <alignment horizontal="center" vertical="center" wrapText="1"/>
    </xf>
    <xf numFmtId="0" fontId="50" fillId="0" borderId="8" xfId="0" applyFont="1" applyFill="1" applyBorder="1" applyAlignment="1">
      <alignment vertical="center" wrapText="1"/>
    </xf>
    <xf numFmtId="0" fontId="54" fillId="0" borderId="11" xfId="0" applyFont="1" applyFill="1" applyBorder="1" applyAlignment="1">
      <alignment vertical="center" wrapText="1"/>
    </xf>
    <xf numFmtId="0" fontId="54" fillId="0" borderId="11" xfId="0" applyFont="1" applyFill="1" applyBorder="1" applyAlignment="1">
      <alignment horizontal="center" vertical="center" wrapText="1"/>
    </xf>
    <xf numFmtId="0" fontId="51" fillId="18" borderId="0" xfId="0" applyFont="1" applyFill="1" applyBorder="1"/>
    <xf numFmtId="0" fontId="50" fillId="18" borderId="0" xfId="0" applyFont="1" applyFill="1" applyBorder="1" applyAlignment="1">
      <alignment vertical="center" wrapText="1"/>
    </xf>
    <xf numFmtId="0" fontId="54" fillId="18" borderId="0" xfId="0" applyFont="1" applyFill="1" applyBorder="1" applyAlignment="1">
      <alignment vertical="center" wrapText="1"/>
    </xf>
    <xf numFmtId="0" fontId="54" fillId="18" borderId="0" xfId="0" applyFont="1" applyFill="1" applyBorder="1" applyAlignment="1">
      <alignment horizontal="center" vertical="center" wrapText="1"/>
    </xf>
    <xf numFmtId="2" fontId="54" fillId="18" borderId="0" xfId="0" applyNumberFormat="1" applyFont="1" applyFill="1" applyBorder="1" applyAlignment="1">
      <alignment horizontal="center" vertical="center" wrapText="1"/>
    </xf>
    <xf numFmtId="3" fontId="54" fillId="0" borderId="11" xfId="0" applyNumberFormat="1" applyFont="1" applyFill="1" applyBorder="1" applyAlignment="1">
      <alignment horizontal="center" vertical="center" wrapText="1"/>
    </xf>
    <xf numFmtId="0" fontId="53" fillId="0" borderId="20" xfId="0" applyFont="1" applyFill="1" applyBorder="1" applyAlignment="1">
      <alignment horizontal="center" vertical="center" wrapText="1"/>
    </xf>
    <xf numFmtId="3" fontId="54" fillId="0" borderId="21" xfId="0" applyNumberFormat="1" applyFont="1" applyFill="1" applyBorder="1" applyAlignment="1">
      <alignment horizontal="center" vertical="center"/>
    </xf>
    <xf numFmtId="0" fontId="54" fillId="0" borderId="21" xfId="0" applyFont="1" applyFill="1" applyBorder="1" applyAlignment="1">
      <alignment horizontal="center" vertical="center"/>
    </xf>
    <xf numFmtId="2" fontId="51" fillId="18" borderId="0" xfId="0" applyNumberFormat="1" applyFont="1" applyFill="1" applyBorder="1"/>
    <xf numFmtId="0" fontId="55" fillId="0" borderId="0" xfId="0" applyFont="1" applyFill="1" applyBorder="1" applyAlignment="1"/>
    <xf numFmtId="0" fontId="55" fillId="19" borderId="0" xfId="0" applyFont="1" applyFill="1" applyBorder="1" applyAlignment="1"/>
    <xf numFmtId="0" fontId="56" fillId="20" borderId="0" xfId="0" applyFont="1" applyFill="1" applyBorder="1" applyAlignment="1"/>
    <xf numFmtId="0" fontId="57" fillId="20" borderId="0" xfId="0" applyFont="1" applyFill="1" applyBorder="1" applyAlignment="1"/>
    <xf numFmtId="166" fontId="57" fillId="20" borderId="0" xfId="0" applyNumberFormat="1" applyFont="1" applyFill="1" applyBorder="1" applyAlignment="1"/>
    <xf numFmtId="0" fontId="55" fillId="21" borderId="0" xfId="0" applyFont="1" applyFill="1" applyBorder="1" applyAlignment="1"/>
    <xf numFmtId="0" fontId="51" fillId="0" borderId="0" xfId="0" applyFont="1" applyFill="1" applyBorder="1" applyAlignment="1"/>
    <xf numFmtId="2" fontId="51" fillId="0" borderId="0" xfId="0" applyNumberFormat="1" applyFont="1" applyFill="1" applyBorder="1" applyAlignment="1"/>
    <xf numFmtId="0" fontId="51" fillId="22" borderId="0" xfId="0" applyFont="1" applyFill="1" applyBorder="1" applyAlignment="1"/>
    <xf numFmtId="2" fontId="51" fillId="22" borderId="0" xfId="0" applyNumberFormat="1" applyFont="1" applyFill="1" applyBorder="1" applyAlignment="1"/>
    <xf numFmtId="2" fontId="51" fillId="22" borderId="15" xfId="0" applyNumberFormat="1" applyFont="1" applyFill="1" applyBorder="1" applyAlignment="1"/>
    <xf numFmtId="2" fontId="55" fillId="21" borderId="0" xfId="0" applyNumberFormat="1" applyFont="1" applyFill="1" applyBorder="1" applyAlignment="1"/>
    <xf numFmtId="166" fontId="51" fillId="0" borderId="0" xfId="0" applyNumberFormat="1" applyFont="1" applyFill="1" applyBorder="1" applyAlignment="1"/>
    <xf numFmtId="2" fontId="51" fillId="0" borderId="15" xfId="0" applyNumberFormat="1" applyFont="1" applyFill="1" applyBorder="1" applyAlignment="1"/>
    <xf numFmtId="0" fontId="51" fillId="23" borderId="0" xfId="0" applyFont="1" applyFill="1" applyBorder="1" applyAlignment="1"/>
    <xf numFmtId="166" fontId="51" fillId="23" borderId="0" xfId="0" applyNumberFormat="1" applyFont="1" applyFill="1" applyBorder="1" applyAlignment="1"/>
    <xf numFmtId="2" fontId="51" fillId="23" borderId="0" xfId="0" applyNumberFormat="1" applyFont="1" applyFill="1" applyBorder="1" applyAlignment="1"/>
    <xf numFmtId="166" fontId="51" fillId="22" borderId="0" xfId="0" applyNumberFormat="1" applyFont="1" applyFill="1" applyBorder="1" applyAlignment="1"/>
    <xf numFmtId="0" fontId="58" fillId="0" borderId="0" xfId="0" applyFont="1" applyFill="1" applyBorder="1" applyAlignment="1"/>
    <xf numFmtId="0" fontId="52" fillId="0" borderId="0" xfId="4" applyFont="1" applyFill="1" applyBorder="1" applyAlignment="1"/>
    <xf numFmtId="2" fontId="57" fillId="20" borderId="0" xfId="0" applyNumberFormat="1" applyFont="1" applyFill="1" applyBorder="1" applyAlignment="1"/>
    <xf numFmtId="0" fontId="51" fillId="21" borderId="0" xfId="0" applyFont="1" applyFill="1" applyBorder="1" applyAlignment="1"/>
    <xf numFmtId="2" fontId="51" fillId="21" borderId="0" xfId="0" applyNumberFormat="1" applyFont="1" applyFill="1" applyBorder="1" applyAlignment="1"/>
    <xf numFmtId="166" fontId="0" fillId="0" borderId="0" xfId="0" applyNumberFormat="1"/>
    <xf numFmtId="0" fontId="12" fillId="0" borderId="0" xfId="0" applyFont="1" applyAlignment="1">
      <alignment horizontal="right"/>
    </xf>
    <xf numFmtId="2" fontId="59" fillId="2" borderId="1" xfId="2" applyNumberFormat="1" applyFont="1"/>
    <xf numFmtId="0" fontId="60" fillId="0" borderId="0" xfId="4" applyFont="1"/>
    <xf numFmtId="0" fontId="12" fillId="7" borderId="2" xfId="0" applyFont="1" applyFill="1" applyBorder="1" applyAlignment="1">
      <alignment horizontal="center" wrapText="1"/>
    </xf>
    <xf numFmtId="0" fontId="12" fillId="0" borderId="0" xfId="0" applyFont="1" applyFill="1"/>
    <xf numFmtId="0" fontId="13" fillId="0" borderId="22" xfId="2" applyFont="1" applyFill="1" applyBorder="1"/>
    <xf numFmtId="0" fontId="14" fillId="0" borderId="22" xfId="3" applyFont="1" applyFill="1" applyBorder="1"/>
    <xf numFmtId="43" fontId="14" fillId="0" borderId="22" xfId="1" applyFont="1" applyFill="1" applyBorder="1"/>
    <xf numFmtId="0" fontId="13" fillId="0" borderId="0" xfId="2" applyFont="1" applyFill="1" applyBorder="1"/>
    <xf numFmtId="0" fontId="14" fillId="0" borderId="0" xfId="3" applyFont="1" applyFill="1" applyBorder="1"/>
    <xf numFmtId="43" fontId="14" fillId="0" borderId="0" xfId="1" applyFont="1" applyFill="1" applyBorder="1"/>
    <xf numFmtId="0" fontId="61" fillId="0" borderId="0" xfId="0" applyFont="1"/>
    <xf numFmtId="2" fontId="14" fillId="3" borderId="1" xfId="1" applyNumberFormat="1" applyFont="1" applyFill="1" applyBorder="1"/>
    <xf numFmtId="43" fontId="12" fillId="0" borderId="0" xfId="0" applyNumberFormat="1" applyFont="1"/>
    <xf numFmtId="0" fontId="34" fillId="13" borderId="1" xfId="7" applyBorder="1"/>
    <xf numFmtId="2" fontId="51" fillId="23" borderId="15" xfId="0" applyNumberFormat="1" applyFont="1" applyFill="1" applyBorder="1" applyAlignment="1"/>
    <xf numFmtId="0" fontId="33" fillId="12" borderId="1" xfId="6" applyBorder="1"/>
    <xf numFmtId="0" fontId="35" fillId="14" borderId="1" xfId="8" applyBorder="1"/>
    <xf numFmtId="0" fontId="27" fillId="0" borderId="0" xfId="5" applyFont="1" applyFill="1" applyBorder="1"/>
    <xf numFmtId="0" fontId="62" fillId="0" borderId="0" xfId="5" applyFont="1" applyFill="1" applyBorder="1"/>
    <xf numFmtId="170" fontId="27" fillId="0" borderId="0" xfId="5" applyNumberFormat="1" applyFont="1" applyFill="1" applyBorder="1"/>
    <xf numFmtId="3" fontId="27" fillId="0" borderId="0" xfId="5" applyNumberFormat="1" applyFont="1" applyFill="1" applyBorder="1"/>
    <xf numFmtId="1" fontId="27" fillId="0" borderId="0" xfId="5" applyNumberFormat="1" applyFont="1" applyFill="1" applyBorder="1"/>
    <xf numFmtId="9" fontId="27" fillId="0" borderId="0" xfId="5" applyNumberFormat="1" applyFont="1" applyFill="1" applyBorder="1"/>
    <xf numFmtId="0" fontId="0" fillId="0" borderId="0" xfId="0" applyFont="1" applyFill="1" applyBorder="1"/>
    <xf numFmtId="170" fontId="0" fillId="0" borderId="0" xfId="0" applyNumberFormat="1" applyFont="1" applyFill="1" applyBorder="1"/>
    <xf numFmtId="3" fontId="0" fillId="0" borderId="0" xfId="0" applyNumberFormat="1" applyFont="1" applyFill="1" applyBorder="1"/>
    <xf numFmtId="1" fontId="0" fillId="0" borderId="0" xfId="0" applyNumberFormat="1" applyFont="1" applyFill="1" applyBorder="1"/>
    <xf numFmtId="1" fontId="0" fillId="0" borderId="0" xfId="0" applyNumberFormat="1"/>
    <xf numFmtId="43" fontId="9" fillId="0" borderId="0" xfId="0" applyNumberFormat="1" applyFont="1"/>
    <xf numFmtId="164" fontId="0" fillId="0" borderId="0" xfId="1" applyNumberFormat="1" applyFont="1"/>
    <xf numFmtId="164" fontId="0" fillId="0" borderId="0" xfId="0" applyNumberFormat="1"/>
    <xf numFmtId="2" fontId="9" fillId="0" borderId="0" xfId="0" applyNumberFormat="1" applyFont="1"/>
    <xf numFmtId="169" fontId="4" fillId="9" borderId="0" xfId="0" applyNumberFormat="1" applyFont="1" applyFill="1"/>
    <xf numFmtId="0" fontId="63" fillId="0" borderId="0" xfId="0" applyFont="1" applyAlignment="1">
      <alignment vertical="center"/>
    </xf>
    <xf numFmtId="0" fontId="64" fillId="0" borderId="14" xfId="0" applyFont="1" applyBorder="1" applyAlignment="1">
      <alignment horizontal="justify" vertical="center" wrapText="1"/>
    </xf>
    <xf numFmtId="0" fontId="64" fillId="0" borderId="11" xfId="0" applyFont="1" applyBorder="1" applyAlignment="1">
      <alignment horizontal="justify" vertical="center" wrapText="1"/>
    </xf>
    <xf numFmtId="9" fontId="64" fillId="0" borderId="11" xfId="0" applyNumberFormat="1" applyFont="1" applyBorder="1" applyAlignment="1">
      <alignment horizontal="justify" vertical="center" wrapText="1"/>
    </xf>
    <xf numFmtId="0" fontId="64" fillId="0" borderId="18" xfId="0" applyFont="1" applyBorder="1" applyAlignment="1">
      <alignment horizontal="justify" vertical="center" wrapText="1"/>
    </xf>
    <xf numFmtId="0" fontId="64" fillId="0" borderId="8" xfId="0" applyFont="1" applyBorder="1" applyAlignment="1">
      <alignment horizontal="justify" vertical="center" wrapText="1"/>
    </xf>
    <xf numFmtId="0" fontId="63" fillId="0" borderId="0" xfId="0" applyFont="1" applyAlignment="1">
      <alignment horizontal="left" vertical="center" indent="1"/>
    </xf>
    <xf numFmtId="0" fontId="64" fillId="8" borderId="11" xfId="0" applyFont="1" applyFill="1" applyBorder="1" applyAlignment="1">
      <alignment horizontal="justify" vertical="center" wrapText="1"/>
    </xf>
    <xf numFmtId="9" fontId="64" fillId="8" borderId="11" xfId="0" applyNumberFormat="1" applyFont="1" applyFill="1" applyBorder="1" applyAlignment="1">
      <alignment horizontal="justify" vertical="center" wrapText="1"/>
    </xf>
    <xf numFmtId="0" fontId="8" fillId="2" borderId="1" xfId="2" applyFont="1"/>
    <xf numFmtId="0" fontId="26" fillId="8" borderId="0" xfId="0" applyFont="1" applyFill="1"/>
    <xf numFmtId="2" fontId="26" fillId="8" borderId="0" xfId="0" applyNumberFormat="1" applyFont="1" applyFill="1"/>
    <xf numFmtId="0" fontId="5" fillId="5" borderId="1" xfId="4" applyFill="1" applyBorder="1"/>
    <xf numFmtId="0" fontId="66" fillId="0" borderId="3" xfId="0" applyFont="1" applyBorder="1" applyAlignment="1">
      <alignment vertical="center"/>
    </xf>
    <xf numFmtId="0" fontId="64" fillId="0" borderId="3" xfId="0" applyFont="1" applyBorder="1" applyAlignment="1">
      <alignment horizontal="justify" vertical="center" wrapText="1"/>
    </xf>
    <xf numFmtId="0" fontId="66" fillId="0" borderId="0" xfId="0" applyFont="1" applyAlignment="1">
      <alignment vertical="center"/>
    </xf>
    <xf numFmtId="0" fontId="0" fillId="8" borderId="0" xfId="0" applyFill="1"/>
    <xf numFmtId="170" fontId="27" fillId="8" borderId="0" xfId="5" applyNumberFormat="1" applyFont="1" applyFill="1" applyBorder="1"/>
    <xf numFmtId="170" fontId="0" fillId="8" borderId="0" xfId="0" applyNumberFormat="1" applyFont="1" applyFill="1" applyBorder="1"/>
    <xf numFmtId="0" fontId="2" fillId="2" borderId="1" xfId="2" applyAlignment="1"/>
    <xf numFmtId="43" fontId="34" fillId="13" borderId="1" xfId="7" applyNumberFormat="1" applyBorder="1"/>
    <xf numFmtId="2" fontId="34" fillId="13" borderId="1" xfId="7" applyNumberFormat="1" applyBorder="1"/>
    <xf numFmtId="0" fontId="33" fillId="12" borderId="0" xfId="6" applyAlignment="1">
      <alignment horizontal="center" wrapText="1"/>
    </xf>
    <xf numFmtId="0" fontId="33" fillId="12" borderId="0" xfId="6"/>
    <xf numFmtId="43" fontId="12" fillId="8" borderId="0" xfId="0" applyNumberFormat="1" applyFont="1" applyFill="1"/>
    <xf numFmtId="43" fontId="0" fillId="8" borderId="0" xfId="0" applyNumberFormat="1" applyFill="1"/>
    <xf numFmtId="43" fontId="12" fillId="0" borderId="0" xfId="0" applyNumberFormat="1" applyFont="1" applyFill="1"/>
    <xf numFmtId="3" fontId="51" fillId="0" borderId="0" xfId="0" applyNumberFormat="1" applyFont="1" applyFill="1" applyBorder="1"/>
    <xf numFmtId="0" fontId="0" fillId="10" borderId="4" xfId="0" applyFill="1" applyBorder="1" applyAlignment="1">
      <alignment horizontal="center" wrapText="1"/>
    </xf>
    <xf numFmtId="0" fontId="0" fillId="10" borderId="8" xfId="0" applyFill="1" applyBorder="1" applyAlignment="1">
      <alignment horizontal="center" wrapText="1"/>
    </xf>
    <xf numFmtId="0" fontId="9" fillId="10" borderId="4" xfId="0" applyFont="1" applyFill="1" applyBorder="1" applyAlignment="1">
      <alignment horizontal="center" wrapText="1"/>
    </xf>
    <xf numFmtId="0" fontId="9" fillId="10" borderId="8" xfId="0" applyFont="1" applyFill="1" applyBorder="1" applyAlignment="1">
      <alignment horizontal="center" wrapText="1"/>
    </xf>
    <xf numFmtId="0" fontId="20" fillId="0" borderId="0" xfId="0" applyFont="1" applyAlignment="1">
      <alignment horizontal="center" vertical="center" wrapText="1"/>
    </xf>
    <xf numFmtId="0" fontId="20" fillId="0" borderId="6" xfId="0" applyFont="1" applyBorder="1" applyAlignment="1">
      <alignment horizontal="center" vertical="center" wrapText="1"/>
    </xf>
    <xf numFmtId="0" fontId="20" fillId="0" borderId="0" xfId="0" applyFont="1" applyBorder="1" applyAlignment="1">
      <alignment horizontal="center" vertical="center" wrapText="1"/>
    </xf>
    <xf numFmtId="0" fontId="0" fillId="10" borderId="5" xfId="0" applyFill="1" applyBorder="1" applyAlignment="1">
      <alignment horizontal="center"/>
    </xf>
    <xf numFmtId="0" fontId="0" fillId="10" borderId="6" xfId="0" applyFill="1" applyBorder="1" applyAlignment="1">
      <alignment horizontal="center"/>
    </xf>
    <xf numFmtId="0" fontId="0" fillId="10" borderId="7" xfId="0" applyFill="1" applyBorder="1" applyAlignment="1">
      <alignment horizontal="center"/>
    </xf>
    <xf numFmtId="0" fontId="11" fillId="11" borderId="19" xfId="0" applyFont="1" applyFill="1" applyBorder="1" applyAlignment="1">
      <alignment horizontal="center"/>
    </xf>
    <xf numFmtId="0" fontId="22" fillId="0" borderId="12" xfId="0" applyFont="1" applyBorder="1" applyAlignment="1">
      <alignment horizontal="center"/>
    </xf>
    <xf numFmtId="0" fontId="22" fillId="0" borderId="13" xfId="0" applyFont="1" applyBorder="1" applyAlignment="1">
      <alignment horizontal="center"/>
    </xf>
    <xf numFmtId="0" fontId="22" fillId="0" borderId="14" xfId="0" applyFont="1" applyBorder="1" applyAlignment="1">
      <alignment horizontal="center"/>
    </xf>
    <xf numFmtId="0" fontId="23" fillId="0" borderId="12" xfId="0" applyFont="1" applyBorder="1" applyAlignment="1">
      <alignment horizontal="center"/>
    </xf>
    <xf numFmtId="0" fontId="23" fillId="0" borderId="14" xfId="0" applyFont="1" applyBorder="1" applyAlignment="1">
      <alignment horizontal="center"/>
    </xf>
    <xf numFmtId="0" fontId="23" fillId="0" borderId="13" xfId="0" applyFont="1" applyBorder="1" applyAlignment="1">
      <alignment horizontal="center"/>
    </xf>
    <xf numFmtId="0" fontId="43" fillId="0" borderId="0" xfId="9" applyFont="1" applyAlignment="1">
      <alignment horizontal="center" vertical="center" wrapText="1"/>
    </xf>
    <xf numFmtId="0" fontId="64" fillId="0" borderId="12" xfId="0" applyFont="1" applyBorder="1" applyAlignment="1">
      <alignment horizontal="justify" vertical="center" wrapText="1"/>
    </xf>
    <xf numFmtId="0" fontId="64" fillId="0" borderId="14" xfId="0" applyFont="1" applyBorder="1" applyAlignment="1">
      <alignment horizontal="justify" vertical="center" wrapText="1"/>
    </xf>
    <xf numFmtId="0" fontId="64" fillId="8" borderId="12" xfId="0" applyFont="1" applyFill="1" applyBorder="1" applyAlignment="1">
      <alignment horizontal="justify" vertical="center" wrapText="1"/>
    </xf>
    <xf numFmtId="0" fontId="64" fillId="8" borderId="14" xfId="0" applyFont="1" applyFill="1" applyBorder="1" applyAlignment="1">
      <alignment horizontal="justify" vertical="center" wrapText="1"/>
    </xf>
    <xf numFmtId="43" fontId="0" fillId="0" borderId="0" xfId="0" applyNumberFormat="1" applyFont="1"/>
    <xf numFmtId="2" fontId="4" fillId="24" borderId="23" xfId="10" applyNumberFormat="1"/>
  </cellXfs>
  <cellStyles count="11">
    <cellStyle name="Bad" xfId="7" builtinId="27"/>
    <cellStyle name="Calculation" xfId="3" builtinId="22"/>
    <cellStyle name="Check Cell" xfId="10" builtinId="23"/>
    <cellStyle name="Comma" xfId="1" builtinId="3"/>
    <cellStyle name="Explanatory Text" xfId="9" builtinId="53"/>
    <cellStyle name="Good" xfId="6" builtinId="26"/>
    <cellStyle name="Hyperlink" xfId="4" builtinId="8"/>
    <cellStyle name="Input" xfId="2" builtinId="20"/>
    <cellStyle name="Neutral" xfId="8" builtinId="28"/>
    <cellStyle name="Normal" xfId="0" builtinId="0"/>
    <cellStyle name="Normal 2" xfId="5" xr:uid="{DDC318CD-AB97-43B0-999D-22D4E21A2057}"/>
  </cellStyles>
  <dxfs count="6">
    <dxf>
      <numFmt numFmtId="35" formatCode="_-* #,##0.00_-;\-* #,##0.00_-;_-* &quot;-&quot;??_-;_-@_-"/>
      <alignment horizontal="center" vertical="bottom" textRotation="0" wrapText="0" indent="0" justifyLastLine="0" shrinkToFit="0" readingOrder="0"/>
    </dxf>
    <dxf>
      <numFmt numFmtId="35" formatCode="_-* #,##0.00_-;\-* #,##0.00_-;_-* &quot;-&quot;??_-;_-@_-"/>
      <alignment horizontal="center" vertical="bottom" textRotation="0" wrapText="0" indent="0" justifyLastLine="0" shrinkToFit="0" readingOrder="0"/>
    </dxf>
    <dxf>
      <numFmt numFmtId="35" formatCode="_-* #,##0.00_-;\-* #,##0.00_-;_-* &quot;-&quot;??_-;_-@_-"/>
      <alignment horizontal="center" vertical="bottom" textRotation="0" wrapText="0" indent="0" justifyLastLine="0" shrinkToFit="0" readingOrder="0"/>
    </dxf>
    <dxf>
      <numFmt numFmtId="35" formatCode="_-* #,##0.00_-;\-* #,##0.00_-;_-* &quot;-&quot;??_-;_-@_-"/>
      <alignment horizontal="center" vertical="bottom" textRotation="0" wrapText="0" indent="0" justifyLastLine="0" shrinkToFit="0" readingOrder="0"/>
    </dxf>
    <dxf>
      <font>
        <b/>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abriela%20Gomez/AppData/Local/Microsoft/Windows/INetCache/Content.Outlook/6DN040TE/TB%20vaccine%20cost%20model%20INDIA%20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iammetta/Filr/My%20Files/TransferFiles/TB%20in%20SA/Constraints/Constraints%20model%20assumptions%20v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a"/>
      <sheetName val="Cost model"/>
      <sheetName val="Instructions"/>
      <sheetName val="Vaccine lit review"/>
      <sheetName val="Vaccine costs (routine)"/>
      <sheetName val="Diagnostics"/>
      <sheetName val="TB drug regimens"/>
      <sheetName val="DS Treatment"/>
      <sheetName val="MDR Treatment"/>
      <sheetName val="1. Vaccine delivery"/>
      <sheetName val="2. TB diagnosis"/>
      <sheetName val="3. TB treatment"/>
    </sheetNames>
    <sheetDataSet>
      <sheetData sheetId="0" refreshError="1"/>
      <sheetData sheetId="1" refreshError="1"/>
      <sheetData sheetId="2" refreshError="1"/>
      <sheetData sheetId="3" refreshError="1"/>
      <sheetData sheetId="4">
        <row r="3">
          <cell r="H3">
            <v>25224000</v>
          </cell>
        </row>
        <row r="4">
          <cell r="H4">
            <v>24341160</v>
          </cell>
        </row>
        <row r="5">
          <cell r="H5">
            <v>27746400.000000004</v>
          </cell>
        </row>
        <row r="7">
          <cell r="C7">
            <v>0.25</v>
          </cell>
        </row>
        <row r="10">
          <cell r="H10">
            <v>65.400000000000006</v>
          </cell>
        </row>
      </sheetData>
      <sheetData sheetId="5" refreshError="1"/>
      <sheetData sheetId="6" refreshError="1"/>
      <sheetData sheetId="7">
        <row r="5">
          <cell r="Q5">
            <v>1.0090897613937635</v>
          </cell>
        </row>
        <row r="6">
          <cell r="Q6">
            <v>1.0085231308300582</v>
          </cell>
          <cell r="S6">
            <v>1.0417772830369032</v>
          </cell>
        </row>
        <row r="7">
          <cell r="Q7">
            <v>1.0081276951211253</v>
          </cell>
        </row>
        <row r="8">
          <cell r="Q8">
            <v>1.007745933384973</v>
          </cell>
        </row>
        <row r="9">
          <cell r="Q9">
            <v>1.0076103500761036</v>
          </cell>
        </row>
      </sheetData>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model"/>
      <sheetName val="HR constraint"/>
      <sheetName val="HR Option A "/>
      <sheetName val="HR Option B"/>
      <sheetName val="Budget constraint"/>
      <sheetName val="Number of Xperts"/>
      <sheetName val="Nurse training"/>
      <sheetName val="Cost of training"/>
    </sheetNames>
    <sheetDataSet>
      <sheetData sheetId="0"/>
      <sheetData sheetId="1"/>
      <sheetData sheetId="2">
        <row r="21">
          <cell r="B21">
            <v>223</v>
          </cell>
        </row>
        <row r="29">
          <cell r="L29">
            <v>480</v>
          </cell>
        </row>
      </sheetData>
      <sheetData sheetId="3"/>
      <sheetData sheetId="4"/>
      <sheetData sheetId="5"/>
      <sheetData sheetId="6">
        <row r="47">
          <cell r="G47">
            <v>0.94</v>
          </cell>
        </row>
      </sheetData>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E8A8964-A8ED-482D-A971-EBD805D1DBF7}" name="Table2" displayName="Table2" ref="A2:E9" totalsRowShown="0">
  <autoFilter ref="A2:E9" xr:uid="{71AB4988-5CA6-465D-B952-464A72A2D8C6}"/>
  <tableColumns count="5">
    <tableColumn id="1" xr3:uid="{7935E5BD-042F-4C1A-898E-D4F1BBB554A1}" name="Cost cat" dataDxfId="5" totalsRowDxfId="4"/>
    <tableColumn id="2" xr3:uid="{A1958730-5CED-493F-BA60-8D8EF477E881}" name="unit"/>
    <tableColumn id="3" xr3:uid="{687204C9-A7A0-4118-AAA1-0EF96CB834E1}" name="min" dataDxfId="3" totalsRowDxfId="2">
      <calculatedColumnFormula>I16/6</calculatedColumnFormula>
    </tableColumn>
    <tableColumn id="4" xr3:uid="{D106CD8B-34A7-466D-9ACF-FD7C870E2951}" name="max" dataDxfId="1" totalsRowDxfId="0">
      <calculatedColumnFormula>I27</calculatedColumnFormula>
    </tableColumn>
    <tableColumn id="5" xr3:uid="{1B23E081-BD25-49DE-B7F2-899934EE1C06}" name="comments"/>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ciencedirect.com/science/article/pii/S1098301512016592" TargetMode="External"/><Relationship Id="rId2" Type="http://schemas.openxmlformats.org/officeDocument/2006/relationships/hyperlink" Target="https://www.sciencedirect.com/science/article/pii/S0264410X05012041?via%3Dihub;%20+/-%2020%25%20but%20not%20uniform%20but%20as%2095%25%20CI" TargetMode="External"/><Relationship Id="rId1" Type="http://schemas.openxmlformats.org/officeDocument/2006/relationships/hyperlink" Target="https://aasldpubs.onlinelibrary.wiley.com/doi/epdf/10.1002/hep.23310"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ncbi.nlm.nih.gov/pubmed/17373353" TargetMode="External"/><Relationship Id="rId1" Type="http://schemas.openxmlformats.org/officeDocument/2006/relationships/hyperlink" Target="http://medind.nic.in/ibr/t06/i1/ibrt06i1p12.pdf"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hyperlink" Target="http://apps.who.int/iris/handle/10665/250125;jsessionid=FA099E09114CC562860D6D5E1BD51799" TargetMode="External"/><Relationship Id="rId7" Type="http://schemas.openxmlformats.org/officeDocument/2006/relationships/comments" Target="../comments3.xml"/><Relationship Id="rId2" Type="http://schemas.openxmlformats.org/officeDocument/2006/relationships/hyperlink" Target="https://www.oanda.com/currency/average" TargetMode="External"/><Relationship Id="rId1" Type="http://schemas.openxmlformats.org/officeDocument/2006/relationships/hyperlink" Target="http://databank.worldbank.org/data/reports.aspx?source=2&amp;series=NY.GDP.DEFL.KD.ZG&amp;country=" TargetMode="External"/><Relationship Id="rId6" Type="http://schemas.openxmlformats.org/officeDocument/2006/relationships/vmlDrawing" Target="../drawings/vmlDrawing3.vml"/><Relationship Id="rId5" Type="http://schemas.openxmlformats.org/officeDocument/2006/relationships/printerSettings" Target="../printerSettings/printerSettings2.bin"/><Relationship Id="rId4" Type="http://schemas.openxmlformats.org/officeDocument/2006/relationships/hyperlink" Target="https://www.ncbi.nlm.nih.gov/pmc/articles/PMC5906334/"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sciencedirect.com/science/article/pii/S0264410X05012041?via%3Dihub" TargetMode="External"/><Relationship Id="rId3" Type="http://schemas.openxmlformats.org/officeDocument/2006/relationships/hyperlink" Target="https://www.tandfonline.com/doi/full/10.1080/14737167.2018.1507821" TargetMode="External"/><Relationship Id="rId7" Type="http://schemas.openxmlformats.org/officeDocument/2006/relationships/hyperlink" Target="http://www.who.int/choice/costs/en/" TargetMode="External"/><Relationship Id="rId2" Type="http://schemas.openxmlformats.org/officeDocument/2006/relationships/hyperlink" Target="https://www.ncbi.nlm.nih.gov/pmc/articles/PMC4559093/" TargetMode="External"/><Relationship Id="rId1" Type="http://schemas.openxmlformats.org/officeDocument/2006/relationships/hyperlink" Target="https://journals.plos.org/plosmedicine/article?id=10.1371/journal.pmed.1001348" TargetMode="External"/><Relationship Id="rId6" Type="http://schemas.openxmlformats.org/officeDocument/2006/relationships/hyperlink" Target="http://erj.ersjournals.com/content/erj/early/2012/12/19/09031936.00147912.full.pdf" TargetMode="External"/><Relationship Id="rId5" Type="http://schemas.openxmlformats.org/officeDocument/2006/relationships/hyperlink" Target="https://www.ncbi.nlm.nih.gov/pubmed/28073970" TargetMode="External"/><Relationship Id="rId4" Type="http://schemas.openxmlformats.org/officeDocument/2006/relationships/hyperlink" Target="https://www.ncbi.nlm.nih.gov/pubmed/259395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C56AF-EBB4-4A42-93A3-323C3AA3145D}">
  <dimension ref="A1:M25"/>
  <sheetViews>
    <sheetView showGridLines="0" tabSelected="1" topLeftCell="D1" workbookViewId="0">
      <selection activeCell="H8" sqref="H8"/>
    </sheetView>
  </sheetViews>
  <sheetFormatPr defaultRowHeight="14.4"/>
  <cols>
    <col min="1" max="2" width="17.44140625" customWidth="1"/>
    <col min="3" max="3" width="75.88671875" customWidth="1"/>
    <col min="4" max="4" width="19" customWidth="1"/>
    <col min="5" max="5" width="29.77734375" customWidth="1"/>
    <col min="6" max="6" width="15.21875" customWidth="1"/>
    <col min="7" max="9" width="15.33203125" customWidth="1"/>
    <col min="10" max="10" width="37.44140625" customWidth="1"/>
    <col min="11" max="11" width="52.33203125" customWidth="1"/>
  </cols>
  <sheetData>
    <row r="1" spans="1:13" ht="28.8">
      <c r="A1" s="1" t="s">
        <v>25</v>
      </c>
      <c r="B1" s="1" t="s">
        <v>0</v>
      </c>
      <c r="C1" s="1" t="s">
        <v>1</v>
      </c>
      <c r="D1" s="1" t="s">
        <v>2</v>
      </c>
      <c r="E1" s="1" t="s">
        <v>3</v>
      </c>
      <c r="F1" s="1" t="s">
        <v>1108</v>
      </c>
      <c r="G1" s="1" t="s">
        <v>142</v>
      </c>
      <c r="H1" s="1" t="s">
        <v>1079</v>
      </c>
      <c r="I1" s="1" t="s">
        <v>1107</v>
      </c>
      <c r="J1" s="1" t="s">
        <v>4</v>
      </c>
      <c r="K1" s="1" t="s">
        <v>5</v>
      </c>
      <c r="L1" s="278" t="s">
        <v>1117</v>
      </c>
      <c r="M1" s="279" t="s">
        <v>1116</v>
      </c>
    </row>
    <row r="2" spans="1:13">
      <c r="A2" s="236" t="s">
        <v>26</v>
      </c>
      <c r="B2" s="236" t="s">
        <v>6</v>
      </c>
      <c r="C2" s="236" t="s">
        <v>7</v>
      </c>
      <c r="D2" s="236" t="s">
        <v>8</v>
      </c>
      <c r="E2" s="236" t="s">
        <v>16</v>
      </c>
      <c r="F2" s="276">
        <f>G2*0.4+H2*0.6</f>
        <v>2.3169399999999998</v>
      </c>
      <c r="G2" s="276">
        <f>'China - TB&amp;vacc'!N258*'China - TB&amp;vacc'!P82</f>
        <v>1.5958000000000001</v>
      </c>
      <c r="H2" s="276">
        <f>'China - TB&amp;vacc'!N259*'China - TB&amp;vacc'!P82</f>
        <v>2.7976999999999999</v>
      </c>
      <c r="I2" s="276" t="s">
        <v>1109</v>
      </c>
      <c r="J2" s="2" t="s">
        <v>9</v>
      </c>
      <c r="K2" s="275" t="s">
        <v>1110</v>
      </c>
    </row>
    <row r="3" spans="1:13">
      <c r="A3" s="236" t="s">
        <v>26</v>
      </c>
      <c r="B3" s="236" t="s">
        <v>6</v>
      </c>
      <c r="C3" s="236" t="s">
        <v>10</v>
      </c>
      <c r="D3" s="236" t="s">
        <v>11</v>
      </c>
      <c r="E3" s="236" t="s">
        <v>16</v>
      </c>
      <c r="F3" s="276">
        <f>F2</f>
        <v>2.3169399999999998</v>
      </c>
      <c r="G3" s="276">
        <f t="shared" ref="G3:I3" si="0">G2</f>
        <v>1.5958000000000001</v>
      </c>
      <c r="H3" s="276">
        <f t="shared" si="0"/>
        <v>2.7976999999999999</v>
      </c>
      <c r="I3" s="276" t="str">
        <f t="shared" si="0"/>
        <v>Beta</v>
      </c>
      <c r="J3" s="2" t="s">
        <v>9</v>
      </c>
      <c r="K3" s="2" t="s">
        <v>1111</v>
      </c>
    </row>
    <row r="4" spans="1:13">
      <c r="A4" s="236" t="s">
        <v>26</v>
      </c>
      <c r="B4" s="236" t="s">
        <v>6</v>
      </c>
      <c r="C4" s="236" t="s">
        <v>12</v>
      </c>
      <c r="D4" s="236" t="s">
        <v>13</v>
      </c>
      <c r="E4" s="236" t="s">
        <v>14</v>
      </c>
      <c r="F4" s="277">
        <f>12000*PRODUCT('China - TB&amp;vacc'!P73:P82)</f>
        <v>16133.099392878865</v>
      </c>
      <c r="G4" s="276"/>
      <c r="H4" s="276"/>
      <c r="I4" s="276"/>
      <c r="J4" s="2" t="s">
        <v>15</v>
      </c>
      <c r="K4" s="5" t="s">
        <v>854</v>
      </c>
    </row>
    <row r="5" spans="1:13">
      <c r="A5" s="236" t="s">
        <v>26</v>
      </c>
      <c r="B5" s="236" t="s">
        <v>17</v>
      </c>
      <c r="C5" s="236" t="s">
        <v>18</v>
      </c>
      <c r="D5" s="236" t="s">
        <v>19</v>
      </c>
      <c r="E5" s="236" t="s">
        <v>20</v>
      </c>
      <c r="F5" s="277">
        <f>(G5+H5)/2</f>
        <v>27.04895944210331</v>
      </c>
      <c r="G5" s="277">
        <f>'China - TB&amp;vacc'!C3</f>
        <v>21.628725430103298</v>
      </c>
      <c r="H5" s="277">
        <f>'China - TB&amp;vacc'!D3</f>
        <v>32.469193454103319</v>
      </c>
      <c r="I5" s="276" t="s">
        <v>1113</v>
      </c>
      <c r="J5" s="2" t="str">
        <f>J13</f>
        <v>person tested (TB suspects)</v>
      </c>
      <c r="K5" s="2" t="s">
        <v>1112</v>
      </c>
    </row>
    <row r="6" spans="1:13">
      <c r="A6" s="236" t="s">
        <v>26</v>
      </c>
      <c r="B6" s="236" t="s">
        <v>17</v>
      </c>
      <c r="C6" s="236" t="s">
        <v>851</v>
      </c>
      <c r="D6" s="236" t="s">
        <v>171</v>
      </c>
      <c r="E6" s="236" t="s">
        <v>20</v>
      </c>
      <c r="F6" s="236">
        <f>'China - TB&amp;vacc'!C4</f>
        <v>13.2</v>
      </c>
      <c r="G6" s="277">
        <f>F6-2.84*0.5</f>
        <v>11.78</v>
      </c>
      <c r="H6" s="277">
        <f>F6+2.84*0.5</f>
        <v>14.62</v>
      </c>
      <c r="I6" s="276" t="s">
        <v>1113</v>
      </c>
      <c r="J6" s="2" t="str">
        <f>J14</f>
        <v>person tested (TB suspects)</v>
      </c>
      <c r="K6" s="2" t="s">
        <v>1115</v>
      </c>
    </row>
    <row r="7" spans="1:13">
      <c r="A7" s="236" t="s">
        <v>26</v>
      </c>
      <c r="B7" s="236" t="s">
        <v>17</v>
      </c>
      <c r="C7" s="236" t="s">
        <v>21</v>
      </c>
      <c r="D7" s="236" t="s">
        <v>22</v>
      </c>
      <c r="E7" s="236" t="s">
        <v>36</v>
      </c>
      <c r="F7" s="277">
        <f>(G7+H7)/2</f>
        <v>28.410327566969848</v>
      </c>
      <c r="G7" s="277">
        <f>'China - TB&amp;vacc'!C5</f>
        <v>27.13660754315714</v>
      </c>
      <c r="H7" s="277">
        <f>'China - TB&amp;vacc'!D5</f>
        <v>29.684047590782559</v>
      </c>
      <c r="I7" s="276" t="s">
        <v>1113</v>
      </c>
      <c r="J7" s="2" t="s">
        <v>28</v>
      </c>
      <c r="K7" s="2" t="s">
        <v>1118</v>
      </c>
    </row>
    <row r="8" spans="1:13" s="154" customFormat="1">
      <c r="A8" s="236" t="s">
        <v>26</v>
      </c>
      <c r="B8" s="236" t="s">
        <v>17</v>
      </c>
      <c r="C8" s="236" t="s">
        <v>850</v>
      </c>
      <c r="D8" s="236" t="s">
        <v>1129</v>
      </c>
      <c r="E8" s="236" t="s">
        <v>36</v>
      </c>
      <c r="F8" s="276">
        <f>'China - TB&amp;vacc'!E6</f>
        <v>746.84245242718225</v>
      </c>
      <c r="G8" s="277">
        <f>'China - TB&amp;vacc'!C6</f>
        <v>377.29415806966932</v>
      </c>
      <c r="H8" s="277">
        <f>'China - TB&amp;vacc'!D6</f>
        <v>861.72560614332792</v>
      </c>
      <c r="I8" s="276" t="s">
        <v>1109</v>
      </c>
      <c r="J8" s="265" t="s">
        <v>29</v>
      </c>
      <c r="K8" s="265" t="s">
        <v>1127</v>
      </c>
    </row>
    <row r="9" spans="1:13" s="154" customFormat="1">
      <c r="A9" s="236" t="s">
        <v>26</v>
      </c>
      <c r="B9" s="236" t="s">
        <v>17</v>
      </c>
      <c r="C9" s="236" t="s">
        <v>848</v>
      </c>
      <c r="D9" s="236" t="s">
        <v>1128</v>
      </c>
      <c r="E9" s="236" t="s">
        <v>36</v>
      </c>
      <c r="F9" s="276">
        <f>'China - TB&amp;vacc'!E7</f>
        <v>346.28735242718221</v>
      </c>
      <c r="G9" s="277">
        <f>'China - TB&amp;vacc'!C7</f>
        <v>276.77387140300266</v>
      </c>
      <c r="H9" s="277">
        <f>'China - TB&amp;vacc'!D7</f>
        <v>413.8416606887825</v>
      </c>
      <c r="I9" s="276" t="s">
        <v>1109</v>
      </c>
      <c r="J9" s="265" t="s">
        <v>29</v>
      </c>
      <c r="K9" s="265" t="s">
        <v>1126</v>
      </c>
    </row>
    <row r="10" spans="1:13">
      <c r="A10" s="238" t="s">
        <v>27</v>
      </c>
      <c r="B10" s="7" t="s">
        <v>6</v>
      </c>
      <c r="C10" s="7" t="s">
        <v>7</v>
      </c>
      <c r="D10" s="8" t="s">
        <v>8</v>
      </c>
      <c r="E10" s="8" t="s">
        <v>16</v>
      </c>
      <c r="F10" s="8"/>
      <c r="G10" s="4">
        <f>'India - vacc'!Q8</f>
        <v>1.8778000000000001</v>
      </c>
      <c r="H10" s="4"/>
      <c r="I10" s="4"/>
      <c r="J10" s="7" t="s">
        <v>9</v>
      </c>
      <c r="K10" s="7" t="s">
        <v>1080</v>
      </c>
    </row>
    <row r="11" spans="1:13">
      <c r="A11" s="238" t="s">
        <v>27</v>
      </c>
      <c r="B11" s="7" t="s">
        <v>6</v>
      </c>
      <c r="C11" s="7" t="s">
        <v>30</v>
      </c>
      <c r="D11" s="8" t="s">
        <v>11</v>
      </c>
      <c r="E11" s="8" t="s">
        <v>16</v>
      </c>
      <c r="F11" s="8"/>
      <c r="G11" s="4">
        <f>'India - vacc'!Q8+'India - vacc'!B53</f>
        <v>1.9524268656716419</v>
      </c>
      <c r="H11" s="4"/>
      <c r="I11" s="4"/>
      <c r="J11" s="7" t="s">
        <v>9</v>
      </c>
      <c r="K11" s="7" t="s">
        <v>527</v>
      </c>
    </row>
    <row r="12" spans="1:13">
      <c r="A12" s="238" t="s">
        <v>27</v>
      </c>
      <c r="B12" s="7" t="s">
        <v>6</v>
      </c>
      <c r="C12" s="7" t="s">
        <v>31</v>
      </c>
      <c r="D12" s="8" t="s">
        <v>13</v>
      </c>
      <c r="E12" s="8" t="s">
        <v>32</v>
      </c>
      <c r="F12" s="8"/>
      <c r="G12" s="155">
        <f>'India - vacc'!D56/2</f>
        <v>25374949.388457712</v>
      </c>
      <c r="H12" s="4"/>
      <c r="I12" s="4"/>
      <c r="J12" s="7" t="s">
        <v>33</v>
      </c>
      <c r="K12" s="7" t="s">
        <v>35</v>
      </c>
    </row>
    <row r="13" spans="1:13">
      <c r="A13" s="238" t="s">
        <v>27</v>
      </c>
      <c r="B13" s="7" t="s">
        <v>17</v>
      </c>
      <c r="C13" s="7" t="s">
        <v>34</v>
      </c>
      <c r="D13" s="8" t="s">
        <v>19</v>
      </c>
      <c r="E13" s="8" t="s">
        <v>20</v>
      </c>
      <c r="F13" s="8"/>
      <c r="G13" s="6">
        <f>'India - TB'!C9</f>
        <v>11.859533452152093</v>
      </c>
      <c r="H13" s="6">
        <f>'India - TB'!D9</f>
        <v>17.789300178228135</v>
      </c>
      <c r="I13" s="6"/>
      <c r="J13" s="7" t="s">
        <v>175</v>
      </c>
      <c r="K13" s="7" t="s">
        <v>164</v>
      </c>
    </row>
    <row r="14" spans="1:13" s="154" customFormat="1">
      <c r="A14" s="238" t="s">
        <v>27</v>
      </c>
      <c r="B14" s="151" t="s">
        <v>17</v>
      </c>
      <c r="C14" s="151" t="s">
        <v>538</v>
      </c>
      <c r="D14" s="152" t="s">
        <v>171</v>
      </c>
      <c r="E14" s="152" t="s">
        <v>20</v>
      </c>
      <c r="F14" s="152"/>
      <c r="G14" s="153">
        <f>'India - TB'!C8-G13</f>
        <v>4.7969772907643993</v>
      </c>
      <c r="H14" s="153">
        <f>'India - TB'!D8-H13</f>
        <v>7.1954659361465971</v>
      </c>
      <c r="I14" s="153"/>
      <c r="J14" s="151" t="s">
        <v>175</v>
      </c>
      <c r="K14" s="151" t="s">
        <v>172</v>
      </c>
    </row>
    <row r="15" spans="1:13">
      <c r="A15" s="238" t="s">
        <v>27</v>
      </c>
      <c r="B15" s="7" t="s">
        <v>17</v>
      </c>
      <c r="C15" s="7" t="s">
        <v>21</v>
      </c>
      <c r="D15" s="8" t="s">
        <v>22</v>
      </c>
      <c r="E15" s="8" t="s">
        <v>36</v>
      </c>
      <c r="F15" s="8"/>
      <c r="G15" s="6">
        <f>'India - TB'!C4</f>
        <v>21.149037000966807</v>
      </c>
      <c r="H15" s="6">
        <f>'India - TB'!D4</f>
        <v>31.710831622368669</v>
      </c>
      <c r="I15" s="6"/>
      <c r="J15" s="7" t="s">
        <v>28</v>
      </c>
      <c r="K15" s="7" t="s">
        <v>141</v>
      </c>
    </row>
    <row r="16" spans="1:13">
      <c r="A16" s="238" t="s">
        <v>27</v>
      </c>
      <c r="B16" s="7" t="s">
        <v>17</v>
      </c>
      <c r="C16" s="7" t="s">
        <v>539</v>
      </c>
      <c r="D16" s="8" t="s">
        <v>529</v>
      </c>
      <c r="E16" s="8" t="s">
        <v>36</v>
      </c>
      <c r="F16" s="8"/>
      <c r="G16" s="6">
        <f>'India - TB'!C7</f>
        <v>187.87888125748719</v>
      </c>
      <c r="H16" s="6">
        <f>'India - TB'!D7</f>
        <v>244.49624781215675</v>
      </c>
      <c r="I16" s="6"/>
      <c r="J16" s="7" t="s">
        <v>29</v>
      </c>
      <c r="K16" s="7" t="s">
        <v>141</v>
      </c>
    </row>
    <row r="17" spans="1:11">
      <c r="A17" s="238" t="s">
        <v>27</v>
      </c>
      <c r="B17" s="7" t="s">
        <v>17</v>
      </c>
      <c r="C17" s="7" t="s">
        <v>531</v>
      </c>
      <c r="D17" s="8" t="s">
        <v>534</v>
      </c>
      <c r="E17" s="8" t="s">
        <v>36</v>
      </c>
      <c r="F17" s="8"/>
      <c r="G17" s="6">
        <f>500/'India - TB'!O12</f>
        <v>7.4626865671641793</v>
      </c>
      <c r="H17" s="6"/>
      <c r="I17" s="6"/>
      <c r="J17" s="7" t="s">
        <v>532</v>
      </c>
      <c r="K17" s="7" t="s">
        <v>533</v>
      </c>
    </row>
    <row r="18" spans="1:11" s="65" customFormat="1">
      <c r="A18" s="238" t="s">
        <v>27</v>
      </c>
      <c r="B18" s="148" t="s">
        <v>17</v>
      </c>
      <c r="C18" s="148" t="s">
        <v>535</v>
      </c>
      <c r="D18" s="149"/>
      <c r="E18" s="149"/>
      <c r="F18" s="149"/>
      <c r="G18" s="150">
        <f>250/'India - TB'!O12</f>
        <v>3.7313432835820897</v>
      </c>
      <c r="H18" s="150"/>
      <c r="I18" s="150"/>
      <c r="J18" s="148" t="s">
        <v>853</v>
      </c>
      <c r="K18" s="148" t="s">
        <v>536</v>
      </c>
    </row>
    <row r="19" spans="1:11">
      <c r="A19" s="239" t="s">
        <v>37</v>
      </c>
      <c r="B19" s="2" t="s">
        <v>6</v>
      </c>
      <c r="C19" s="2" t="s">
        <v>7</v>
      </c>
      <c r="D19" s="3" t="s">
        <v>8</v>
      </c>
      <c r="E19" s="8" t="s">
        <v>16</v>
      </c>
      <c r="F19" s="8"/>
      <c r="G19" s="6">
        <f>'Russia - TB&amp;Vacc'!C68</f>
        <v>1.247743817937804</v>
      </c>
      <c r="H19" s="6"/>
      <c r="I19" s="6"/>
      <c r="J19" s="2" t="s">
        <v>9</v>
      </c>
      <c r="K19" s="268" t="s">
        <v>1081</v>
      </c>
    </row>
    <row r="20" spans="1:11">
      <c r="A20" s="239" t="s">
        <v>37</v>
      </c>
      <c r="B20" s="2" t="s">
        <v>6</v>
      </c>
      <c r="C20" s="2" t="s">
        <v>10</v>
      </c>
      <c r="D20" s="3" t="s">
        <v>11</v>
      </c>
      <c r="E20" s="8" t="s">
        <v>16</v>
      </c>
      <c r="F20" s="8"/>
      <c r="G20" s="6">
        <f>G19</f>
        <v>1.247743817937804</v>
      </c>
      <c r="H20" s="6"/>
      <c r="I20" s="6"/>
      <c r="J20" s="2" t="s">
        <v>9</v>
      </c>
      <c r="K20" s="7" t="s">
        <v>38</v>
      </c>
    </row>
    <row r="21" spans="1:11">
      <c r="A21" s="239" t="s">
        <v>37</v>
      </c>
      <c r="B21" s="2" t="s">
        <v>6</v>
      </c>
      <c r="C21" s="2" t="s">
        <v>12</v>
      </c>
      <c r="D21" s="3" t="s">
        <v>13</v>
      </c>
      <c r="E21" s="8" t="s">
        <v>14</v>
      </c>
      <c r="F21" s="8"/>
      <c r="G21" s="9">
        <f>'Russia - TB&amp;Vacc'!C75</f>
        <v>0</v>
      </c>
      <c r="H21" s="9"/>
      <c r="I21" s="9"/>
      <c r="J21" s="2" t="s">
        <v>15</v>
      </c>
      <c r="K21" s="7" t="s">
        <v>39</v>
      </c>
    </row>
    <row r="22" spans="1:11">
      <c r="A22" s="239" t="s">
        <v>37</v>
      </c>
      <c r="B22" s="2" t="s">
        <v>17</v>
      </c>
      <c r="C22" s="2" t="s">
        <v>18</v>
      </c>
      <c r="D22" s="3" t="s">
        <v>19</v>
      </c>
      <c r="E22" s="8" t="s">
        <v>20</v>
      </c>
      <c r="F22" s="8"/>
      <c r="G22" s="6">
        <f>'Russia - TB&amp;Vacc'!E47</f>
        <v>9.966894554869091</v>
      </c>
      <c r="H22" s="6">
        <f>'Russia - TB&amp;Vacc'!D47</f>
        <v>18.339794423042104</v>
      </c>
      <c r="I22" s="6"/>
      <c r="J22" s="2" t="s">
        <v>175</v>
      </c>
      <c r="K22" s="7" t="s">
        <v>1059</v>
      </c>
    </row>
    <row r="23" spans="1:11">
      <c r="A23" s="239" t="s">
        <v>37</v>
      </c>
      <c r="B23" s="2" t="s">
        <v>17</v>
      </c>
      <c r="C23" s="2" t="s">
        <v>851</v>
      </c>
      <c r="D23" s="3" t="s">
        <v>171</v>
      </c>
      <c r="E23" s="3" t="s">
        <v>20</v>
      </c>
      <c r="F23" s="3"/>
      <c r="G23" s="6">
        <f>'Russia - TB&amp;Vacc'!E49</f>
        <v>32.452086395959704</v>
      </c>
      <c r="H23" s="6">
        <f>'Russia - TB&amp;Vacc'!F49</f>
        <v>54.068841619846488</v>
      </c>
      <c r="I23" s="6"/>
      <c r="J23" s="2" t="s">
        <v>175</v>
      </c>
      <c r="K23" s="7" t="s">
        <v>1009</v>
      </c>
    </row>
    <row r="24" spans="1:11">
      <c r="A24" s="239" t="s">
        <v>37</v>
      </c>
      <c r="B24" s="2" t="s">
        <v>17</v>
      </c>
      <c r="C24" s="2" t="s">
        <v>21</v>
      </c>
      <c r="D24" s="3" t="s">
        <v>22</v>
      </c>
      <c r="E24" s="8" t="s">
        <v>36</v>
      </c>
      <c r="F24" s="8"/>
      <c r="G24" s="6">
        <f>'Russia - TB&amp;Vacc'!E50</f>
        <v>369.56367582330472</v>
      </c>
      <c r="H24" s="6">
        <f>'Russia - TB&amp;Vacc'!F50</f>
        <v>554.34551373495708</v>
      </c>
      <c r="I24" s="6"/>
      <c r="J24" s="2" t="s">
        <v>28</v>
      </c>
      <c r="K24" s="7" t="s">
        <v>1060</v>
      </c>
    </row>
    <row r="25" spans="1:11">
      <c r="A25" s="239" t="s">
        <v>37</v>
      </c>
      <c r="B25" s="2" t="s">
        <v>17</v>
      </c>
      <c r="C25" s="2" t="s">
        <v>23</v>
      </c>
      <c r="D25" s="3" t="s">
        <v>24</v>
      </c>
      <c r="E25" s="8" t="s">
        <v>36</v>
      </c>
      <c r="F25" s="8"/>
      <c r="G25" s="6">
        <f>'Russia - TB&amp;Vacc'!E51</f>
        <v>482.10984266208811</v>
      </c>
      <c r="H25" s="6">
        <f>'Russia - TB&amp;Vacc'!F51</f>
        <v>723.16476399313206</v>
      </c>
      <c r="I25" s="6"/>
      <c r="J25" s="2" t="s">
        <v>29</v>
      </c>
      <c r="K25" s="7" t="s">
        <v>1061</v>
      </c>
    </row>
  </sheetData>
  <autoFilter ref="A1:K25" xr:uid="{9A50BE2C-009B-4059-92C3-561F7D547DAC}"/>
  <hyperlinks>
    <hyperlink ref="K4" r:id="rId1" display="https://aasldpubs.onlinelibrary.wiley.com/doi/epdf/10.1002/hep.23310" xr:uid="{FCECCCAB-3F8C-4994-A485-317127AA3241}"/>
    <hyperlink ref="K19" r:id="rId2" xr:uid="{45CEB23B-8EAA-43C3-A940-FB771006F54D}"/>
    <hyperlink ref="M1" r:id="rId3" location="bib15" display="https://www.sciencedirect.com/science/article/pii/S1098301512016592 - bib15" xr:uid="{21E8AD93-CB8A-43A8-8A97-0C28674B25D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8871C-BFCC-4653-A9D6-C8D7EBFB2306}">
  <dimension ref="A1:E7"/>
  <sheetViews>
    <sheetView showGridLines="0" workbookViewId="0">
      <selection activeCell="C4" sqref="C4"/>
    </sheetView>
  </sheetViews>
  <sheetFormatPr defaultRowHeight="14.4"/>
  <cols>
    <col min="1" max="2" width="17.44140625" customWidth="1"/>
    <col min="3" max="3" width="20.77734375" customWidth="1"/>
    <col min="4" max="4" width="70.5546875" customWidth="1"/>
  </cols>
  <sheetData>
    <row r="1" spans="1:5" ht="17.399999999999999" customHeight="1">
      <c r="A1" s="1" t="s">
        <v>25</v>
      </c>
      <c r="B1" s="1" t="s">
        <v>43</v>
      </c>
      <c r="C1" s="1" t="s">
        <v>42</v>
      </c>
      <c r="D1" s="1" t="s">
        <v>5</v>
      </c>
    </row>
    <row r="2" spans="1:5">
      <c r="A2" s="2" t="s">
        <v>26</v>
      </c>
      <c r="B2" s="2" t="s">
        <v>44</v>
      </c>
      <c r="C2" s="10">
        <v>609000000</v>
      </c>
      <c r="D2" s="2" t="s">
        <v>41</v>
      </c>
    </row>
    <row r="3" spans="1:5">
      <c r="A3" s="2" t="s">
        <v>26</v>
      </c>
      <c r="B3" s="2" t="s">
        <v>45</v>
      </c>
      <c r="C3" s="10">
        <v>547058339.30990553</v>
      </c>
      <c r="D3" s="2"/>
    </row>
    <row r="4" spans="1:5">
      <c r="A4" s="2" t="s">
        <v>27</v>
      </c>
      <c r="B4" s="2" t="s">
        <v>44</v>
      </c>
      <c r="C4" s="10">
        <v>580000000</v>
      </c>
      <c r="D4" s="2" t="s">
        <v>530</v>
      </c>
      <c r="E4" t="s">
        <v>40</v>
      </c>
    </row>
    <row r="5" spans="1:5">
      <c r="A5" s="2" t="s">
        <v>27</v>
      </c>
      <c r="B5" s="2" t="s">
        <v>45</v>
      </c>
      <c r="C5" s="10">
        <v>186669336.33394662</v>
      </c>
      <c r="D5" s="2"/>
      <c r="E5" t="s">
        <v>47</v>
      </c>
    </row>
    <row r="6" spans="1:5">
      <c r="A6" s="2" t="s">
        <v>37</v>
      </c>
      <c r="B6" s="2" t="s">
        <v>44</v>
      </c>
      <c r="C6" s="10">
        <v>140000000</v>
      </c>
      <c r="D6" s="2"/>
    </row>
    <row r="7" spans="1:5">
      <c r="A7" s="2" t="s">
        <v>37</v>
      </c>
      <c r="B7" s="2" t="s">
        <v>45</v>
      </c>
      <c r="C7" s="10">
        <v>222855257.81892863</v>
      </c>
      <c r="D7" s="2" t="s">
        <v>46</v>
      </c>
    </row>
  </sheetData>
  <autoFilter ref="A1:E7" xr:uid="{414E512E-3136-4481-816F-B5B9D46E5D2B}"/>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DACC1-008C-413B-A38C-B4E74DB88EF2}">
  <dimension ref="A2:EF126"/>
  <sheetViews>
    <sheetView topLeftCell="A106" workbookViewId="0">
      <selection activeCell="A119" sqref="A119"/>
    </sheetView>
  </sheetViews>
  <sheetFormatPr defaultRowHeight="14.4"/>
  <cols>
    <col min="1" max="1" width="23.77734375" customWidth="1"/>
    <col min="2" max="2" width="34.21875" customWidth="1"/>
    <col min="3" max="3" width="15.33203125" customWidth="1"/>
    <col min="4" max="4" width="11.109375" customWidth="1"/>
    <col min="5" max="5" width="14.44140625" customWidth="1"/>
    <col min="6" max="6" width="11.21875" customWidth="1"/>
    <col min="9" max="9" width="9.109375" bestFit="1" customWidth="1"/>
    <col min="10" max="10" width="12.21875" customWidth="1"/>
    <col min="13" max="13" width="9.109375" bestFit="1" customWidth="1"/>
  </cols>
  <sheetData>
    <row r="2" spans="1:23">
      <c r="A2" t="s">
        <v>105</v>
      </c>
      <c r="B2" t="s">
        <v>75</v>
      </c>
      <c r="C2" s="29" t="s">
        <v>68</v>
      </c>
      <c r="D2" s="29" t="s">
        <v>69</v>
      </c>
      <c r="E2" t="s">
        <v>77</v>
      </c>
    </row>
    <row r="3" spans="1:23">
      <c r="A3" s="19" t="s">
        <v>58</v>
      </c>
      <c r="B3" t="s">
        <v>67</v>
      </c>
      <c r="C3" s="30">
        <f>I16/6</f>
        <v>5.3033333333333337</v>
      </c>
      <c r="D3" s="30">
        <f>I27/6</f>
        <v>7.9422761209184598</v>
      </c>
      <c r="E3" t="s">
        <v>76</v>
      </c>
    </row>
    <row r="4" spans="1:23">
      <c r="A4" s="19" t="s">
        <v>58</v>
      </c>
      <c r="B4" t="s">
        <v>140</v>
      </c>
      <c r="C4" s="30">
        <f>C3+L66/6</f>
        <v>21.149037000966807</v>
      </c>
      <c r="D4" s="30">
        <f>D3+L67/6</f>
        <v>31.710831622368669</v>
      </c>
    </row>
    <row r="5" spans="1:23" s="65" customFormat="1">
      <c r="A5" s="24" t="str">
        <f>A31</f>
        <v xml:space="preserve">short course MDR-TB </v>
      </c>
      <c r="B5" s="65" t="s">
        <v>67</v>
      </c>
      <c r="C5" s="66">
        <f>I17/6</f>
        <v>0</v>
      </c>
      <c r="D5" s="66">
        <f>I47</f>
        <v>104.28287222222224</v>
      </c>
      <c r="E5" s="65" t="s">
        <v>179</v>
      </c>
    </row>
    <row r="6" spans="1:23">
      <c r="A6" s="19" t="str">
        <f>A48</f>
        <v xml:space="preserve">WHO MDR revised regimen (18months): Bdq Lzd Lfx (Mfx) Cs Cfz </v>
      </c>
      <c r="B6" t="s">
        <v>67</v>
      </c>
      <c r="C6" s="30">
        <f>I18/6</f>
        <v>0</v>
      </c>
      <c r="D6" s="30">
        <f>I56</f>
        <v>74.644148148148147</v>
      </c>
      <c r="E6" t="s">
        <v>104</v>
      </c>
    </row>
    <row r="7" spans="1:23">
      <c r="A7" s="19" t="str">
        <f>A6</f>
        <v xml:space="preserve">WHO MDR revised regimen (18months): Bdq Lzd Lfx (Mfx) Cs Cfz </v>
      </c>
      <c r="B7" t="str">
        <f>B4</f>
        <v>all costs (per patient month)</v>
      </c>
      <c r="C7" s="30">
        <f>D6+N89/18</f>
        <v>187.87888125748719</v>
      </c>
      <c r="D7" s="30">
        <f>D6+N90/18</f>
        <v>244.49624781215675</v>
      </c>
    </row>
    <row r="8" spans="1:23">
      <c r="A8" s="19" t="str">
        <f>A114</f>
        <v>Diagnosis in public sector (GXP)</v>
      </c>
      <c r="B8" t="s">
        <v>178</v>
      </c>
      <c r="C8" s="30">
        <f>D117*0.8</f>
        <v>16.656510742916492</v>
      </c>
      <c r="D8" s="30">
        <f>D117*1.2</f>
        <v>24.984766114374732</v>
      </c>
      <c r="E8" t="str">
        <f>B114</f>
        <v>One xray, one GXP, 2 visits</v>
      </c>
    </row>
    <row r="9" spans="1:23">
      <c r="A9" s="19" t="str">
        <f>A106</f>
        <v>Diagnosis in public sector (no GXP)</v>
      </c>
      <c r="B9" t="s">
        <v>178</v>
      </c>
      <c r="C9" s="30">
        <f>D109*0.8</f>
        <v>11.859533452152093</v>
      </c>
      <c r="D9" s="30">
        <f>D109*1.2</f>
        <v>17.789300178228135</v>
      </c>
      <c r="E9" t="str">
        <f>B106</f>
        <v>One microscopy, one x-ray, 4 visits</v>
      </c>
    </row>
    <row r="11" spans="1:23" s="37" customFormat="1">
      <c r="A11" s="37" t="s">
        <v>48</v>
      </c>
    </row>
    <row r="12" spans="1:23" ht="41.4">
      <c r="A12" s="11"/>
      <c r="B12" s="12"/>
      <c r="C12" s="13" t="s">
        <v>49</v>
      </c>
      <c r="D12" s="13" t="s">
        <v>50</v>
      </c>
      <c r="E12" s="13" t="s">
        <v>51</v>
      </c>
      <c r="F12" s="13" t="s">
        <v>52</v>
      </c>
      <c r="G12" s="13" t="s">
        <v>53</v>
      </c>
      <c r="H12" s="14" t="s">
        <v>54</v>
      </c>
      <c r="I12" s="14" t="s">
        <v>55</v>
      </c>
      <c r="J12" s="14" t="s">
        <v>56</v>
      </c>
      <c r="K12" s="15" t="s">
        <v>57</v>
      </c>
      <c r="N12" t="s">
        <v>64</v>
      </c>
      <c r="O12">
        <v>67</v>
      </c>
      <c r="R12" t="s">
        <v>72</v>
      </c>
    </row>
    <row r="13" spans="1:23">
      <c r="A13" s="16"/>
      <c r="B13" s="16"/>
      <c r="C13" s="17"/>
      <c r="D13" s="17"/>
      <c r="E13" s="17"/>
      <c r="F13" s="17"/>
      <c r="G13" s="17"/>
      <c r="H13" s="18"/>
      <c r="I13" s="18"/>
      <c r="J13" s="18"/>
      <c r="K13" s="17"/>
      <c r="R13" t="s">
        <v>73</v>
      </c>
      <c r="S13">
        <v>2013</v>
      </c>
      <c r="T13">
        <v>104.6</v>
      </c>
      <c r="V13">
        <v>2013</v>
      </c>
      <c r="W13">
        <f>AVERAGE(T13:T24)</f>
        <v>110.03333333333332</v>
      </c>
    </row>
    <row r="14" spans="1:23">
      <c r="A14" s="19" t="s">
        <v>58</v>
      </c>
      <c r="B14" s="20" t="s">
        <v>59</v>
      </c>
      <c r="C14" s="20">
        <v>3</v>
      </c>
      <c r="D14" s="20">
        <v>2</v>
      </c>
      <c r="E14" s="21">
        <f>C14*D14*7*4</f>
        <v>168</v>
      </c>
      <c r="F14" s="20">
        <f>3*7*8</f>
        <v>168</v>
      </c>
      <c r="G14" s="20">
        <v>20.25</v>
      </c>
      <c r="H14" s="22">
        <f>G14/F14</f>
        <v>0.12053571428571429</v>
      </c>
      <c r="I14" s="22">
        <f>E14*H14</f>
        <v>20.25</v>
      </c>
      <c r="J14" s="22">
        <f>I14*$O$12</f>
        <v>1356.75</v>
      </c>
      <c r="K14" s="17" t="s">
        <v>60</v>
      </c>
      <c r="R14" t="s">
        <v>73</v>
      </c>
      <c r="S14">
        <v>2013</v>
      </c>
      <c r="T14">
        <v>105.3</v>
      </c>
      <c r="V14">
        <v>2014</v>
      </c>
      <c r="W14">
        <f>AVERAGE(T25:T36)</f>
        <v>117.34999999999998</v>
      </c>
    </row>
    <row r="15" spans="1:23">
      <c r="A15" s="17" t="s">
        <v>61</v>
      </c>
      <c r="B15" s="20" t="s">
        <v>62</v>
      </c>
      <c r="C15" s="20">
        <v>3</v>
      </c>
      <c r="D15" s="20">
        <v>4</v>
      </c>
      <c r="E15" s="21">
        <f>C15*D15*7*4</f>
        <v>336</v>
      </c>
      <c r="F15" s="20">
        <f>3*7*16</f>
        <v>336</v>
      </c>
      <c r="G15" s="20">
        <v>11.57</v>
      </c>
      <c r="H15" s="22">
        <f>G15/F15</f>
        <v>3.4434523809523811E-2</v>
      </c>
      <c r="I15" s="22">
        <f>E15*H15</f>
        <v>11.57</v>
      </c>
      <c r="J15" s="22">
        <f>I15*$O$12</f>
        <v>775.19</v>
      </c>
      <c r="K15" s="23"/>
      <c r="R15" t="s">
        <v>73</v>
      </c>
      <c r="S15">
        <v>2013</v>
      </c>
      <c r="T15">
        <v>105.5</v>
      </c>
      <c r="V15">
        <v>2015</v>
      </c>
      <c r="W15">
        <f>AVERAGE(T37:T48)</f>
        <v>123.10833333333331</v>
      </c>
    </row>
    <row r="16" spans="1:23">
      <c r="A16" s="17"/>
      <c r="B16" s="24" t="s">
        <v>63</v>
      </c>
      <c r="H16" s="25"/>
      <c r="I16" s="28">
        <f>SUM(I14:I15)</f>
        <v>31.82</v>
      </c>
      <c r="J16" s="22">
        <f>I16*$O$12</f>
        <v>2131.94</v>
      </c>
      <c r="K16" s="17"/>
      <c r="R16" t="s">
        <v>73</v>
      </c>
      <c r="S16">
        <v>2013</v>
      </c>
      <c r="T16">
        <v>106.1</v>
      </c>
      <c r="V16">
        <v>2016</v>
      </c>
      <c r="W16">
        <f>AVERAGE(T49:T60)</f>
        <v>129.04545454545456</v>
      </c>
    </row>
    <row r="17" spans="1:23">
      <c r="R17" t="s">
        <v>73</v>
      </c>
      <c r="S17">
        <v>2013</v>
      </c>
      <c r="T17">
        <v>106.9</v>
      </c>
      <c r="V17">
        <v>2017</v>
      </c>
      <c r="W17">
        <f>AVERAGE(T61:T72)</f>
        <v>133.5</v>
      </c>
    </row>
    <row r="18" spans="1:23">
      <c r="B18" t="s">
        <v>66</v>
      </c>
      <c r="H18" t="s">
        <v>70</v>
      </c>
      <c r="K18" s="35" t="s">
        <v>65</v>
      </c>
      <c r="R18" t="s">
        <v>73</v>
      </c>
      <c r="S18">
        <v>2013</v>
      </c>
      <c r="T18">
        <v>109.3</v>
      </c>
    </row>
    <row r="19" spans="1:23">
      <c r="A19" s="19" t="s">
        <v>58</v>
      </c>
      <c r="B19" s="20" t="s">
        <v>81</v>
      </c>
      <c r="C19" s="20">
        <f>$C$14</f>
        <v>3</v>
      </c>
      <c r="D19" s="20">
        <f>$D$14</f>
        <v>2</v>
      </c>
      <c r="E19" s="21">
        <f>C19*D19*7*4</f>
        <v>168</v>
      </c>
      <c r="H19" s="22">
        <v>1.9832000000000001</v>
      </c>
      <c r="J19" s="22">
        <f>H19*E19</f>
        <v>333.17759999999998</v>
      </c>
      <c r="R19" t="s">
        <v>73</v>
      </c>
      <c r="S19">
        <v>2013</v>
      </c>
      <c r="T19">
        <v>111</v>
      </c>
    </row>
    <row r="20" spans="1:23">
      <c r="A20" s="17" t="s">
        <v>61</v>
      </c>
      <c r="B20" s="20" t="s">
        <v>79</v>
      </c>
      <c r="C20" s="20">
        <f>$C$14</f>
        <v>3</v>
      </c>
      <c r="D20" s="20">
        <f>$D$14</f>
        <v>2</v>
      </c>
      <c r="E20" s="21">
        <f>C20*D20*7*4</f>
        <v>168</v>
      </c>
      <c r="H20" s="22">
        <v>0.7</v>
      </c>
      <c r="J20" s="22">
        <f>H20*E20</f>
        <v>117.6</v>
      </c>
      <c r="R20" t="s">
        <v>73</v>
      </c>
      <c r="S20">
        <v>2013</v>
      </c>
      <c r="T20">
        <v>112.4</v>
      </c>
    </row>
    <row r="21" spans="1:23">
      <c r="B21" s="20" t="s">
        <v>80</v>
      </c>
      <c r="C21" s="20">
        <f>$C$14</f>
        <v>3</v>
      </c>
      <c r="D21" s="20">
        <f>$D$14</f>
        <v>2</v>
      </c>
      <c r="E21" s="21">
        <f>C21*D21*7*4</f>
        <v>168</v>
      </c>
      <c r="H21" s="22">
        <v>0.9052</v>
      </c>
      <c r="J21" s="22">
        <f>H21*E21</f>
        <v>152.0736</v>
      </c>
      <c r="R21" t="s">
        <v>73</v>
      </c>
      <c r="S21">
        <v>2013</v>
      </c>
      <c r="T21">
        <v>113.7</v>
      </c>
    </row>
    <row r="22" spans="1:23">
      <c r="B22" s="20" t="s">
        <v>78</v>
      </c>
      <c r="C22" s="20">
        <f>$C$14</f>
        <v>3</v>
      </c>
      <c r="D22" s="20">
        <f>$D$14</f>
        <v>2</v>
      </c>
      <c r="E22" s="21">
        <f>C22*D22*7*4</f>
        <v>168</v>
      </c>
      <c r="H22" s="22">
        <v>4.1790000000000003</v>
      </c>
      <c r="J22" s="22">
        <f>H22*E22</f>
        <v>702.072</v>
      </c>
      <c r="R22" t="s">
        <v>73</v>
      </c>
      <c r="S22">
        <v>2013</v>
      </c>
      <c r="T22">
        <v>114.8</v>
      </c>
    </row>
    <row r="23" spans="1:23">
      <c r="R23" t="s">
        <v>73</v>
      </c>
      <c r="S23">
        <v>2013</v>
      </c>
      <c r="T23">
        <v>116.3</v>
      </c>
    </row>
    <row r="24" spans="1:23">
      <c r="B24" s="20" t="s">
        <v>79</v>
      </c>
      <c r="C24" s="20">
        <f>$C$15</f>
        <v>3</v>
      </c>
      <c r="D24" s="20">
        <f>$D$15</f>
        <v>4</v>
      </c>
      <c r="E24" s="21">
        <f>C24*D24*7*4</f>
        <v>336</v>
      </c>
      <c r="H24" s="22">
        <v>0.7</v>
      </c>
      <c r="J24" s="22">
        <f>H24*E24</f>
        <v>235.2</v>
      </c>
      <c r="R24" t="s">
        <v>73</v>
      </c>
      <c r="S24">
        <v>2013</v>
      </c>
      <c r="T24">
        <v>114.5</v>
      </c>
    </row>
    <row r="25" spans="1:23">
      <c r="B25" s="20" t="s">
        <v>78</v>
      </c>
      <c r="C25" s="20">
        <f>$C$15</f>
        <v>3</v>
      </c>
      <c r="D25" s="20">
        <f>$D$15</f>
        <v>4</v>
      </c>
      <c r="E25" s="21">
        <f>C25*D25*7*4</f>
        <v>336</v>
      </c>
      <c r="H25" s="22">
        <v>4.1790000000000003</v>
      </c>
      <c r="J25" s="22">
        <f>H25*E25</f>
        <v>1404.144</v>
      </c>
      <c r="R25" t="s">
        <v>73</v>
      </c>
      <c r="S25">
        <v>2014</v>
      </c>
      <c r="T25">
        <v>113.6</v>
      </c>
    </row>
    <row r="26" spans="1:23">
      <c r="J26" s="22">
        <f>SUM(J19:J25)</f>
        <v>2944.2672000000002</v>
      </c>
      <c r="K26" t="s">
        <v>71</v>
      </c>
      <c r="R26" t="s">
        <v>73</v>
      </c>
      <c r="S26">
        <v>2014</v>
      </c>
      <c r="T26">
        <v>113.6</v>
      </c>
    </row>
    <row r="27" spans="1:23">
      <c r="I27" s="28">
        <f>J27/O12</f>
        <v>47.653656725510757</v>
      </c>
      <c r="J27" s="26">
        <f>W17*J26/W15</f>
        <v>3192.7950006092206</v>
      </c>
      <c r="K27" t="s">
        <v>74</v>
      </c>
      <c r="R27" t="s">
        <v>73</v>
      </c>
      <c r="S27">
        <v>2014</v>
      </c>
      <c r="T27">
        <v>114.2</v>
      </c>
    </row>
    <row r="28" spans="1:23">
      <c r="R28" t="s">
        <v>73</v>
      </c>
      <c r="S28">
        <v>2014</v>
      </c>
      <c r="T28">
        <v>115.1</v>
      </c>
    </row>
    <row r="29" spans="1:23">
      <c r="R29" t="s">
        <v>73</v>
      </c>
      <c r="S29">
        <v>2014</v>
      </c>
      <c r="T29">
        <v>115.8</v>
      </c>
    </row>
    <row r="30" spans="1:23" ht="41.4">
      <c r="B30" s="12"/>
      <c r="C30" s="13" t="s">
        <v>49</v>
      </c>
      <c r="D30" s="13" t="s">
        <v>50</v>
      </c>
      <c r="E30" s="13" t="s">
        <v>51</v>
      </c>
      <c r="F30" s="13" t="s">
        <v>52</v>
      </c>
      <c r="G30" s="13" t="s">
        <v>53</v>
      </c>
      <c r="H30" s="14" t="s">
        <v>54</v>
      </c>
      <c r="I30" s="14" t="s">
        <v>55</v>
      </c>
      <c r="J30" s="14" t="s">
        <v>56</v>
      </c>
      <c r="K30" s="15" t="s">
        <v>57</v>
      </c>
      <c r="R30" t="s">
        <v>73</v>
      </c>
      <c r="S30">
        <v>2014</v>
      </c>
      <c r="T30">
        <v>116.7</v>
      </c>
    </row>
    <row r="31" spans="1:23">
      <c r="A31" s="19" t="s">
        <v>82</v>
      </c>
      <c r="B31" s="31" t="s">
        <v>83</v>
      </c>
      <c r="C31" s="17"/>
      <c r="D31" s="17"/>
      <c r="E31" s="17"/>
      <c r="F31" s="17"/>
      <c r="G31" s="17"/>
      <c r="H31" s="18"/>
      <c r="I31" s="18"/>
      <c r="J31" s="18"/>
      <c r="K31" s="17" t="s">
        <v>60</v>
      </c>
      <c r="R31" t="s">
        <v>73</v>
      </c>
      <c r="S31">
        <v>2014</v>
      </c>
      <c r="T31">
        <v>119.2</v>
      </c>
    </row>
    <row r="32" spans="1:23">
      <c r="A32" s="17" t="s">
        <v>84</v>
      </c>
      <c r="B32" s="20" t="s">
        <v>85</v>
      </c>
      <c r="C32" s="20">
        <v>1</v>
      </c>
      <c r="D32" s="20">
        <v>4</v>
      </c>
      <c r="E32" s="21">
        <f t="shared" ref="E32:E38" si="0">C32*D32*7*4</f>
        <v>112</v>
      </c>
      <c r="F32" s="20">
        <v>10</v>
      </c>
      <c r="G32" s="20">
        <v>23.6</v>
      </c>
      <c r="H32" s="22">
        <f>G32/F32</f>
        <v>2.3600000000000003</v>
      </c>
      <c r="I32" s="22">
        <f t="shared" ref="I32:I38" si="1">E32*H32</f>
        <v>264.32000000000005</v>
      </c>
      <c r="J32" s="22">
        <f>I32*$O$12</f>
        <v>17709.440000000002</v>
      </c>
      <c r="K32" s="17"/>
      <c r="R32" t="s">
        <v>73</v>
      </c>
      <c r="S32">
        <v>2014</v>
      </c>
      <c r="T32">
        <v>120.3</v>
      </c>
    </row>
    <row r="33" spans="1:20">
      <c r="A33" s="17"/>
      <c r="B33" s="20" t="s">
        <v>86</v>
      </c>
      <c r="C33" s="20">
        <v>2</v>
      </c>
      <c r="D33" s="20">
        <v>4</v>
      </c>
      <c r="E33" s="21">
        <f t="shared" si="0"/>
        <v>224</v>
      </c>
      <c r="F33" s="20">
        <v>100</v>
      </c>
      <c r="G33" s="20">
        <v>39</v>
      </c>
      <c r="H33" s="22">
        <f t="shared" ref="H33:H38" si="2">G33/F33</f>
        <v>0.39</v>
      </c>
      <c r="I33" s="22">
        <f t="shared" si="1"/>
        <v>87.36</v>
      </c>
      <c r="J33" s="22">
        <f t="shared" ref="J33:J45" si="3">I33*$O$12</f>
        <v>5853.12</v>
      </c>
      <c r="K33" s="17"/>
      <c r="R33" t="s">
        <v>73</v>
      </c>
      <c r="S33">
        <v>2014</v>
      </c>
      <c r="T33">
        <v>120.1</v>
      </c>
    </row>
    <row r="34" spans="1:20">
      <c r="A34" s="17"/>
      <c r="B34" s="20" t="s">
        <v>87</v>
      </c>
      <c r="C34" s="20">
        <v>3</v>
      </c>
      <c r="D34" s="20">
        <v>4</v>
      </c>
      <c r="E34" s="21">
        <f t="shared" si="0"/>
        <v>336</v>
      </c>
      <c r="F34" s="20">
        <v>100</v>
      </c>
      <c r="G34" s="20">
        <v>18.25</v>
      </c>
      <c r="H34" s="22">
        <f t="shared" si="2"/>
        <v>0.1825</v>
      </c>
      <c r="I34" s="22">
        <f t="shared" si="1"/>
        <v>61.32</v>
      </c>
      <c r="J34" s="22">
        <f t="shared" si="3"/>
        <v>4108.4399999999996</v>
      </c>
      <c r="K34" s="17"/>
      <c r="R34" t="s">
        <v>73</v>
      </c>
      <c r="S34">
        <v>2014</v>
      </c>
      <c r="T34">
        <v>120.1</v>
      </c>
    </row>
    <row r="35" spans="1:20">
      <c r="A35" s="17"/>
      <c r="B35" s="20" t="s">
        <v>88</v>
      </c>
      <c r="C35" s="20">
        <v>2</v>
      </c>
      <c r="D35" s="20">
        <v>4</v>
      </c>
      <c r="E35" s="21">
        <f t="shared" si="0"/>
        <v>224</v>
      </c>
      <c r="F35" s="20">
        <v>672</v>
      </c>
      <c r="G35" s="20">
        <v>12.76</v>
      </c>
      <c r="H35" s="22">
        <f t="shared" si="2"/>
        <v>1.8988095238095238E-2</v>
      </c>
      <c r="I35" s="22">
        <f t="shared" si="1"/>
        <v>4.253333333333333</v>
      </c>
      <c r="J35" s="22">
        <f t="shared" si="3"/>
        <v>284.9733333333333</v>
      </c>
      <c r="K35" s="17"/>
      <c r="R35" t="s">
        <v>73</v>
      </c>
      <c r="S35">
        <v>2014</v>
      </c>
      <c r="T35">
        <v>120.1</v>
      </c>
    </row>
    <row r="36" spans="1:20">
      <c r="A36" s="17"/>
      <c r="B36" s="20" t="s">
        <v>89</v>
      </c>
      <c r="C36" s="20">
        <v>1</v>
      </c>
      <c r="D36" s="20">
        <v>4</v>
      </c>
      <c r="E36" s="21">
        <f t="shared" si="0"/>
        <v>112</v>
      </c>
      <c r="F36" s="20">
        <v>100</v>
      </c>
      <c r="G36" s="20">
        <v>109.48</v>
      </c>
      <c r="H36" s="22">
        <f t="shared" si="2"/>
        <v>1.0948</v>
      </c>
      <c r="I36" s="22">
        <f t="shared" si="1"/>
        <v>122.6176</v>
      </c>
      <c r="J36" s="22">
        <f t="shared" si="3"/>
        <v>8215.3791999999994</v>
      </c>
      <c r="K36" s="17"/>
      <c r="R36" t="s">
        <v>73</v>
      </c>
      <c r="S36">
        <v>2014</v>
      </c>
      <c r="T36">
        <v>119.4</v>
      </c>
    </row>
    <row r="37" spans="1:20">
      <c r="A37" s="17"/>
      <c r="B37" s="20" t="s">
        <v>90</v>
      </c>
      <c r="C37" s="20">
        <v>3</v>
      </c>
      <c r="D37" s="20">
        <v>4</v>
      </c>
      <c r="E37" s="21">
        <f t="shared" si="0"/>
        <v>336</v>
      </c>
      <c r="F37" s="20">
        <v>672</v>
      </c>
      <c r="G37" s="20">
        <v>20.21</v>
      </c>
      <c r="H37" s="22">
        <f t="shared" si="2"/>
        <v>3.0074404761904764E-2</v>
      </c>
      <c r="I37" s="22">
        <f t="shared" si="1"/>
        <v>10.105</v>
      </c>
      <c r="J37" s="22">
        <f t="shared" si="3"/>
        <v>677.03500000000008</v>
      </c>
      <c r="K37" s="17"/>
      <c r="R37" t="s">
        <v>73</v>
      </c>
      <c r="S37">
        <v>2015</v>
      </c>
      <c r="T37">
        <v>119.5</v>
      </c>
    </row>
    <row r="38" spans="1:20">
      <c r="A38" s="17"/>
      <c r="B38" s="20" t="s">
        <v>91</v>
      </c>
      <c r="C38" s="20">
        <v>4</v>
      </c>
      <c r="D38" s="20">
        <v>4</v>
      </c>
      <c r="E38" s="21">
        <f t="shared" si="0"/>
        <v>448</v>
      </c>
      <c r="F38" s="20">
        <v>672</v>
      </c>
      <c r="G38" s="20">
        <v>21</v>
      </c>
      <c r="H38" s="22">
        <f t="shared" si="2"/>
        <v>3.125E-2</v>
      </c>
      <c r="I38" s="22">
        <f t="shared" si="1"/>
        <v>14</v>
      </c>
      <c r="J38" s="22">
        <f t="shared" si="3"/>
        <v>938</v>
      </c>
      <c r="K38" s="17"/>
      <c r="R38" t="s">
        <v>73</v>
      </c>
      <c r="S38">
        <v>2015</v>
      </c>
      <c r="T38">
        <v>119.7</v>
      </c>
    </row>
    <row r="39" spans="1:20">
      <c r="A39" s="17"/>
      <c r="B39" s="31" t="s">
        <v>92</v>
      </c>
      <c r="C39" s="17"/>
      <c r="D39" s="17"/>
      <c r="E39" s="17"/>
      <c r="F39" s="17"/>
      <c r="G39" s="17"/>
      <c r="H39" s="18"/>
      <c r="I39" s="18"/>
      <c r="J39" s="18"/>
      <c r="K39" s="17"/>
      <c r="R39" t="s">
        <v>73</v>
      </c>
      <c r="S39">
        <v>2015</v>
      </c>
      <c r="T39">
        <v>120.2</v>
      </c>
    </row>
    <row r="40" spans="1:20">
      <c r="A40" s="17"/>
      <c r="B40" s="20" t="s">
        <v>86</v>
      </c>
      <c r="C40" s="20">
        <v>2</v>
      </c>
      <c r="D40" s="20">
        <v>5</v>
      </c>
      <c r="E40" s="21">
        <f t="shared" ref="E40:E45" si="4">C40*D40*7*4</f>
        <v>280</v>
      </c>
      <c r="F40" s="20">
        <v>100</v>
      </c>
      <c r="G40" s="20">
        <v>39</v>
      </c>
      <c r="H40" s="22">
        <f t="shared" ref="H40:H45" si="5">G40/F40</f>
        <v>0.39</v>
      </c>
      <c r="I40" s="22">
        <f t="shared" ref="I40:I45" si="6">E40*H40</f>
        <v>109.2</v>
      </c>
      <c r="J40" s="22">
        <f t="shared" si="3"/>
        <v>7316.4000000000005</v>
      </c>
      <c r="K40" s="17"/>
      <c r="R40" t="s">
        <v>73</v>
      </c>
      <c r="S40">
        <v>2015</v>
      </c>
      <c r="T40">
        <v>120.7</v>
      </c>
    </row>
    <row r="41" spans="1:20">
      <c r="A41" s="17"/>
      <c r="B41" s="20" t="s">
        <v>87</v>
      </c>
      <c r="C41" s="20">
        <v>3</v>
      </c>
      <c r="D41" s="20">
        <v>5</v>
      </c>
      <c r="E41" s="21">
        <f t="shared" si="4"/>
        <v>420</v>
      </c>
      <c r="F41" s="20">
        <v>100</v>
      </c>
      <c r="G41" s="20">
        <v>18.25</v>
      </c>
      <c r="H41" s="22">
        <f t="shared" si="5"/>
        <v>0.1825</v>
      </c>
      <c r="I41" s="22">
        <f t="shared" si="6"/>
        <v>76.649999999999991</v>
      </c>
      <c r="J41" s="22">
        <f t="shared" si="3"/>
        <v>5135.5499999999993</v>
      </c>
      <c r="K41" s="17"/>
      <c r="R41" t="s">
        <v>73</v>
      </c>
      <c r="S41">
        <v>2015</v>
      </c>
      <c r="T41">
        <v>121.6</v>
      </c>
    </row>
    <row r="42" spans="1:20">
      <c r="A42" s="17"/>
      <c r="B42" s="20" t="s">
        <v>88</v>
      </c>
      <c r="C42" s="20">
        <v>2</v>
      </c>
      <c r="D42" s="20">
        <v>5</v>
      </c>
      <c r="E42" s="21">
        <f t="shared" si="4"/>
        <v>280</v>
      </c>
      <c r="F42" s="20">
        <v>672</v>
      </c>
      <c r="G42" s="20">
        <v>12.76</v>
      </c>
      <c r="H42" s="22">
        <f t="shared" si="5"/>
        <v>1.8988095238095238E-2</v>
      </c>
      <c r="I42" s="22">
        <f t="shared" si="6"/>
        <v>5.3166666666666664</v>
      </c>
      <c r="J42" s="22">
        <f t="shared" si="3"/>
        <v>356.21666666666664</v>
      </c>
      <c r="K42" s="17"/>
      <c r="R42" t="s">
        <v>73</v>
      </c>
      <c r="S42">
        <v>2015</v>
      </c>
      <c r="T42">
        <v>123</v>
      </c>
    </row>
    <row r="43" spans="1:20">
      <c r="A43" s="17"/>
      <c r="B43" s="20" t="s">
        <v>89</v>
      </c>
      <c r="C43" s="20">
        <v>1</v>
      </c>
      <c r="D43" s="20">
        <v>5</v>
      </c>
      <c r="E43" s="21">
        <f t="shared" si="4"/>
        <v>140</v>
      </c>
      <c r="F43" s="20">
        <v>100</v>
      </c>
      <c r="G43" s="20">
        <v>109.48</v>
      </c>
      <c r="H43" s="22">
        <f t="shared" si="5"/>
        <v>1.0948</v>
      </c>
      <c r="I43" s="22">
        <f t="shared" si="6"/>
        <v>153.27199999999999</v>
      </c>
      <c r="J43" s="22">
        <f t="shared" si="3"/>
        <v>10269.224</v>
      </c>
      <c r="K43" s="17"/>
      <c r="R43" t="s">
        <v>73</v>
      </c>
      <c r="S43">
        <v>2015</v>
      </c>
      <c r="T43">
        <v>123.6</v>
      </c>
    </row>
    <row r="44" spans="1:20">
      <c r="A44" s="17"/>
      <c r="B44" s="20" t="s">
        <v>90</v>
      </c>
      <c r="C44" s="20">
        <v>3</v>
      </c>
      <c r="D44" s="20">
        <v>5</v>
      </c>
      <c r="E44" s="21">
        <f t="shared" si="4"/>
        <v>420</v>
      </c>
      <c r="F44" s="20">
        <v>672</v>
      </c>
      <c r="G44" s="20">
        <v>20.21</v>
      </c>
      <c r="H44" s="22">
        <f t="shared" si="5"/>
        <v>3.0074404761904764E-2</v>
      </c>
      <c r="I44" s="22">
        <f t="shared" si="6"/>
        <v>12.631250000000001</v>
      </c>
      <c r="J44" s="22">
        <f t="shared" si="3"/>
        <v>846.29375000000005</v>
      </c>
      <c r="K44" s="17"/>
      <c r="R44" t="s">
        <v>73</v>
      </c>
      <c r="S44">
        <v>2015</v>
      </c>
      <c r="T44">
        <v>124.8</v>
      </c>
    </row>
    <row r="45" spans="1:20">
      <c r="A45" s="17"/>
      <c r="B45" s="20" t="s">
        <v>91</v>
      </c>
      <c r="C45" s="20">
        <v>4</v>
      </c>
      <c r="D45" s="20">
        <v>5</v>
      </c>
      <c r="E45" s="21">
        <f t="shared" si="4"/>
        <v>560</v>
      </c>
      <c r="F45" s="20">
        <v>672</v>
      </c>
      <c r="G45" s="20">
        <v>21</v>
      </c>
      <c r="H45" s="22">
        <f t="shared" si="5"/>
        <v>3.125E-2</v>
      </c>
      <c r="I45" s="22">
        <f t="shared" si="6"/>
        <v>17.5</v>
      </c>
      <c r="J45" s="22">
        <f t="shared" si="3"/>
        <v>1172.5</v>
      </c>
      <c r="K45" s="17"/>
      <c r="R45" t="s">
        <v>73</v>
      </c>
      <c r="S45">
        <v>2015</v>
      </c>
      <c r="T45">
        <v>125.4</v>
      </c>
    </row>
    <row r="46" spans="1:20">
      <c r="A46" s="17"/>
      <c r="B46" s="24" t="s">
        <v>63</v>
      </c>
      <c r="I46" s="32">
        <f>SUM(I32:I45)</f>
        <v>938.54585000000009</v>
      </c>
      <c r="J46" s="32">
        <f>SUM(J32:J45)</f>
        <v>62882.571950000005</v>
      </c>
      <c r="K46" s="17"/>
      <c r="R46" t="s">
        <v>73</v>
      </c>
      <c r="S46">
        <v>2015</v>
      </c>
      <c r="T46">
        <v>126.1</v>
      </c>
    </row>
    <row r="47" spans="1:20">
      <c r="A47" s="17"/>
      <c r="B47" s="24"/>
      <c r="I47" s="26">
        <f>I46/9</f>
        <v>104.28287222222224</v>
      </c>
      <c r="R47" t="s">
        <v>73</v>
      </c>
      <c r="S47">
        <v>2015</v>
      </c>
      <c r="T47">
        <v>126.6</v>
      </c>
    </row>
    <row r="48" spans="1:20">
      <c r="A48" s="19" t="s">
        <v>143</v>
      </c>
      <c r="B48" s="17"/>
      <c r="C48" s="17"/>
      <c r="D48" s="17"/>
      <c r="E48" s="17"/>
      <c r="F48" s="17"/>
      <c r="G48" s="17"/>
      <c r="H48" s="18"/>
      <c r="I48" s="18"/>
      <c r="J48" s="18"/>
      <c r="K48" s="17" t="s">
        <v>103</v>
      </c>
      <c r="R48" t="s">
        <v>73</v>
      </c>
      <c r="S48">
        <v>2015</v>
      </c>
      <c r="T48">
        <v>126.1</v>
      </c>
    </row>
    <row r="49" spans="1:20">
      <c r="A49" s="17" t="s">
        <v>94</v>
      </c>
      <c r="B49" s="20" t="s">
        <v>93</v>
      </c>
      <c r="C49" s="20">
        <v>4</v>
      </c>
      <c r="D49" s="20">
        <v>0.5</v>
      </c>
      <c r="E49" s="21">
        <f t="shared" ref="E49:E54" si="7">C49*D49*7*4</f>
        <v>56</v>
      </c>
      <c r="F49" s="20">
        <v>30</v>
      </c>
      <c r="G49" s="20">
        <v>17.2</v>
      </c>
      <c r="H49" s="22">
        <f t="shared" ref="H49:H54" si="8">G49/F49</f>
        <v>0.57333333333333336</v>
      </c>
      <c r="I49" s="22">
        <f t="shared" ref="I49:I54" si="9">E49*H49</f>
        <v>32.106666666666669</v>
      </c>
      <c r="J49" s="22">
        <f t="shared" ref="J49:J54" si="10">I49*$O$12</f>
        <v>2151.146666666667</v>
      </c>
      <c r="K49" t="s">
        <v>102</v>
      </c>
      <c r="R49" t="s">
        <v>73</v>
      </c>
      <c r="S49">
        <v>2016</v>
      </c>
      <c r="T49">
        <v>126.3</v>
      </c>
    </row>
    <row r="50" spans="1:20">
      <c r="A50" s="17" t="s">
        <v>96</v>
      </c>
      <c r="B50" s="20" t="s">
        <v>95</v>
      </c>
      <c r="C50" s="33">
        <f>6/7</f>
        <v>0.8571428571428571</v>
      </c>
      <c r="D50" s="20">
        <v>5.5</v>
      </c>
      <c r="E50" s="21">
        <f t="shared" si="7"/>
        <v>132</v>
      </c>
      <c r="F50" s="20">
        <v>30</v>
      </c>
      <c r="G50" s="20">
        <v>17.2</v>
      </c>
      <c r="H50" s="22">
        <f t="shared" si="8"/>
        <v>0.57333333333333336</v>
      </c>
      <c r="I50" s="22">
        <f t="shared" si="9"/>
        <v>75.680000000000007</v>
      </c>
      <c r="J50" s="22">
        <f t="shared" si="10"/>
        <v>5070.5600000000004</v>
      </c>
      <c r="R50" t="s">
        <v>73</v>
      </c>
      <c r="S50">
        <v>2016</v>
      </c>
      <c r="T50">
        <v>126</v>
      </c>
    </row>
    <row r="51" spans="1:20">
      <c r="A51" s="17" t="s">
        <v>98</v>
      </c>
      <c r="B51" s="20" t="s">
        <v>97</v>
      </c>
      <c r="C51" s="33">
        <v>1</v>
      </c>
      <c r="D51" s="20">
        <v>6</v>
      </c>
      <c r="E51" s="21">
        <f t="shared" si="7"/>
        <v>168</v>
      </c>
      <c r="F51" s="20">
        <v>100</v>
      </c>
      <c r="G51" s="20">
        <v>118.5</v>
      </c>
      <c r="H51" s="22">
        <f t="shared" si="8"/>
        <v>1.1850000000000001</v>
      </c>
      <c r="I51" s="22">
        <f t="shared" si="9"/>
        <v>199.08</v>
      </c>
      <c r="J51" s="22">
        <f t="shared" si="10"/>
        <v>13338.36</v>
      </c>
      <c r="R51" t="s">
        <v>73</v>
      </c>
      <c r="S51">
        <v>2016</v>
      </c>
      <c r="T51">
        <v>126</v>
      </c>
    </row>
    <row r="52" spans="1:20">
      <c r="A52" s="17" t="s">
        <v>100</v>
      </c>
      <c r="B52" s="20" t="s">
        <v>99</v>
      </c>
      <c r="C52" s="34">
        <v>3</v>
      </c>
      <c r="D52" s="20">
        <v>18</v>
      </c>
      <c r="E52" s="21">
        <f t="shared" si="7"/>
        <v>1512</v>
      </c>
      <c r="F52" s="20">
        <v>100</v>
      </c>
      <c r="G52" s="20">
        <v>28.8</v>
      </c>
      <c r="H52" s="22">
        <f t="shared" si="8"/>
        <v>0.28800000000000003</v>
      </c>
      <c r="I52" s="22">
        <f t="shared" si="9"/>
        <v>435.45600000000007</v>
      </c>
      <c r="J52" s="22">
        <f t="shared" si="10"/>
        <v>29175.552000000003</v>
      </c>
      <c r="R52" t="s">
        <v>73</v>
      </c>
      <c r="S52">
        <v>2016</v>
      </c>
      <c r="T52">
        <v>127.3</v>
      </c>
    </row>
    <row r="53" spans="1:20">
      <c r="A53" s="19"/>
      <c r="B53" s="20" t="s">
        <v>89</v>
      </c>
      <c r="C53" s="34">
        <v>1</v>
      </c>
      <c r="D53" s="20">
        <v>18</v>
      </c>
      <c r="E53" s="21">
        <f t="shared" si="7"/>
        <v>504</v>
      </c>
      <c r="F53" s="20">
        <v>100</v>
      </c>
      <c r="G53" s="20">
        <v>109.48</v>
      </c>
      <c r="H53" s="22">
        <f t="shared" si="8"/>
        <v>1.0948</v>
      </c>
      <c r="I53" s="22">
        <f t="shared" si="9"/>
        <v>551.77919999999995</v>
      </c>
      <c r="J53" s="22">
        <f t="shared" si="10"/>
        <v>36969.206399999995</v>
      </c>
      <c r="K53" s="36"/>
      <c r="R53" t="s">
        <v>73</v>
      </c>
      <c r="S53">
        <v>2016</v>
      </c>
      <c r="T53">
        <v>128.6</v>
      </c>
    </row>
    <row r="54" spans="1:20">
      <c r="A54" s="19"/>
      <c r="B54" s="20" t="s">
        <v>101</v>
      </c>
      <c r="C54" s="20">
        <v>2</v>
      </c>
      <c r="D54" s="20">
        <v>18</v>
      </c>
      <c r="E54" s="21">
        <f t="shared" si="7"/>
        <v>1008</v>
      </c>
      <c r="F54" s="20">
        <v>100</v>
      </c>
      <c r="G54" s="20">
        <v>4.91</v>
      </c>
      <c r="H54" s="22">
        <f t="shared" si="8"/>
        <v>4.9100000000000005E-2</v>
      </c>
      <c r="I54" s="22">
        <f t="shared" si="9"/>
        <v>49.492800000000003</v>
      </c>
      <c r="J54" s="22">
        <f t="shared" si="10"/>
        <v>3316.0176000000001</v>
      </c>
      <c r="K54" s="17"/>
      <c r="R54" t="s">
        <v>73</v>
      </c>
      <c r="S54">
        <v>2016</v>
      </c>
      <c r="T54">
        <v>130.1</v>
      </c>
    </row>
    <row r="55" spans="1:20">
      <c r="A55" s="19"/>
      <c r="B55" s="24" t="s">
        <v>63</v>
      </c>
      <c r="I55" s="22">
        <f>SUM(I49:I54)</f>
        <v>1343.5946666666666</v>
      </c>
      <c r="J55" s="22">
        <f>SUM(J49:J54)</f>
        <v>90020.842666666678</v>
      </c>
      <c r="K55" s="17"/>
      <c r="R55" t="s">
        <v>73</v>
      </c>
      <c r="S55">
        <v>2016</v>
      </c>
      <c r="T55">
        <v>131.1</v>
      </c>
    </row>
    <row r="56" spans="1:20">
      <c r="I56" s="26">
        <f>I55/18</f>
        <v>74.644148148148147</v>
      </c>
      <c r="R56" t="s">
        <v>73</v>
      </c>
      <c r="S56">
        <v>2016</v>
      </c>
      <c r="T56">
        <v>131.1</v>
      </c>
    </row>
    <row r="57" spans="1:20" s="37" customFormat="1">
      <c r="A57" s="37" t="s">
        <v>121</v>
      </c>
    </row>
    <row r="58" spans="1:20" ht="15" thickBot="1">
      <c r="R58" t="s">
        <v>73</v>
      </c>
      <c r="S58">
        <v>2016</v>
      </c>
      <c r="T58">
        <v>131.4</v>
      </c>
    </row>
    <row r="59" spans="1:20" ht="14.4" customHeight="1">
      <c r="A59" s="38" t="s">
        <v>106</v>
      </c>
      <c r="B59" s="38" t="s">
        <v>107</v>
      </c>
      <c r="C59" s="291" t="s">
        <v>108</v>
      </c>
      <c r="D59" s="292"/>
      <c r="E59" s="293"/>
      <c r="F59" s="291" t="s">
        <v>109</v>
      </c>
      <c r="G59" s="292"/>
      <c r="H59" s="293"/>
      <c r="I59" s="39" t="s">
        <v>110</v>
      </c>
      <c r="J59" s="39" t="s">
        <v>139</v>
      </c>
      <c r="K59" s="286" t="s">
        <v>111</v>
      </c>
      <c r="R59" t="s">
        <v>73</v>
      </c>
      <c r="S59">
        <v>2016</v>
      </c>
      <c r="T59">
        <v>131.19999999999999</v>
      </c>
    </row>
    <row r="60" spans="1:20" ht="15" thickBot="1">
      <c r="A60" s="40"/>
      <c r="B60" s="40"/>
      <c r="C60" s="41" t="s">
        <v>112</v>
      </c>
      <c r="D60" s="42" t="s">
        <v>113</v>
      </c>
      <c r="E60" s="43" t="s">
        <v>114</v>
      </c>
      <c r="F60" s="44" t="s">
        <v>115</v>
      </c>
      <c r="G60" s="42" t="s">
        <v>116</v>
      </c>
      <c r="H60" s="43" t="s">
        <v>114</v>
      </c>
      <c r="I60" s="55"/>
      <c r="J60" s="55"/>
      <c r="K60" s="287"/>
      <c r="R60" t="s">
        <v>73</v>
      </c>
      <c r="S60">
        <v>2016</v>
      </c>
      <c r="T60">
        <v>130.4</v>
      </c>
    </row>
    <row r="61" spans="1:20">
      <c r="A61" s="289" t="s">
        <v>117</v>
      </c>
      <c r="B61" t="s">
        <v>118</v>
      </c>
      <c r="C61">
        <v>24</v>
      </c>
      <c r="D61" s="45">
        <v>1.9153929216615286</v>
      </c>
      <c r="E61" s="45">
        <f>C61*D61</f>
        <v>45.969430119876691</v>
      </c>
      <c r="F61" s="45"/>
      <c r="G61" s="45"/>
      <c r="H61" s="45"/>
      <c r="I61" s="45"/>
      <c r="K61" s="27"/>
      <c r="L61" t="s">
        <v>122</v>
      </c>
      <c r="R61" t="s">
        <v>73</v>
      </c>
      <c r="S61">
        <v>2017</v>
      </c>
      <c r="T61">
        <v>130.30000000000001</v>
      </c>
    </row>
    <row r="62" spans="1:20">
      <c r="A62" s="290"/>
      <c r="C62">
        <v>1</v>
      </c>
      <c r="D62" s="45">
        <v>2.6017200000000003</v>
      </c>
      <c r="E62" s="45">
        <f>C62*D62</f>
        <v>2.6017200000000003</v>
      </c>
      <c r="F62" s="46">
        <v>1</v>
      </c>
      <c r="G62" s="47">
        <f>D106</f>
        <v>1.1675368151901135</v>
      </c>
      <c r="H62" s="47">
        <f>F62*G62</f>
        <v>1.1675368151901135</v>
      </c>
      <c r="I62" s="45"/>
      <c r="K62" s="27"/>
      <c r="R62" t="s">
        <v>73</v>
      </c>
      <c r="S62">
        <v>2017</v>
      </c>
      <c r="T62">
        <v>130.6</v>
      </c>
    </row>
    <row r="63" spans="1:20">
      <c r="A63" s="288"/>
      <c r="B63" s="48" t="s">
        <v>119</v>
      </c>
      <c r="C63" s="48">
        <v>16</v>
      </c>
      <c r="D63" s="47">
        <v>1.9153929216615286</v>
      </c>
      <c r="E63" s="47">
        <f>C63*D63</f>
        <v>30.646286746584458</v>
      </c>
      <c r="I63" s="47"/>
      <c r="J63" s="48"/>
      <c r="K63" s="49"/>
      <c r="L63" t="s">
        <v>123</v>
      </c>
      <c r="R63" t="s">
        <v>73</v>
      </c>
      <c r="S63">
        <v>2017</v>
      </c>
      <c r="T63">
        <v>130.9</v>
      </c>
    </row>
    <row r="64" spans="1:20">
      <c r="A64" s="288"/>
      <c r="B64" s="50"/>
      <c r="C64" s="50">
        <v>1</v>
      </c>
      <c r="D64" s="45">
        <v>2.6017200000000003</v>
      </c>
      <c r="E64" s="51">
        <f>C64*D64</f>
        <v>2.6017200000000003</v>
      </c>
      <c r="F64" s="52">
        <v>1</v>
      </c>
      <c r="G64" s="51">
        <f>D106</f>
        <v>1.1675368151901135</v>
      </c>
      <c r="H64" s="51">
        <f>F64*G64</f>
        <v>1.1675368151901135</v>
      </c>
      <c r="I64" s="51"/>
      <c r="J64" s="50"/>
      <c r="K64" s="53"/>
      <c r="R64" t="s">
        <v>73</v>
      </c>
      <c r="S64">
        <v>2017</v>
      </c>
      <c r="T64">
        <v>131.1</v>
      </c>
    </row>
    <row r="65" spans="1:20">
      <c r="A65" s="288"/>
      <c r="B65" t="s">
        <v>120</v>
      </c>
      <c r="D65" s="45"/>
      <c r="E65" s="45">
        <f>SUM(E61:E64)</f>
        <v>81.819156866461157</v>
      </c>
      <c r="F65" s="45"/>
      <c r="G65" s="45"/>
      <c r="H65" s="45">
        <f>SUM(H61:H64)</f>
        <v>2.3350736303802271</v>
      </c>
      <c r="I65" s="45"/>
      <c r="J65" s="45">
        <v>34.688547010409678</v>
      </c>
      <c r="K65" s="54">
        <f>SUM(C65:J65)</f>
        <v>118.84277750725106</v>
      </c>
      <c r="R65" t="s">
        <v>73</v>
      </c>
      <c r="S65">
        <v>2017</v>
      </c>
      <c r="T65">
        <v>131.4</v>
      </c>
    </row>
    <row r="66" spans="1:20">
      <c r="K66" t="s">
        <v>68</v>
      </c>
      <c r="L66" s="45">
        <f>K65*0.8</f>
        <v>95.074222005800848</v>
      </c>
      <c r="R66" t="s">
        <v>73</v>
      </c>
      <c r="S66">
        <v>2017</v>
      </c>
      <c r="T66">
        <v>132</v>
      </c>
    </row>
    <row r="67" spans="1:20">
      <c r="K67" t="s">
        <v>69</v>
      </c>
      <c r="L67" s="45">
        <f>K65*1.2</f>
        <v>142.61133300870125</v>
      </c>
      <c r="R67" t="s">
        <v>73</v>
      </c>
      <c r="S67">
        <v>2017</v>
      </c>
      <c r="T67">
        <v>134.19999999999999</v>
      </c>
    </row>
    <row r="68" spans="1:20">
      <c r="R68" t="s">
        <v>73</v>
      </c>
      <c r="S68">
        <v>2017</v>
      </c>
      <c r="T68">
        <v>135.4</v>
      </c>
    </row>
    <row r="69" spans="1:20">
      <c r="R69" t="s">
        <v>73</v>
      </c>
      <c r="S69">
        <v>2017</v>
      </c>
      <c r="T69">
        <v>135.19999999999999</v>
      </c>
    </row>
    <row r="70" spans="1:20">
      <c r="A70" s="57" t="s">
        <v>126</v>
      </c>
      <c r="R70" t="s">
        <v>73</v>
      </c>
      <c r="S70">
        <v>2017</v>
      </c>
      <c r="T70">
        <v>136.1</v>
      </c>
    </row>
    <row r="71" spans="1:20">
      <c r="A71" s="56" t="s">
        <v>125</v>
      </c>
      <c r="B71" t="s">
        <v>124</v>
      </c>
      <c r="C71" t="s">
        <v>135</v>
      </c>
      <c r="R71" t="s">
        <v>73</v>
      </c>
      <c r="S71">
        <v>2017</v>
      </c>
      <c r="T71">
        <v>137.6</v>
      </c>
    </row>
    <row r="72" spans="1:20">
      <c r="A72" s="56"/>
      <c r="B72" t="s">
        <v>134</v>
      </c>
      <c r="R72" t="s">
        <v>73</v>
      </c>
      <c r="S72">
        <v>2017</v>
      </c>
      <c r="T72">
        <v>137.19999999999999</v>
      </c>
    </row>
    <row r="73" spans="1:20">
      <c r="A73" s="57" t="s">
        <v>132</v>
      </c>
      <c r="R73" t="s">
        <v>73</v>
      </c>
      <c r="S73">
        <v>2018</v>
      </c>
      <c r="T73">
        <v>136.9</v>
      </c>
    </row>
    <row r="74" spans="1:20">
      <c r="A74" s="56" t="s">
        <v>130</v>
      </c>
      <c r="B74" s="36" t="s">
        <v>129</v>
      </c>
      <c r="R74" s="35"/>
      <c r="S74">
        <v>2018</v>
      </c>
      <c r="T74">
        <v>136.4</v>
      </c>
    </row>
    <row r="75" spans="1:20">
      <c r="A75" s="56"/>
      <c r="B75" t="s">
        <v>128</v>
      </c>
      <c r="R75" s="35"/>
      <c r="S75">
        <v>2018</v>
      </c>
      <c r="T75">
        <v>136.5</v>
      </c>
    </row>
    <row r="76" spans="1:20">
      <c r="A76" s="60"/>
      <c r="B76" t="s">
        <v>127</v>
      </c>
      <c r="C76" s="58"/>
      <c r="R76" s="35"/>
      <c r="S76">
        <v>2018</v>
      </c>
      <c r="T76">
        <v>137.1</v>
      </c>
    </row>
    <row r="77" spans="1:20">
      <c r="A77" s="60"/>
      <c r="B77" s="59" t="s">
        <v>133</v>
      </c>
      <c r="C77" s="58"/>
      <c r="R77" s="35"/>
    </row>
    <row r="78" spans="1:20">
      <c r="A78" s="57" t="s">
        <v>137</v>
      </c>
    </row>
    <row r="79" spans="1:20">
      <c r="A79" s="56" t="s">
        <v>136</v>
      </c>
      <c r="B79" t="s">
        <v>138</v>
      </c>
    </row>
    <row r="81" spans="1:14" ht="15" thickBot="1"/>
    <row r="82" spans="1:14">
      <c r="A82" s="38" t="s">
        <v>106</v>
      </c>
      <c r="B82" s="38" t="s">
        <v>107</v>
      </c>
      <c r="C82" s="291" t="s">
        <v>144</v>
      </c>
      <c r="D82" s="292"/>
      <c r="E82" s="293"/>
      <c r="F82" s="291" t="s">
        <v>109</v>
      </c>
      <c r="G82" s="292"/>
      <c r="H82" s="292"/>
      <c r="I82" s="292"/>
      <c r="J82" s="293"/>
      <c r="K82" s="284" t="s">
        <v>110</v>
      </c>
      <c r="L82" s="284" t="s">
        <v>163</v>
      </c>
      <c r="M82" s="286" t="s">
        <v>111</v>
      </c>
    </row>
    <row r="83" spans="1:14" ht="29.4" thickBot="1">
      <c r="A83" s="40"/>
      <c r="B83" s="40"/>
      <c r="C83" s="41" t="s">
        <v>145</v>
      </c>
      <c r="D83" s="42" t="s">
        <v>146</v>
      </c>
      <c r="E83" s="43" t="s">
        <v>114</v>
      </c>
      <c r="F83" s="44" t="s">
        <v>147</v>
      </c>
      <c r="G83" s="61" t="s">
        <v>116</v>
      </c>
      <c r="H83" s="61" t="s">
        <v>148</v>
      </c>
      <c r="I83" s="61" t="s">
        <v>116</v>
      </c>
      <c r="J83" s="43" t="s">
        <v>114</v>
      </c>
      <c r="K83" s="285"/>
      <c r="L83" s="285"/>
      <c r="M83" s="287"/>
    </row>
    <row r="84" spans="1:14">
      <c r="A84" s="288" t="s">
        <v>149</v>
      </c>
      <c r="B84" t="s">
        <v>150</v>
      </c>
      <c r="C84">
        <f>6*4*6</f>
        <v>144</v>
      </c>
      <c r="D84" s="45">
        <v>1.9153929216615286</v>
      </c>
      <c r="E84" s="45">
        <f>C84*D84</f>
        <v>275.81658071926012</v>
      </c>
      <c r="K84" s="45">
        <f>D101*14</f>
        <v>171.78</v>
      </c>
      <c r="M84" s="27"/>
    </row>
    <row r="85" spans="1:14">
      <c r="A85" s="288"/>
      <c r="C85">
        <v>5</v>
      </c>
      <c r="D85" s="45">
        <v>2.6017200000000003</v>
      </c>
      <c r="E85" s="45">
        <f>C85*D85</f>
        <v>13.008600000000001</v>
      </c>
      <c r="F85">
        <v>5</v>
      </c>
      <c r="G85" s="45">
        <f>G96</f>
        <v>18.745000000000001</v>
      </c>
      <c r="H85">
        <v>1.8</v>
      </c>
      <c r="I85" s="45">
        <f>C98</f>
        <v>29.88</v>
      </c>
      <c r="J85" s="45">
        <f>F85*G85+H85*I85</f>
        <v>147.50900000000001</v>
      </c>
      <c r="K85" s="45"/>
      <c r="M85" s="27"/>
    </row>
    <row r="86" spans="1:14">
      <c r="A86" s="288"/>
      <c r="B86" s="48" t="s">
        <v>151</v>
      </c>
      <c r="C86" s="48">
        <f>12*4*1</f>
        <v>48</v>
      </c>
      <c r="D86" s="47">
        <v>1.9153929216615286</v>
      </c>
      <c r="E86" s="45">
        <f>C86*D86</f>
        <v>91.938860239753382</v>
      </c>
      <c r="K86" s="47"/>
      <c r="L86" s="48"/>
      <c r="M86" s="49"/>
    </row>
    <row r="87" spans="1:14">
      <c r="A87" s="288"/>
      <c r="B87" s="50"/>
      <c r="C87" s="62">
        <v>4.8</v>
      </c>
      <c r="D87" s="45">
        <v>2.6017200000000003</v>
      </c>
      <c r="E87" s="51">
        <f>C87*D87</f>
        <v>12.488256000000002</v>
      </c>
      <c r="F87" s="52">
        <v>4.8</v>
      </c>
      <c r="G87" s="51">
        <f>G96</f>
        <v>18.745000000000001</v>
      </c>
      <c r="H87" s="63">
        <v>1.2</v>
      </c>
      <c r="I87" s="51">
        <f>C98</f>
        <v>29.88</v>
      </c>
      <c r="J87" s="51">
        <f>F87*G87+H87*I87</f>
        <v>125.83199999999999</v>
      </c>
      <c r="K87" s="51"/>
      <c r="L87" s="50"/>
      <c r="M87" s="53"/>
    </row>
    <row r="88" spans="1:14">
      <c r="A88" s="288"/>
      <c r="D88" s="45"/>
      <c r="E88" s="45">
        <f>SUM(E84:E87)</f>
        <v>393.25229695901351</v>
      </c>
      <c r="F88" s="45"/>
      <c r="G88" s="45"/>
      <c r="H88" s="45"/>
      <c r="I88" s="45"/>
      <c r="J88" s="45">
        <f>J87+J85</f>
        <v>273.34100000000001</v>
      </c>
      <c r="K88" s="45">
        <f>K84</f>
        <v>171.78</v>
      </c>
      <c r="L88" s="45">
        <v>1709.4081980011151</v>
      </c>
      <c r="M88" s="54">
        <f>SUM(D88:L88)</f>
        <v>2547.7814949601288</v>
      </c>
    </row>
    <row r="89" spans="1:14">
      <c r="M89" t="s">
        <v>68</v>
      </c>
      <c r="N89" s="45">
        <f>M88*0.8</f>
        <v>2038.2251959681032</v>
      </c>
    </row>
    <row r="90" spans="1:14">
      <c r="A90" s="60" t="s">
        <v>152</v>
      </c>
      <c r="B90" t="s">
        <v>154</v>
      </c>
      <c r="M90" t="s">
        <v>69</v>
      </c>
      <c r="N90" s="45">
        <f>M88*1.2</f>
        <v>3057.3377939521547</v>
      </c>
    </row>
    <row r="91" spans="1:14">
      <c r="A91" s="60"/>
      <c r="B91" s="59" t="s">
        <v>153</v>
      </c>
    </row>
    <row r="93" spans="1:14">
      <c r="A93" s="60" t="s">
        <v>155</v>
      </c>
      <c r="B93" t="s">
        <v>156</v>
      </c>
    </row>
    <row r="95" spans="1:14">
      <c r="A95" s="56" t="s">
        <v>125</v>
      </c>
      <c r="B95" t="s">
        <v>157</v>
      </c>
    </row>
    <row r="96" spans="1:14">
      <c r="A96" s="56"/>
      <c r="B96" s="56" t="s">
        <v>158</v>
      </c>
      <c r="C96" s="47">
        <v>11.07</v>
      </c>
      <c r="D96" s="47">
        <v>1.7</v>
      </c>
      <c r="E96" s="47">
        <v>4</v>
      </c>
      <c r="F96" s="47">
        <v>1.9750000000000001</v>
      </c>
      <c r="G96" s="47">
        <f>SUM(C96:F96)</f>
        <v>18.745000000000001</v>
      </c>
      <c r="H96" s="35"/>
      <c r="I96" s="35"/>
      <c r="J96" s="35"/>
      <c r="K96" s="35"/>
    </row>
    <row r="97" spans="1:7">
      <c r="A97" s="56"/>
      <c r="B97" t="s">
        <v>537</v>
      </c>
    </row>
    <row r="98" spans="1:7">
      <c r="B98" t="s">
        <v>159</v>
      </c>
      <c r="C98" s="45">
        <v>29.88</v>
      </c>
    </row>
    <row r="100" spans="1:7">
      <c r="A100" s="56" t="s">
        <v>161</v>
      </c>
      <c r="B100" t="s">
        <v>160</v>
      </c>
    </row>
    <row r="101" spans="1:7">
      <c r="A101" s="56"/>
      <c r="B101" t="s">
        <v>162</v>
      </c>
      <c r="D101">
        <v>12.27</v>
      </c>
    </row>
    <row r="103" spans="1:7">
      <c r="A103" s="56" t="s">
        <v>136</v>
      </c>
      <c r="B103" t="s">
        <v>540</v>
      </c>
    </row>
    <row r="105" spans="1:7" s="37" customFormat="1">
      <c r="A105" s="37" t="s">
        <v>165</v>
      </c>
    </row>
    <row r="106" spans="1:7" ht="28.2" customHeight="1">
      <c r="A106" s="64" t="s">
        <v>176</v>
      </c>
      <c r="B106" t="s">
        <v>164</v>
      </c>
      <c r="C106" t="s">
        <v>166</v>
      </c>
      <c r="D106" s="45">
        <f>(C111+C112)/2</f>
        <v>1.1675368151901135</v>
      </c>
      <c r="G106" t="s">
        <v>135</v>
      </c>
    </row>
    <row r="107" spans="1:7">
      <c r="A107" s="64"/>
      <c r="C107" t="s">
        <v>167</v>
      </c>
      <c r="D107" s="45">
        <v>3.25</v>
      </c>
      <c r="G107" t="s">
        <v>135</v>
      </c>
    </row>
    <row r="108" spans="1:7">
      <c r="A108" s="64"/>
      <c r="C108" t="s">
        <v>131</v>
      </c>
      <c r="D108" s="45">
        <v>2.6017200000000003</v>
      </c>
    </row>
    <row r="109" spans="1:7">
      <c r="A109" s="64"/>
      <c r="D109" s="45">
        <f>D108*4+D107+D106</f>
        <v>14.824416815190114</v>
      </c>
    </row>
    <row r="110" spans="1:7">
      <c r="A110" s="64"/>
      <c r="B110" t="s">
        <v>168</v>
      </c>
      <c r="C110" t="s">
        <v>169</v>
      </c>
      <c r="D110" t="s">
        <v>68</v>
      </c>
      <c r="E110" t="s">
        <v>69</v>
      </c>
    </row>
    <row r="111" spans="1:7">
      <c r="B111" t="s">
        <v>170</v>
      </c>
      <c r="C111">
        <f>(D111+E111)/2</f>
        <v>0.95194848240920527</v>
      </c>
      <c r="D111">
        <v>0.67196363464179187</v>
      </c>
      <c r="E111">
        <v>1.2319333301766187</v>
      </c>
    </row>
    <row r="112" spans="1:7">
      <c r="C112">
        <f>(D112+E112)/2</f>
        <v>1.3831251479710218</v>
      </c>
      <c r="D112">
        <v>0.7055618163738816</v>
      </c>
      <c r="E112">
        <v>2.0606884795681619</v>
      </c>
    </row>
    <row r="114" spans="1:136" ht="28.8">
      <c r="A114" s="64" t="s">
        <v>177</v>
      </c>
      <c r="B114" t="s">
        <v>173</v>
      </c>
      <c r="C114" t="s">
        <v>167</v>
      </c>
      <c r="D114" s="45">
        <f>D107</f>
        <v>3.25</v>
      </c>
      <c r="G114" t="s">
        <v>135</v>
      </c>
    </row>
    <row r="115" spans="1:136">
      <c r="C115" t="str">
        <f>C108</f>
        <v>visit</v>
      </c>
      <c r="D115" s="45">
        <f>D108</f>
        <v>2.6017200000000003</v>
      </c>
    </row>
    <row r="116" spans="1:136">
      <c r="C116" t="s">
        <v>174</v>
      </c>
      <c r="D116" s="45">
        <v>12.367198428645612</v>
      </c>
      <c r="G116" t="s">
        <v>135</v>
      </c>
    </row>
    <row r="117" spans="1:136">
      <c r="D117" s="45">
        <f>D114+2*D115+D116</f>
        <v>20.820638428645612</v>
      </c>
    </row>
    <row r="118" spans="1:136" s="37" customFormat="1">
      <c r="A118" s="37" t="s">
        <v>1057</v>
      </c>
    </row>
    <row r="119" spans="1:136" s="145" customFormat="1">
      <c r="A119" s="145" t="s">
        <v>526</v>
      </c>
      <c r="B119" s="145" t="s">
        <v>525</v>
      </c>
      <c r="C119" s="145" t="s">
        <v>524</v>
      </c>
      <c r="D119" s="145" t="s">
        <v>523</v>
      </c>
      <c r="E119" s="145" t="s">
        <v>522</v>
      </c>
      <c r="F119" s="145" t="s">
        <v>521</v>
      </c>
      <c r="G119" s="145" t="s">
        <v>520</v>
      </c>
      <c r="H119" s="145" t="s">
        <v>519</v>
      </c>
      <c r="I119" s="145" t="s">
        <v>518</v>
      </c>
      <c r="J119" s="145" t="s">
        <v>517</v>
      </c>
      <c r="K119" s="145" t="s">
        <v>25</v>
      </c>
      <c r="L119" s="145" t="s">
        <v>516</v>
      </c>
      <c r="M119" s="145" t="s">
        <v>515</v>
      </c>
      <c r="N119" s="145" t="s">
        <v>514</v>
      </c>
      <c r="O119" s="145" t="s">
        <v>513</v>
      </c>
      <c r="P119" s="145" t="s">
        <v>512</v>
      </c>
      <c r="Q119" s="145" t="s">
        <v>511</v>
      </c>
      <c r="R119" s="145" t="s">
        <v>510</v>
      </c>
      <c r="S119" s="145" t="s">
        <v>509</v>
      </c>
      <c r="T119" s="145" t="s">
        <v>6</v>
      </c>
      <c r="U119" s="145" t="s">
        <v>508</v>
      </c>
      <c r="V119" s="145" t="s">
        <v>507</v>
      </c>
      <c r="W119" s="145" t="s">
        <v>506</v>
      </c>
      <c r="X119" s="145" t="s">
        <v>505</v>
      </c>
      <c r="Y119" s="145" t="s">
        <v>504</v>
      </c>
      <c r="Z119" s="145" t="s">
        <v>503</v>
      </c>
      <c r="AA119" s="145" t="s">
        <v>502</v>
      </c>
      <c r="AB119" s="145" t="s">
        <v>501</v>
      </c>
      <c r="AC119" s="145" t="s">
        <v>500</v>
      </c>
      <c r="AD119" s="145" t="s">
        <v>499</v>
      </c>
      <c r="AE119" s="145" t="s">
        <v>498</v>
      </c>
      <c r="AF119" s="145" t="s">
        <v>497</v>
      </c>
      <c r="AG119" s="145" t="s">
        <v>496</v>
      </c>
      <c r="AH119" s="145" t="s">
        <v>495</v>
      </c>
      <c r="AI119" s="145" t="s">
        <v>494</v>
      </c>
      <c r="AJ119" s="145" t="s">
        <v>493</v>
      </c>
      <c r="AK119" s="145" t="s">
        <v>492</v>
      </c>
      <c r="AL119" s="145" t="s">
        <v>491</v>
      </c>
      <c r="AM119" s="145" t="s">
        <v>490</v>
      </c>
      <c r="AN119" s="145" t="s">
        <v>489</v>
      </c>
      <c r="AO119" s="145" t="s">
        <v>488</v>
      </c>
      <c r="AP119" s="145" t="s">
        <v>487</v>
      </c>
      <c r="AQ119" s="145" t="s">
        <v>486</v>
      </c>
      <c r="AR119" s="145" t="s">
        <v>485</v>
      </c>
      <c r="AS119" s="145" t="s">
        <v>484</v>
      </c>
      <c r="AT119" s="145" t="s">
        <v>483</v>
      </c>
      <c r="AU119" s="145" t="s">
        <v>482</v>
      </c>
      <c r="AV119" s="145" t="s">
        <v>481</v>
      </c>
      <c r="AW119" s="145" t="s">
        <v>480</v>
      </c>
      <c r="AX119" s="145" t="s">
        <v>479</v>
      </c>
      <c r="AY119" s="145" t="s">
        <v>478</v>
      </c>
      <c r="AZ119" s="145" t="s">
        <v>477</v>
      </c>
      <c r="BA119" s="145" t="s">
        <v>476</v>
      </c>
      <c r="BB119" s="145" t="s">
        <v>475</v>
      </c>
      <c r="BC119" s="145" t="s">
        <v>474</v>
      </c>
      <c r="BD119" s="145" t="s">
        <v>473</v>
      </c>
      <c r="BE119" s="145" t="s">
        <v>472</v>
      </c>
      <c r="BF119" s="145" t="s">
        <v>471</v>
      </c>
      <c r="BG119" s="145" t="s">
        <v>470</v>
      </c>
      <c r="BH119" s="145" t="s">
        <v>469</v>
      </c>
      <c r="BI119" s="145" t="s">
        <v>468</v>
      </c>
      <c r="BJ119" s="145" t="s">
        <v>467</v>
      </c>
      <c r="BK119" s="145" t="s">
        <v>466</v>
      </c>
      <c r="BL119" s="145" t="s">
        <v>465</v>
      </c>
      <c r="BM119" s="145" t="s">
        <v>464</v>
      </c>
      <c r="BN119" s="145" t="s">
        <v>463</v>
      </c>
      <c r="BO119" s="145" t="s">
        <v>462</v>
      </c>
      <c r="BP119" s="145" t="s">
        <v>461</v>
      </c>
      <c r="BQ119" s="145" t="s">
        <v>460</v>
      </c>
      <c r="BR119" s="145" t="s">
        <v>459</v>
      </c>
      <c r="BS119" s="145" t="s">
        <v>458</v>
      </c>
      <c r="BT119" s="145" t="s">
        <v>457</v>
      </c>
      <c r="BU119" s="145" t="s">
        <v>456</v>
      </c>
      <c r="BV119" s="145" t="s">
        <v>455</v>
      </c>
      <c r="BW119" s="145" t="s">
        <v>454</v>
      </c>
      <c r="BX119" s="145" t="s">
        <v>453</v>
      </c>
      <c r="BY119" s="145" t="s">
        <v>452</v>
      </c>
      <c r="BZ119" s="145" t="s">
        <v>451</v>
      </c>
      <c r="CA119" s="145" t="s">
        <v>450</v>
      </c>
      <c r="CB119" s="145" t="s">
        <v>449</v>
      </c>
      <c r="CC119" s="145" t="s">
        <v>448</v>
      </c>
      <c r="CD119" s="145" t="s">
        <v>447</v>
      </c>
      <c r="CE119" s="145" t="s">
        <v>446</v>
      </c>
      <c r="CF119" s="145" t="s">
        <v>445</v>
      </c>
      <c r="CG119" s="145" t="s">
        <v>444</v>
      </c>
      <c r="CH119" s="145" t="s">
        <v>443</v>
      </c>
      <c r="CI119" s="145" t="s">
        <v>442</v>
      </c>
      <c r="CJ119" s="145" t="s">
        <v>441</v>
      </c>
      <c r="CK119" s="145" t="s">
        <v>440</v>
      </c>
      <c r="CL119" s="145" t="s">
        <v>439</v>
      </c>
      <c r="CM119" s="145" t="s">
        <v>438</v>
      </c>
      <c r="CN119" s="145" t="s">
        <v>437</v>
      </c>
      <c r="CO119" s="145" t="s">
        <v>436</v>
      </c>
      <c r="CP119" s="145" t="s">
        <v>435</v>
      </c>
      <c r="CQ119" s="145" t="s">
        <v>434</v>
      </c>
      <c r="CR119" s="145" t="s">
        <v>433</v>
      </c>
      <c r="CS119" s="145" t="s">
        <v>432</v>
      </c>
      <c r="CT119" s="145" t="s">
        <v>431</v>
      </c>
      <c r="CU119" s="145" t="s">
        <v>430</v>
      </c>
      <c r="CV119" s="145" t="s">
        <v>429</v>
      </c>
      <c r="CW119" s="145" t="s">
        <v>428</v>
      </c>
      <c r="CX119" s="145" t="s">
        <v>427</v>
      </c>
      <c r="CY119" s="145" t="s">
        <v>426</v>
      </c>
      <c r="CZ119" s="145" t="s">
        <v>425</v>
      </c>
      <c r="DA119" s="145" t="s">
        <v>424</v>
      </c>
      <c r="DB119" s="145" t="s">
        <v>423</v>
      </c>
      <c r="DC119" s="145" t="s">
        <v>422</v>
      </c>
      <c r="DD119" s="145" t="s">
        <v>421</v>
      </c>
      <c r="DE119" s="145" t="s">
        <v>420</v>
      </c>
      <c r="DF119" s="145" t="s">
        <v>419</v>
      </c>
      <c r="DG119" s="145" t="s">
        <v>418</v>
      </c>
      <c r="DH119" s="145" t="s">
        <v>399</v>
      </c>
      <c r="DI119" s="145" t="s">
        <v>417</v>
      </c>
      <c r="DJ119" s="145" t="s">
        <v>416</v>
      </c>
      <c r="DK119" s="145" t="s">
        <v>415</v>
      </c>
      <c r="DL119" s="145" t="s">
        <v>414</v>
      </c>
      <c r="DM119" s="145" t="s">
        <v>413</v>
      </c>
      <c r="DN119" s="145" t="s">
        <v>412</v>
      </c>
      <c r="DO119" s="145" t="s">
        <v>411</v>
      </c>
      <c r="DP119" s="145" t="s">
        <v>410</v>
      </c>
      <c r="DQ119" s="145" t="s">
        <v>409</v>
      </c>
      <c r="DR119" s="145" t="s">
        <v>408</v>
      </c>
      <c r="DS119" s="145" t="s">
        <v>407</v>
      </c>
      <c r="DT119" s="145" t="s">
        <v>406</v>
      </c>
      <c r="DU119" s="145" t="s">
        <v>405</v>
      </c>
      <c r="DV119" s="145" t="s">
        <v>404</v>
      </c>
      <c r="DW119" s="145" t="s">
        <v>403</v>
      </c>
      <c r="DX119" s="145" t="s">
        <v>402</v>
      </c>
      <c r="DY119" s="145" t="s">
        <v>401</v>
      </c>
      <c r="DZ119" s="145" t="s">
        <v>400</v>
      </c>
      <c r="EA119" s="145" t="s">
        <v>399</v>
      </c>
      <c r="EB119" s="145" t="s">
        <v>398</v>
      </c>
      <c r="EC119" s="145" t="s">
        <v>397</v>
      </c>
      <c r="ED119" s="145" t="s">
        <v>396</v>
      </c>
      <c r="EE119" s="145" t="s">
        <v>395</v>
      </c>
      <c r="EF119" s="145" t="s">
        <v>394</v>
      </c>
    </row>
    <row r="120" spans="1:136" s="145" customFormat="1">
      <c r="A120" s="145" t="s">
        <v>393</v>
      </c>
      <c r="B120" s="145" t="s">
        <v>44</v>
      </c>
      <c r="C120" s="145" t="s">
        <v>384</v>
      </c>
      <c r="D120" s="145">
        <v>2005</v>
      </c>
      <c r="E120" s="145" t="s">
        <v>383</v>
      </c>
      <c r="F120" s="145" t="s">
        <v>352</v>
      </c>
      <c r="G120" s="145" t="s">
        <v>351</v>
      </c>
      <c r="H120" s="145" t="s">
        <v>392</v>
      </c>
      <c r="I120" s="145" t="s">
        <v>391</v>
      </c>
      <c r="J120" s="36" t="s">
        <v>390</v>
      </c>
      <c r="K120" s="145" t="s">
        <v>347</v>
      </c>
      <c r="L120" s="145" t="s">
        <v>239</v>
      </c>
      <c r="M120" s="145">
        <v>149</v>
      </c>
      <c r="N120" s="145" t="s">
        <v>345</v>
      </c>
      <c r="O120" s="145" t="s">
        <v>362</v>
      </c>
      <c r="P120" s="145" t="s">
        <v>344</v>
      </c>
      <c r="Q120" s="145" t="s">
        <v>343</v>
      </c>
      <c r="R120" s="145" t="s">
        <v>341</v>
      </c>
      <c r="S120" s="145" t="s">
        <v>342</v>
      </c>
      <c r="T120" s="145" t="s">
        <v>341</v>
      </c>
      <c r="U120" s="145" t="s">
        <v>389</v>
      </c>
      <c r="V120" s="145" t="s">
        <v>339</v>
      </c>
      <c r="W120" s="145" t="s">
        <v>317</v>
      </c>
      <c r="X120" s="145" t="s">
        <v>317</v>
      </c>
      <c r="Y120" s="145" t="s">
        <v>317</v>
      </c>
      <c r="Z120" s="145" t="s">
        <v>317</v>
      </c>
      <c r="AA120" s="145" t="s">
        <v>317</v>
      </c>
      <c r="AB120" s="145" t="s">
        <v>317</v>
      </c>
      <c r="AC120" s="145" t="s">
        <v>317</v>
      </c>
      <c r="AD120" s="145" t="s">
        <v>317</v>
      </c>
      <c r="AE120" s="145" t="s">
        <v>338</v>
      </c>
      <c r="AF120" s="145" t="s">
        <v>317</v>
      </c>
      <c r="AG120" s="145" t="s">
        <v>317</v>
      </c>
      <c r="AH120" s="145" t="s">
        <v>317</v>
      </c>
      <c r="AI120" s="145" t="s">
        <v>317</v>
      </c>
      <c r="AJ120" s="145" t="s">
        <v>317</v>
      </c>
      <c r="AK120" s="145" t="s">
        <v>317</v>
      </c>
      <c r="AL120" s="145" t="s">
        <v>317</v>
      </c>
      <c r="AM120" s="145" t="s">
        <v>317</v>
      </c>
      <c r="AN120" s="145" t="s">
        <v>317</v>
      </c>
      <c r="AO120" s="145">
        <v>2002</v>
      </c>
      <c r="AP120" s="145" t="s">
        <v>317</v>
      </c>
      <c r="AQ120" s="145" t="s">
        <v>317</v>
      </c>
      <c r="AR120" s="145" t="s">
        <v>317</v>
      </c>
      <c r="AS120" s="145" t="s">
        <v>317</v>
      </c>
      <c r="AT120" s="145" t="s">
        <v>317</v>
      </c>
      <c r="AU120" s="145" t="s">
        <v>335</v>
      </c>
      <c r="AV120" s="145" t="s">
        <v>377</v>
      </c>
      <c r="AW120" s="145" t="s">
        <v>317</v>
      </c>
      <c r="AX120" s="145" t="s">
        <v>317</v>
      </c>
      <c r="AY120" s="145" t="s">
        <v>317</v>
      </c>
      <c r="AZ120" s="145" t="s">
        <v>317</v>
      </c>
      <c r="BA120" s="145" t="s">
        <v>317</v>
      </c>
      <c r="BB120" s="145" t="s">
        <v>317</v>
      </c>
      <c r="BC120" s="145" t="s">
        <v>317</v>
      </c>
      <c r="BD120" s="145" t="s">
        <v>388</v>
      </c>
      <c r="BE120" s="145" t="s">
        <v>317</v>
      </c>
      <c r="BF120" s="145" t="s">
        <v>331</v>
      </c>
      <c r="BG120" s="145" t="s">
        <v>331</v>
      </c>
      <c r="BH120" s="145" t="s">
        <v>387</v>
      </c>
      <c r="BI120" s="145" t="s">
        <v>330</v>
      </c>
      <c r="BJ120" s="145" t="s">
        <v>317</v>
      </c>
      <c r="BK120" s="145" t="s">
        <v>317</v>
      </c>
      <c r="BL120" s="145" t="s">
        <v>329</v>
      </c>
      <c r="BM120" s="145" t="s">
        <v>328</v>
      </c>
      <c r="BN120" s="145" t="s">
        <v>327</v>
      </c>
      <c r="BO120" s="145" t="s">
        <v>317</v>
      </c>
      <c r="BP120" s="145" t="s">
        <v>326</v>
      </c>
      <c r="BQ120" s="145" t="s">
        <v>372</v>
      </c>
      <c r="BR120" s="145" t="s">
        <v>326</v>
      </c>
      <c r="BS120" s="145" t="s">
        <v>325</v>
      </c>
      <c r="BT120" s="145" t="s">
        <v>317</v>
      </c>
      <c r="BU120" s="145" t="s">
        <v>324</v>
      </c>
      <c r="BV120" s="145" t="s">
        <v>323</v>
      </c>
      <c r="BW120" s="145" t="s">
        <v>386</v>
      </c>
      <c r="BX120" s="145" t="s">
        <v>317</v>
      </c>
      <c r="BY120" s="145" t="s">
        <v>317</v>
      </c>
      <c r="BZ120" s="145" t="s">
        <v>317</v>
      </c>
      <c r="CA120" s="145" t="s">
        <v>317</v>
      </c>
      <c r="CB120" s="145">
        <v>2002</v>
      </c>
      <c r="CC120" s="145" t="s">
        <v>371</v>
      </c>
      <c r="CD120" s="145" t="s">
        <v>212</v>
      </c>
      <c r="CE120" s="145" t="s">
        <v>317</v>
      </c>
      <c r="CF120" s="145" t="s">
        <v>317</v>
      </c>
      <c r="CG120" s="145" t="s">
        <v>317</v>
      </c>
      <c r="CH120" s="145" t="s">
        <v>317</v>
      </c>
      <c r="CI120" s="147">
        <v>43.543540954589844</v>
      </c>
      <c r="CJ120" s="145" t="s">
        <v>317</v>
      </c>
      <c r="CK120" s="145">
        <v>43.543540954589844</v>
      </c>
      <c r="CL120" s="145" t="s">
        <v>317</v>
      </c>
      <c r="CM120" s="145">
        <v>30.565537571907043</v>
      </c>
      <c r="CN120" s="145">
        <v>12.978006362915039</v>
      </c>
      <c r="CO120" s="145" t="s">
        <v>317</v>
      </c>
      <c r="CP120" s="145" t="s">
        <v>317</v>
      </c>
      <c r="CQ120" s="145" t="s">
        <v>317</v>
      </c>
      <c r="CR120" s="145" t="s">
        <v>317</v>
      </c>
      <c r="CS120" s="145" t="s">
        <v>317</v>
      </c>
      <c r="CT120" s="145" t="s">
        <v>317</v>
      </c>
      <c r="CU120" s="145">
        <v>11.743312358856201</v>
      </c>
      <c r="CV120" s="145">
        <v>11.029933571815491</v>
      </c>
      <c r="CW120" s="145">
        <v>7.7922916412353516</v>
      </c>
      <c r="CX120" s="145" t="s">
        <v>317</v>
      </c>
      <c r="CY120" s="145">
        <v>10.755557060241699</v>
      </c>
      <c r="CZ120" s="145" t="s">
        <v>317</v>
      </c>
      <c r="DA120" s="145">
        <v>2.2224493026733398</v>
      </c>
      <c r="DB120" s="145" t="s">
        <v>317</v>
      </c>
      <c r="DC120" s="145" t="s">
        <v>317</v>
      </c>
      <c r="DD120" s="145" t="s">
        <v>317</v>
      </c>
      <c r="DE120" s="145">
        <v>43.543543934822083</v>
      </c>
      <c r="DF120" s="145" t="s">
        <v>317</v>
      </c>
      <c r="DG120" s="145" t="s">
        <v>317</v>
      </c>
      <c r="DH120" s="145" t="s">
        <v>317</v>
      </c>
      <c r="DI120" s="145" t="s">
        <v>317</v>
      </c>
      <c r="DJ120" s="145" t="s">
        <v>317</v>
      </c>
      <c r="DK120" s="145" t="s">
        <v>317</v>
      </c>
      <c r="DL120" s="145" t="s">
        <v>317</v>
      </c>
      <c r="DM120" s="145" t="s">
        <v>317</v>
      </c>
      <c r="DN120" s="145" t="s">
        <v>317</v>
      </c>
      <c r="DO120" s="145" t="s">
        <v>317</v>
      </c>
      <c r="DP120" s="145" t="s">
        <v>317</v>
      </c>
      <c r="DQ120" s="145" t="s">
        <v>317</v>
      </c>
      <c r="DR120" s="145" t="s">
        <v>317</v>
      </c>
      <c r="DS120" s="145" t="s">
        <v>317</v>
      </c>
      <c r="DT120" s="145" t="s">
        <v>317</v>
      </c>
      <c r="DU120" s="145" t="s">
        <v>317</v>
      </c>
      <c r="DV120" s="145" t="s">
        <v>317</v>
      </c>
      <c r="DW120" s="145" t="s">
        <v>317</v>
      </c>
      <c r="DX120" s="145" t="s">
        <v>317</v>
      </c>
      <c r="DY120" s="145">
        <v>43.543543934822083</v>
      </c>
      <c r="DZ120" s="145">
        <v>2.2224493026733398</v>
      </c>
      <c r="EA120" s="145" t="s">
        <v>317</v>
      </c>
      <c r="EB120" s="145">
        <v>10.755557060241699</v>
      </c>
      <c r="EC120" s="145" t="s">
        <v>317</v>
      </c>
      <c r="ED120" s="145" t="s">
        <v>317</v>
      </c>
      <c r="EE120" s="145" t="s">
        <v>317</v>
      </c>
      <c r="EF120" s="145" t="s">
        <v>370</v>
      </c>
    </row>
    <row r="121" spans="1:136" s="145" customFormat="1">
      <c r="A121" s="145" t="s">
        <v>385</v>
      </c>
      <c r="B121" s="145" t="s">
        <v>44</v>
      </c>
      <c r="C121" s="145" t="s">
        <v>384</v>
      </c>
      <c r="D121" s="145">
        <v>2006</v>
      </c>
      <c r="E121" s="145" t="s">
        <v>383</v>
      </c>
      <c r="F121" s="145" t="s">
        <v>352</v>
      </c>
      <c r="G121" s="145" t="s">
        <v>351</v>
      </c>
      <c r="H121" s="145" t="s">
        <v>382</v>
      </c>
      <c r="I121" s="145" t="s">
        <v>381</v>
      </c>
      <c r="J121" s="36" t="s">
        <v>380</v>
      </c>
      <c r="K121" s="145" t="s">
        <v>347</v>
      </c>
      <c r="L121" s="145" t="s">
        <v>239</v>
      </c>
      <c r="M121" s="145" t="s">
        <v>317</v>
      </c>
      <c r="N121" s="145" t="s">
        <v>345</v>
      </c>
      <c r="O121" s="145" t="s">
        <v>343</v>
      </c>
      <c r="P121" s="145" t="s">
        <v>344</v>
      </c>
      <c r="Q121" s="145" t="s">
        <v>343</v>
      </c>
      <c r="R121" s="145" t="s">
        <v>341</v>
      </c>
      <c r="S121" s="145" t="s">
        <v>342</v>
      </c>
      <c r="T121" s="145" t="s">
        <v>341</v>
      </c>
      <c r="U121" s="145" t="s">
        <v>379</v>
      </c>
      <c r="V121" s="145" t="s">
        <v>339</v>
      </c>
      <c r="W121" s="145" t="s">
        <v>317</v>
      </c>
      <c r="X121" s="145" t="s">
        <v>317</v>
      </c>
      <c r="Y121" s="145" t="s">
        <v>317</v>
      </c>
      <c r="Z121" s="145" t="s">
        <v>317</v>
      </c>
      <c r="AA121" s="145" t="s">
        <v>317</v>
      </c>
      <c r="AB121" s="145" t="s">
        <v>317</v>
      </c>
      <c r="AC121" s="145" t="s">
        <v>317</v>
      </c>
      <c r="AD121" s="145" t="s">
        <v>317</v>
      </c>
      <c r="AE121" s="145" t="s">
        <v>338</v>
      </c>
      <c r="AF121" s="145" t="s">
        <v>378</v>
      </c>
      <c r="AG121" s="145" t="s">
        <v>317</v>
      </c>
      <c r="AH121" s="145" t="s">
        <v>317</v>
      </c>
      <c r="AI121" s="145" t="s">
        <v>317</v>
      </c>
      <c r="AJ121" s="145" t="s">
        <v>317</v>
      </c>
      <c r="AK121" s="145" t="s">
        <v>317</v>
      </c>
      <c r="AL121" s="145" t="s">
        <v>317</v>
      </c>
      <c r="AM121" s="145" t="s">
        <v>317</v>
      </c>
      <c r="AN121" s="145" t="s">
        <v>317</v>
      </c>
      <c r="AO121" s="145">
        <v>2000</v>
      </c>
      <c r="AP121" s="145" t="s">
        <v>317</v>
      </c>
      <c r="AQ121" s="145" t="s">
        <v>317</v>
      </c>
      <c r="AR121" s="145" t="s">
        <v>317</v>
      </c>
      <c r="AS121" s="145" t="s">
        <v>317</v>
      </c>
      <c r="AT121" s="145" t="s">
        <v>317</v>
      </c>
      <c r="AU121" s="145" t="s">
        <v>335</v>
      </c>
      <c r="AV121" s="145" t="s">
        <v>377</v>
      </c>
      <c r="AW121" s="145" t="s">
        <v>317</v>
      </c>
      <c r="AX121" s="145" t="s">
        <v>376</v>
      </c>
      <c r="AY121" s="145" t="s">
        <v>375</v>
      </c>
      <c r="AZ121" s="145" t="s">
        <v>374</v>
      </c>
      <c r="BA121" s="145" t="s">
        <v>317</v>
      </c>
      <c r="BB121" s="145" t="s">
        <v>317</v>
      </c>
      <c r="BC121" s="145" t="s">
        <v>317</v>
      </c>
      <c r="BD121" s="145" t="s">
        <v>373</v>
      </c>
      <c r="BE121" s="145" t="s">
        <v>358</v>
      </c>
      <c r="BF121" s="145" t="s">
        <v>317</v>
      </c>
      <c r="BG121" s="145" t="s">
        <v>331</v>
      </c>
      <c r="BH121" s="145" t="s">
        <v>331</v>
      </c>
      <c r="BI121" s="145" t="s">
        <v>331</v>
      </c>
      <c r="BJ121" s="145" t="s">
        <v>324</v>
      </c>
      <c r="BK121" s="145" t="s">
        <v>324</v>
      </c>
      <c r="BL121" s="145" t="s">
        <v>329</v>
      </c>
      <c r="BM121" s="145" t="s">
        <v>328</v>
      </c>
      <c r="BN121" s="145" t="s">
        <v>327</v>
      </c>
      <c r="BO121" s="145" t="s">
        <v>317</v>
      </c>
      <c r="BP121" s="145" t="s">
        <v>326</v>
      </c>
      <c r="BQ121" s="145" t="s">
        <v>372</v>
      </c>
      <c r="BR121" s="145" t="s">
        <v>326</v>
      </c>
      <c r="BS121" s="145" t="s">
        <v>356</v>
      </c>
      <c r="BT121" s="145" t="s">
        <v>317</v>
      </c>
      <c r="BU121" s="145" t="s">
        <v>324</v>
      </c>
      <c r="BV121" s="145" t="s">
        <v>317</v>
      </c>
      <c r="BW121" s="145" t="s">
        <v>326</v>
      </c>
      <c r="BX121" s="145" t="s">
        <v>317</v>
      </c>
      <c r="BY121" s="145" t="s">
        <v>317</v>
      </c>
      <c r="BZ121" s="145" t="s">
        <v>317</v>
      </c>
      <c r="CA121" s="145" t="s">
        <v>317</v>
      </c>
      <c r="CB121" s="145">
        <v>2000</v>
      </c>
      <c r="CC121" s="145" t="s">
        <v>371</v>
      </c>
      <c r="CD121" s="145" t="s">
        <v>212</v>
      </c>
      <c r="CE121" s="145" t="s">
        <v>317</v>
      </c>
      <c r="CF121" s="145" t="s">
        <v>317</v>
      </c>
      <c r="CG121" s="145" t="s">
        <v>317</v>
      </c>
      <c r="CH121" s="145" t="s">
        <v>317</v>
      </c>
      <c r="CI121" s="147">
        <v>70.920997619628906</v>
      </c>
      <c r="CJ121" s="145" t="s">
        <v>317</v>
      </c>
      <c r="CK121" s="145">
        <v>70.920997619628906</v>
      </c>
      <c r="CL121" s="145">
        <v>24.45551872253418</v>
      </c>
      <c r="CM121" s="145">
        <v>34.237724304199219</v>
      </c>
      <c r="CN121" s="145">
        <v>12.22775936126709</v>
      </c>
      <c r="CO121" s="145" t="s">
        <v>317</v>
      </c>
      <c r="CP121" s="145" t="s">
        <v>317</v>
      </c>
      <c r="CQ121" s="145" t="s">
        <v>317</v>
      </c>
      <c r="CR121" s="145" t="s">
        <v>317</v>
      </c>
      <c r="CS121" s="145" t="s">
        <v>317</v>
      </c>
      <c r="CT121" s="145" t="s">
        <v>317</v>
      </c>
      <c r="CU121" s="145" t="s">
        <v>317</v>
      </c>
      <c r="CV121" s="145" t="s">
        <v>317</v>
      </c>
      <c r="CW121" s="145">
        <v>34.237724304199219</v>
      </c>
      <c r="CX121" s="145" t="s">
        <v>317</v>
      </c>
      <c r="CY121" s="145">
        <v>12.22775936126709</v>
      </c>
      <c r="CZ121" s="145" t="s">
        <v>317</v>
      </c>
      <c r="DA121" s="145" t="s">
        <v>317</v>
      </c>
      <c r="DB121" s="145" t="s">
        <v>317</v>
      </c>
      <c r="DC121" s="145" t="s">
        <v>317</v>
      </c>
      <c r="DD121" s="145" t="s">
        <v>317</v>
      </c>
      <c r="DE121" s="145">
        <v>70.921002388000488</v>
      </c>
      <c r="DF121" s="145" t="s">
        <v>317</v>
      </c>
      <c r="DG121" s="145" t="s">
        <v>317</v>
      </c>
      <c r="DH121" s="145" t="s">
        <v>317</v>
      </c>
      <c r="DI121" s="145" t="s">
        <v>317</v>
      </c>
      <c r="DJ121" s="145" t="s">
        <v>317</v>
      </c>
      <c r="DK121" s="145" t="s">
        <v>317</v>
      </c>
      <c r="DL121" s="145" t="s">
        <v>317</v>
      </c>
      <c r="DM121" s="145" t="s">
        <v>317</v>
      </c>
      <c r="DN121" s="145" t="s">
        <v>317</v>
      </c>
      <c r="DO121" s="145" t="s">
        <v>317</v>
      </c>
      <c r="DP121" s="145" t="s">
        <v>317</v>
      </c>
      <c r="DQ121" s="145" t="s">
        <v>317</v>
      </c>
      <c r="DR121" s="145" t="s">
        <v>317</v>
      </c>
      <c r="DS121" s="145" t="s">
        <v>317</v>
      </c>
      <c r="DT121" s="145" t="s">
        <v>317</v>
      </c>
      <c r="DU121" s="145" t="s">
        <v>317</v>
      </c>
      <c r="DV121" s="145" t="s">
        <v>317</v>
      </c>
      <c r="DW121" s="145" t="s">
        <v>317</v>
      </c>
      <c r="DX121" s="145" t="s">
        <v>317</v>
      </c>
      <c r="DY121" s="145">
        <v>70.921002388000488</v>
      </c>
      <c r="DZ121" s="145">
        <v>36.68327808380127</v>
      </c>
      <c r="EA121" s="145" t="s">
        <v>317</v>
      </c>
      <c r="EB121" s="145" t="s">
        <v>317</v>
      </c>
      <c r="EC121" s="145" t="s">
        <v>317</v>
      </c>
      <c r="ED121" s="145" t="s">
        <v>317</v>
      </c>
      <c r="EE121" s="145" t="s">
        <v>317</v>
      </c>
      <c r="EF121" s="145" t="s">
        <v>370</v>
      </c>
    </row>
    <row r="122" spans="1:136" s="145" customFormat="1">
      <c r="A122" s="145" t="s">
        <v>369</v>
      </c>
      <c r="B122" s="145" t="s">
        <v>44</v>
      </c>
      <c r="C122" s="145" t="s">
        <v>368</v>
      </c>
      <c r="D122" s="145">
        <v>2009</v>
      </c>
      <c r="E122" s="145" t="s">
        <v>367</v>
      </c>
      <c r="F122" s="145" t="s">
        <v>352</v>
      </c>
      <c r="G122" s="145" t="s">
        <v>351</v>
      </c>
      <c r="H122" s="145" t="s">
        <v>366</v>
      </c>
      <c r="I122" s="145" t="s">
        <v>365</v>
      </c>
      <c r="J122" s="145" t="s">
        <v>364</v>
      </c>
      <c r="K122" s="145" t="s">
        <v>347</v>
      </c>
      <c r="L122" s="145" t="s">
        <v>363</v>
      </c>
      <c r="M122" s="145" t="s">
        <v>317</v>
      </c>
      <c r="N122" s="145" t="s">
        <v>317</v>
      </c>
      <c r="O122" s="145" t="s">
        <v>362</v>
      </c>
      <c r="P122" s="145" t="s">
        <v>344</v>
      </c>
      <c r="Q122" s="145" t="s">
        <v>343</v>
      </c>
      <c r="R122" s="145" t="s">
        <v>341</v>
      </c>
      <c r="S122" s="145" t="s">
        <v>342</v>
      </c>
      <c r="T122" s="145" t="s">
        <v>341</v>
      </c>
      <c r="U122" s="145" t="s">
        <v>359</v>
      </c>
      <c r="V122" s="145" t="s">
        <v>339</v>
      </c>
      <c r="W122" s="145" t="s">
        <v>317</v>
      </c>
      <c r="X122" s="145" t="s">
        <v>317</v>
      </c>
      <c r="Y122" s="145" t="s">
        <v>317</v>
      </c>
      <c r="Z122" s="145" t="s">
        <v>317</v>
      </c>
      <c r="AA122" s="145" t="s">
        <v>317</v>
      </c>
      <c r="AB122" s="145" t="s">
        <v>317</v>
      </c>
      <c r="AC122" s="145" t="s">
        <v>317</v>
      </c>
      <c r="AD122" s="145" t="s">
        <v>317</v>
      </c>
      <c r="AE122" s="145" t="s">
        <v>338</v>
      </c>
      <c r="AF122" s="145" t="s">
        <v>317</v>
      </c>
      <c r="AG122" s="145" t="s">
        <v>317</v>
      </c>
      <c r="AH122" s="145" t="s">
        <v>317</v>
      </c>
      <c r="AI122" s="145" t="s">
        <v>317</v>
      </c>
      <c r="AJ122" s="145" t="s">
        <v>317</v>
      </c>
      <c r="AK122" s="145" t="s">
        <v>317</v>
      </c>
      <c r="AL122" s="145" t="s">
        <v>317</v>
      </c>
      <c r="AM122" s="145" t="s">
        <v>361</v>
      </c>
      <c r="AN122" s="145" t="s">
        <v>317</v>
      </c>
      <c r="AO122" s="145" t="s">
        <v>317</v>
      </c>
      <c r="AP122" s="145" t="s">
        <v>317</v>
      </c>
      <c r="AQ122" s="145" t="s">
        <v>317</v>
      </c>
      <c r="AR122" s="145" t="s">
        <v>317</v>
      </c>
      <c r="AS122" s="145" t="s">
        <v>317</v>
      </c>
      <c r="AT122" s="145" t="s">
        <v>317</v>
      </c>
      <c r="AU122" s="145" t="s">
        <v>335</v>
      </c>
      <c r="AV122" s="145" t="s">
        <v>360</v>
      </c>
      <c r="AW122" s="145" t="s">
        <v>317</v>
      </c>
      <c r="AX122" s="145" t="s">
        <v>317</v>
      </c>
      <c r="AY122" s="145" t="s">
        <v>317</v>
      </c>
      <c r="AZ122" s="145" t="s">
        <v>317</v>
      </c>
      <c r="BA122" s="145" t="s">
        <v>317</v>
      </c>
      <c r="BB122" s="145" t="s">
        <v>317</v>
      </c>
      <c r="BC122" s="145" t="s">
        <v>317</v>
      </c>
      <c r="BD122" s="145" t="s">
        <v>359</v>
      </c>
      <c r="BE122" s="145" t="s">
        <v>358</v>
      </c>
      <c r="BF122" s="145" t="s">
        <v>331</v>
      </c>
      <c r="BG122" s="145" t="s">
        <v>331</v>
      </c>
      <c r="BH122" s="145" t="s">
        <v>331</v>
      </c>
      <c r="BI122" s="145" t="s">
        <v>331</v>
      </c>
      <c r="BJ122" s="145" t="s">
        <v>317</v>
      </c>
      <c r="BK122" s="145" t="s">
        <v>324</v>
      </c>
      <c r="BL122" s="145" t="s">
        <v>329</v>
      </c>
      <c r="BM122" s="145" t="s">
        <v>328</v>
      </c>
      <c r="BN122" s="145" t="s">
        <v>327</v>
      </c>
      <c r="BO122" s="145" t="s">
        <v>357</v>
      </c>
      <c r="BP122" s="145" t="s">
        <v>326</v>
      </c>
      <c r="BQ122" s="145" t="s">
        <v>317</v>
      </c>
      <c r="BR122" s="145" t="s">
        <v>326</v>
      </c>
      <c r="BS122" s="145" t="s">
        <v>356</v>
      </c>
      <c r="BT122" s="145" t="s">
        <v>317</v>
      </c>
      <c r="BU122" s="145" t="s">
        <v>324</v>
      </c>
      <c r="BV122" s="145" t="s">
        <v>317</v>
      </c>
      <c r="BW122" s="145" t="s">
        <v>326</v>
      </c>
      <c r="BX122" s="145" t="s">
        <v>317</v>
      </c>
      <c r="BY122" s="145" t="s">
        <v>317</v>
      </c>
      <c r="BZ122" s="145" t="s">
        <v>317</v>
      </c>
      <c r="CA122" s="145" t="s">
        <v>317</v>
      </c>
      <c r="CB122" s="145">
        <v>2005</v>
      </c>
      <c r="CC122" s="145" t="s">
        <v>320</v>
      </c>
      <c r="CD122" s="145" t="s">
        <v>212</v>
      </c>
      <c r="CE122" s="145" t="s">
        <v>317</v>
      </c>
      <c r="CF122" s="145">
        <v>45</v>
      </c>
      <c r="CG122" s="145" t="s">
        <v>318</v>
      </c>
      <c r="CH122" s="145" t="s">
        <v>317</v>
      </c>
      <c r="CI122" s="147">
        <v>87.542839050292969</v>
      </c>
      <c r="CJ122" s="145">
        <v>8.6309843063354492</v>
      </c>
      <c r="CK122" s="145">
        <v>87.542839050292969</v>
      </c>
      <c r="CL122" s="145" t="s">
        <v>317</v>
      </c>
      <c r="CM122" s="145">
        <v>40.688926219940186</v>
      </c>
      <c r="CN122" s="145">
        <v>38.222931265830994</v>
      </c>
      <c r="CO122" s="145" t="s">
        <v>317</v>
      </c>
      <c r="CP122" s="145" t="s">
        <v>317</v>
      </c>
      <c r="CQ122" s="145" t="s">
        <v>317</v>
      </c>
      <c r="CR122" s="145">
        <v>8.6309843063354492</v>
      </c>
      <c r="CS122" s="145" t="s">
        <v>317</v>
      </c>
      <c r="CT122" s="145" t="s">
        <v>317</v>
      </c>
      <c r="CU122" s="145" t="s">
        <v>317</v>
      </c>
      <c r="CV122" s="145" t="s">
        <v>317</v>
      </c>
      <c r="CW122" s="145">
        <v>40.688926219940186</v>
      </c>
      <c r="CX122" s="145" t="s">
        <v>317</v>
      </c>
      <c r="CY122" s="145">
        <v>11.096980094909668</v>
      </c>
      <c r="CZ122" s="145" t="s">
        <v>317</v>
      </c>
      <c r="DA122" s="145">
        <v>27.125951170921326</v>
      </c>
      <c r="DB122" s="145" t="s">
        <v>317</v>
      </c>
      <c r="DC122" s="145">
        <v>19.727964401245117</v>
      </c>
      <c r="DD122" s="145">
        <v>35.756935119628906</v>
      </c>
      <c r="DE122" s="145">
        <v>32.057942271232605</v>
      </c>
      <c r="DF122" s="145" t="s">
        <v>317</v>
      </c>
      <c r="DG122" s="145" t="s">
        <v>317</v>
      </c>
      <c r="DH122" s="145" t="s">
        <v>317</v>
      </c>
      <c r="DI122" s="145">
        <v>19.727964401245117</v>
      </c>
      <c r="DJ122" s="145" t="s">
        <v>317</v>
      </c>
      <c r="DK122" s="145" t="s">
        <v>317</v>
      </c>
      <c r="DL122" s="145" t="s">
        <v>317</v>
      </c>
      <c r="DM122" s="145" t="s">
        <v>317</v>
      </c>
      <c r="DN122" s="145" t="s">
        <v>317</v>
      </c>
      <c r="DO122" s="145" t="s">
        <v>317</v>
      </c>
      <c r="DP122" s="145" t="s">
        <v>317</v>
      </c>
      <c r="DQ122" s="145" t="s">
        <v>317</v>
      </c>
      <c r="DR122" s="145" t="s">
        <v>317</v>
      </c>
      <c r="DS122" s="145" t="s">
        <v>317</v>
      </c>
      <c r="DT122" s="145" t="s">
        <v>317</v>
      </c>
      <c r="DU122" s="145">
        <v>35.756935119628906</v>
      </c>
      <c r="DV122" s="145" t="s">
        <v>317</v>
      </c>
      <c r="DW122" s="145" t="s">
        <v>317</v>
      </c>
      <c r="DX122" s="145">
        <v>16.028971195220947</v>
      </c>
      <c r="DY122" s="145">
        <v>16.028971076011658</v>
      </c>
      <c r="DZ122" s="145">
        <v>36.989933490753174</v>
      </c>
      <c r="EA122" s="145" t="s">
        <v>317</v>
      </c>
      <c r="EB122" s="145">
        <v>1.2329977750778198</v>
      </c>
      <c r="EC122" s="145" t="s">
        <v>317</v>
      </c>
      <c r="ED122" s="145" t="s">
        <v>317</v>
      </c>
      <c r="EE122" s="145">
        <v>8.6309843063354492</v>
      </c>
      <c r="EF122" s="145" t="s">
        <v>316</v>
      </c>
    </row>
    <row r="123" spans="1:136" s="145" customFormat="1">
      <c r="A123" s="145" t="s">
        <v>355</v>
      </c>
      <c r="B123" s="145" t="s">
        <v>44</v>
      </c>
      <c r="C123" s="145" t="s">
        <v>354</v>
      </c>
      <c r="D123" s="145">
        <v>2006</v>
      </c>
      <c r="E123" s="145" t="s">
        <v>353</v>
      </c>
      <c r="F123" s="145" t="s">
        <v>352</v>
      </c>
      <c r="G123" s="145" t="s">
        <v>351</v>
      </c>
      <c r="H123" s="145" t="s">
        <v>350</v>
      </c>
      <c r="I123" s="145" t="s">
        <v>349</v>
      </c>
      <c r="J123" s="145" t="s">
        <v>348</v>
      </c>
      <c r="K123" s="145" t="s">
        <v>347</v>
      </c>
      <c r="L123" s="145" t="s">
        <v>346</v>
      </c>
      <c r="M123" s="145" t="s">
        <v>317</v>
      </c>
      <c r="N123" s="145" t="s">
        <v>345</v>
      </c>
      <c r="O123" s="145" t="s">
        <v>343</v>
      </c>
      <c r="P123" s="145" t="s">
        <v>344</v>
      </c>
      <c r="Q123" s="145" t="s">
        <v>343</v>
      </c>
      <c r="R123" s="145" t="s">
        <v>341</v>
      </c>
      <c r="S123" s="145" t="s">
        <v>342</v>
      </c>
      <c r="T123" s="145" t="s">
        <v>341</v>
      </c>
      <c r="U123" s="145" t="s">
        <v>340</v>
      </c>
      <c r="V123" s="145" t="s">
        <v>339</v>
      </c>
      <c r="W123" s="145" t="s">
        <v>317</v>
      </c>
      <c r="X123" s="145" t="s">
        <v>317</v>
      </c>
      <c r="Y123" s="145" t="s">
        <v>317</v>
      </c>
      <c r="Z123" s="145" t="s">
        <v>317</v>
      </c>
      <c r="AA123" s="145" t="s">
        <v>317</v>
      </c>
      <c r="AB123" s="145" t="s">
        <v>317</v>
      </c>
      <c r="AC123" s="145" t="s">
        <v>317</v>
      </c>
      <c r="AD123" s="145" t="s">
        <v>317</v>
      </c>
      <c r="AE123" s="145" t="s">
        <v>338</v>
      </c>
      <c r="AF123" s="145" t="s">
        <v>337</v>
      </c>
      <c r="AG123" s="145" t="s">
        <v>317</v>
      </c>
      <c r="AH123" s="145" t="s">
        <v>317</v>
      </c>
      <c r="AI123" s="145" t="s">
        <v>317</v>
      </c>
      <c r="AJ123" s="145" t="s">
        <v>317</v>
      </c>
      <c r="AK123" s="145" t="s">
        <v>317</v>
      </c>
      <c r="AL123" s="145" t="s">
        <v>317</v>
      </c>
      <c r="AM123" s="145" t="s">
        <v>317</v>
      </c>
      <c r="AN123" s="145">
        <v>1</v>
      </c>
      <c r="AO123" s="145">
        <v>2001</v>
      </c>
      <c r="AP123" s="145">
        <v>6</v>
      </c>
      <c r="AQ123" s="145">
        <v>2002</v>
      </c>
      <c r="AR123" s="145">
        <v>18</v>
      </c>
      <c r="AS123" s="145" t="s">
        <v>336</v>
      </c>
      <c r="AT123" s="145" t="s">
        <v>317</v>
      </c>
      <c r="AU123" s="145" t="s">
        <v>335</v>
      </c>
      <c r="AV123" s="145" t="s">
        <v>334</v>
      </c>
      <c r="AW123" s="145" t="s">
        <v>317</v>
      </c>
      <c r="AX123" s="145" t="s">
        <v>317</v>
      </c>
      <c r="AY123" s="145" t="s">
        <v>317</v>
      </c>
      <c r="AZ123" s="145" t="s">
        <v>317</v>
      </c>
      <c r="BA123" s="145" t="s">
        <v>317</v>
      </c>
      <c r="BB123" s="145" t="s">
        <v>317</v>
      </c>
      <c r="BC123" s="145" t="s">
        <v>317</v>
      </c>
      <c r="BD123" s="145" t="s">
        <v>333</v>
      </c>
      <c r="BE123" s="145" t="s">
        <v>332</v>
      </c>
      <c r="BF123" s="145" t="s">
        <v>331</v>
      </c>
      <c r="BG123" s="145" t="s">
        <v>331</v>
      </c>
      <c r="BH123" s="145" t="s">
        <v>330</v>
      </c>
      <c r="BI123" s="145" t="s">
        <v>330</v>
      </c>
      <c r="BJ123" s="145" t="s">
        <v>317</v>
      </c>
      <c r="BK123" s="145" t="s">
        <v>317</v>
      </c>
      <c r="BL123" s="145" t="s">
        <v>329</v>
      </c>
      <c r="BM123" s="145" t="s">
        <v>328</v>
      </c>
      <c r="BN123" s="145" t="s">
        <v>327</v>
      </c>
      <c r="BO123" s="145" t="s">
        <v>317</v>
      </c>
      <c r="BP123" s="145" t="s">
        <v>326</v>
      </c>
      <c r="BQ123" s="145" t="s">
        <v>317</v>
      </c>
      <c r="BR123" s="145" t="s">
        <v>326</v>
      </c>
      <c r="BS123" s="145" t="s">
        <v>325</v>
      </c>
      <c r="BT123" s="145" t="s">
        <v>317</v>
      </c>
      <c r="BU123" s="145" t="s">
        <v>324</v>
      </c>
      <c r="BV123" s="145" t="s">
        <v>323</v>
      </c>
      <c r="BW123" s="145" t="s">
        <v>322</v>
      </c>
      <c r="BX123" s="145" t="s">
        <v>321</v>
      </c>
      <c r="BY123" s="145" t="s">
        <v>317</v>
      </c>
      <c r="BZ123" s="145" t="s">
        <v>317</v>
      </c>
      <c r="CA123" s="145" t="s">
        <v>317</v>
      </c>
      <c r="CB123" s="145">
        <v>2002</v>
      </c>
      <c r="CC123" s="145" t="s">
        <v>320</v>
      </c>
      <c r="CD123" s="145" t="s">
        <v>212</v>
      </c>
      <c r="CE123" s="145" t="s">
        <v>319</v>
      </c>
      <c r="CF123" s="145">
        <v>48</v>
      </c>
      <c r="CG123" s="145" t="s">
        <v>318</v>
      </c>
      <c r="CH123" s="145" t="s">
        <v>317</v>
      </c>
      <c r="CI123" s="147">
        <v>153.38156127929688</v>
      </c>
      <c r="CJ123" s="145" t="s">
        <v>317</v>
      </c>
      <c r="CK123" s="145">
        <v>153.38156127929688</v>
      </c>
      <c r="CL123" s="145">
        <v>4.0012578964233398</v>
      </c>
      <c r="CM123" s="145">
        <v>36.011321067810059</v>
      </c>
      <c r="CN123" s="145">
        <v>113.36897850036621</v>
      </c>
      <c r="CO123" s="145" t="s">
        <v>317</v>
      </c>
      <c r="CP123" s="145" t="s">
        <v>317</v>
      </c>
      <c r="CQ123" s="145" t="s">
        <v>317</v>
      </c>
      <c r="CR123" s="145" t="s">
        <v>317</v>
      </c>
      <c r="CS123" s="145" t="s">
        <v>317</v>
      </c>
      <c r="CT123" s="145" t="s">
        <v>317</v>
      </c>
      <c r="CU123" s="145" t="s">
        <v>317</v>
      </c>
      <c r="CV123" s="145">
        <v>4.0012578964233398</v>
      </c>
      <c r="CW123" s="145">
        <v>32.010063171386719</v>
      </c>
      <c r="CX123" s="145" t="s">
        <v>317</v>
      </c>
      <c r="CY123" s="145">
        <v>22.673795700073242</v>
      </c>
      <c r="CZ123" s="145" t="s">
        <v>317</v>
      </c>
      <c r="DA123" s="145">
        <v>90.695182800292969</v>
      </c>
      <c r="DB123" s="145" t="s">
        <v>317</v>
      </c>
      <c r="DC123" s="145" t="s">
        <v>317</v>
      </c>
      <c r="DD123" s="145" t="s">
        <v>317</v>
      </c>
      <c r="DE123" s="145">
        <v>306.76311874389648</v>
      </c>
      <c r="DF123" s="145" t="s">
        <v>317</v>
      </c>
      <c r="DG123" s="145" t="s">
        <v>317</v>
      </c>
      <c r="DH123" s="145" t="s">
        <v>317</v>
      </c>
      <c r="DI123" s="145" t="s">
        <v>317</v>
      </c>
      <c r="DJ123" s="145" t="s">
        <v>317</v>
      </c>
      <c r="DK123" s="145" t="s">
        <v>317</v>
      </c>
      <c r="DL123" s="145" t="s">
        <v>317</v>
      </c>
      <c r="DM123" s="145" t="s">
        <v>317</v>
      </c>
      <c r="DN123" s="145" t="s">
        <v>317</v>
      </c>
      <c r="DO123" s="145" t="s">
        <v>317</v>
      </c>
      <c r="DP123" s="145" t="s">
        <v>317</v>
      </c>
      <c r="DQ123" s="145" t="s">
        <v>317</v>
      </c>
      <c r="DR123" s="145" t="s">
        <v>317</v>
      </c>
      <c r="DS123" s="145" t="s">
        <v>317</v>
      </c>
      <c r="DT123" s="145" t="s">
        <v>317</v>
      </c>
      <c r="DU123" s="145" t="s">
        <v>317</v>
      </c>
      <c r="DV123" s="145" t="s">
        <v>317</v>
      </c>
      <c r="DW123" s="145" t="s">
        <v>317</v>
      </c>
      <c r="DX123" s="145">
        <v>306.76311874389648</v>
      </c>
      <c r="DY123" s="145" t="s">
        <v>317</v>
      </c>
      <c r="DZ123" s="145">
        <v>117.37023639678955</v>
      </c>
      <c r="EA123" s="145" t="s">
        <v>317</v>
      </c>
      <c r="EB123" s="145" t="s">
        <v>317</v>
      </c>
      <c r="EC123" s="145" t="s">
        <v>317</v>
      </c>
      <c r="ED123" s="145" t="s">
        <v>317</v>
      </c>
      <c r="EE123" s="145" t="s">
        <v>317</v>
      </c>
      <c r="EF123" s="145" t="s">
        <v>316</v>
      </c>
    </row>
    <row r="124" spans="1:136" s="145" customFormat="1">
      <c r="CI124" s="145" t="s">
        <v>541</v>
      </c>
    </row>
    <row r="125" spans="1:136" s="145" customFormat="1">
      <c r="CH125" s="146" t="s">
        <v>528</v>
      </c>
      <c r="CI125" s="145">
        <f>AVERAGE(CI122:CI123)</f>
        <v>120.46220016479492</v>
      </c>
    </row>
    <row r="126" spans="1:136" s="145" customFormat="1">
      <c r="CH126" s="146" t="s">
        <v>315</v>
      </c>
      <c r="CI126" s="145">
        <f>CI125/6</f>
        <v>20.077033360799152</v>
      </c>
    </row>
  </sheetData>
  <mergeCells count="10">
    <mergeCell ref="L82:L83"/>
    <mergeCell ref="M82:M83"/>
    <mergeCell ref="A84:A88"/>
    <mergeCell ref="K59:K60"/>
    <mergeCell ref="A61:A65"/>
    <mergeCell ref="C59:E59"/>
    <mergeCell ref="F59:H59"/>
    <mergeCell ref="C82:E82"/>
    <mergeCell ref="F82:J82"/>
    <mergeCell ref="K82:K83"/>
  </mergeCells>
  <hyperlinks>
    <hyperlink ref="J120" r:id="rId1" xr:uid="{ECE866D6-32EF-4074-B9D3-635CA3F20879}"/>
    <hyperlink ref="J121" r:id="rId2" xr:uid="{E0B32DEE-ACDC-4553-90BB-E317DF984F79}"/>
  </hyperlinks>
  <pageMargins left="0.7" right="0.7" top="0.75" bottom="0.75" header="0.3" footer="0.3"/>
  <legacyDrawing r:id="rId3"/>
  <tableParts count="1">
    <tablePart r:id="rId4"/>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4BFD3-A116-4EB3-B6D5-6E9E19FAB58A}">
  <dimension ref="A1:W56"/>
  <sheetViews>
    <sheetView showGridLines="0" topLeftCell="D1" workbookViewId="0">
      <selection activeCell="Q8" sqref="Q8"/>
    </sheetView>
  </sheetViews>
  <sheetFormatPr defaultRowHeight="12"/>
  <cols>
    <col min="1" max="1" width="30.109375" style="68" customWidth="1"/>
    <col min="2" max="2" width="14.109375" style="68" customWidth="1"/>
    <col min="3" max="3" width="11.77734375" style="68" bestFit="1" customWidth="1"/>
    <col min="4" max="4" width="20.5546875" style="68" customWidth="1"/>
    <col min="5" max="5" width="11" style="68" customWidth="1"/>
    <col min="6" max="7" width="8.88671875" style="68"/>
    <col min="8" max="8" width="16.6640625" style="68" customWidth="1"/>
    <col min="9" max="9" width="15.44140625" style="68" customWidth="1"/>
    <col min="10" max="10" width="12.33203125" style="68" customWidth="1"/>
    <col min="11" max="11" width="9.88671875" style="68" customWidth="1"/>
    <col min="12" max="12" width="53.33203125" style="68" customWidth="1"/>
    <col min="13" max="16384" width="8.88671875" style="68"/>
  </cols>
  <sheetData>
    <row r="1" spans="1:23" ht="12.6" thickBot="1">
      <c r="A1" s="67" t="s">
        <v>180</v>
      </c>
      <c r="N1" s="68" t="s">
        <v>181</v>
      </c>
    </row>
    <row r="2" spans="1:23" ht="15" customHeight="1" thickBot="1">
      <c r="F2" s="295" t="s">
        <v>182</v>
      </c>
      <c r="G2" s="296"/>
      <c r="H2" s="296"/>
      <c r="I2" s="296"/>
      <c r="J2" s="69"/>
      <c r="K2" s="70"/>
      <c r="O2" s="71" t="s">
        <v>183</v>
      </c>
      <c r="P2" s="72" t="s">
        <v>184</v>
      </c>
      <c r="Q2" s="73" t="s">
        <v>185</v>
      </c>
      <c r="R2" s="72" t="s">
        <v>186</v>
      </c>
      <c r="S2" s="73" t="s">
        <v>187</v>
      </c>
      <c r="T2" s="72" t="s">
        <v>188</v>
      </c>
      <c r="U2" s="74" t="s">
        <v>189</v>
      </c>
    </row>
    <row r="3" spans="1:23" ht="24.6" thickBot="1">
      <c r="A3" s="75" t="s">
        <v>190</v>
      </c>
      <c r="B3" s="76" t="s">
        <v>191</v>
      </c>
      <c r="C3" s="77" t="s">
        <v>192</v>
      </c>
      <c r="D3" s="76" t="s">
        <v>193</v>
      </c>
      <c r="E3" s="76" t="s">
        <v>194</v>
      </c>
      <c r="F3" s="77" t="s">
        <v>195</v>
      </c>
      <c r="G3" s="77" t="s">
        <v>196</v>
      </c>
      <c r="H3" s="77" t="s">
        <v>197</v>
      </c>
      <c r="I3" s="77" t="s">
        <v>198</v>
      </c>
      <c r="J3" s="77" t="s">
        <v>2</v>
      </c>
      <c r="K3" s="77" t="s">
        <v>3</v>
      </c>
      <c r="L3" s="77" t="s">
        <v>199</v>
      </c>
      <c r="N3" s="78" t="s">
        <v>200</v>
      </c>
      <c r="O3" s="79">
        <v>2357</v>
      </c>
      <c r="P3" s="80">
        <v>1364</v>
      </c>
      <c r="Q3" s="81">
        <v>262</v>
      </c>
      <c r="R3" s="80">
        <v>1334</v>
      </c>
      <c r="S3" s="81">
        <v>1416</v>
      </c>
      <c r="T3" s="80">
        <v>1988</v>
      </c>
      <c r="U3" s="82">
        <v>1379</v>
      </c>
    </row>
    <row r="4" spans="1:23" ht="36.6" thickBot="1">
      <c r="A4" s="83" t="s">
        <v>201</v>
      </c>
      <c r="B4" s="84" t="s">
        <v>27</v>
      </c>
      <c r="C4" s="85" t="s">
        <v>202</v>
      </c>
      <c r="D4" s="84" t="s">
        <v>203</v>
      </c>
      <c r="E4" s="84" t="s">
        <v>204</v>
      </c>
      <c r="F4" s="85">
        <v>0</v>
      </c>
      <c r="G4" s="85">
        <v>0</v>
      </c>
      <c r="H4" s="85" t="s">
        <v>205</v>
      </c>
      <c r="I4" s="85" t="s">
        <v>205</v>
      </c>
      <c r="J4" s="85" t="s">
        <v>206</v>
      </c>
      <c r="K4" s="85" t="s">
        <v>16</v>
      </c>
      <c r="L4" s="86" t="s">
        <v>207</v>
      </c>
      <c r="N4" s="87" t="s">
        <v>208</v>
      </c>
      <c r="O4" s="80">
        <v>3119</v>
      </c>
      <c r="P4" s="88">
        <v>1418</v>
      </c>
      <c r="Q4" s="80">
        <v>1572</v>
      </c>
      <c r="R4" s="88">
        <v>2509</v>
      </c>
      <c r="S4" s="80">
        <v>1780</v>
      </c>
      <c r="T4" s="88">
        <v>2467</v>
      </c>
      <c r="U4" s="80">
        <v>1818</v>
      </c>
    </row>
    <row r="5" spans="1:23" ht="24.6" thickBot="1">
      <c r="A5" s="83" t="s">
        <v>209</v>
      </c>
      <c r="B5" s="84" t="s">
        <v>210</v>
      </c>
      <c r="C5" s="85" t="s">
        <v>211</v>
      </c>
      <c r="D5" s="84" t="s">
        <v>203</v>
      </c>
      <c r="E5" s="84" t="s">
        <v>212</v>
      </c>
      <c r="F5" s="85">
        <v>0</v>
      </c>
      <c r="G5" s="85">
        <v>0</v>
      </c>
      <c r="H5" s="85" t="s">
        <v>213</v>
      </c>
      <c r="I5" s="85" t="s">
        <v>205</v>
      </c>
      <c r="J5" s="85" t="s">
        <v>214</v>
      </c>
      <c r="K5" s="85" t="s">
        <v>215</v>
      </c>
      <c r="L5" s="86" t="s">
        <v>216</v>
      </c>
      <c r="N5" s="78" t="s">
        <v>217</v>
      </c>
      <c r="O5" s="89">
        <v>11126</v>
      </c>
      <c r="P5" s="80">
        <v>1602</v>
      </c>
      <c r="Q5" s="88">
        <v>2112</v>
      </c>
      <c r="R5" s="80">
        <v>2615</v>
      </c>
      <c r="S5" s="88">
        <v>3459</v>
      </c>
      <c r="T5" s="80">
        <v>6493</v>
      </c>
      <c r="U5" s="90">
        <v>1894</v>
      </c>
    </row>
    <row r="6" spans="1:23" ht="24.6" thickBot="1">
      <c r="A6" s="83" t="s">
        <v>218</v>
      </c>
      <c r="B6" s="84" t="s">
        <v>187</v>
      </c>
      <c r="C6" s="85" t="s">
        <v>219</v>
      </c>
      <c r="D6" s="84" t="s">
        <v>203</v>
      </c>
      <c r="E6" s="84" t="s">
        <v>204</v>
      </c>
      <c r="F6" s="85"/>
      <c r="G6" s="85">
        <v>0</v>
      </c>
      <c r="H6" s="85" t="s">
        <v>220</v>
      </c>
      <c r="I6" s="85" t="s">
        <v>205</v>
      </c>
      <c r="J6" s="85">
        <v>5.0999999999999996</v>
      </c>
      <c r="K6" s="85" t="s">
        <v>16</v>
      </c>
      <c r="L6" s="86" t="s">
        <v>221</v>
      </c>
      <c r="N6" s="91" t="s">
        <v>222</v>
      </c>
      <c r="O6" s="80">
        <v>48202</v>
      </c>
      <c r="P6" s="92">
        <v>13122</v>
      </c>
      <c r="Q6" s="80">
        <v>17128</v>
      </c>
      <c r="R6" s="92">
        <v>13502</v>
      </c>
      <c r="S6" s="80">
        <v>19054</v>
      </c>
      <c r="T6" s="92">
        <v>48934</v>
      </c>
      <c r="U6" s="80">
        <v>37212</v>
      </c>
    </row>
    <row r="7" spans="1:23" ht="48.6" thickBot="1">
      <c r="A7" s="83" t="s">
        <v>223</v>
      </c>
      <c r="B7" s="84" t="s">
        <v>27</v>
      </c>
      <c r="C7" s="85" t="s">
        <v>224</v>
      </c>
      <c r="D7" s="84" t="s">
        <v>203</v>
      </c>
      <c r="E7" s="84" t="s">
        <v>204</v>
      </c>
      <c r="F7" s="85" t="s">
        <v>225</v>
      </c>
      <c r="G7" s="85" t="s">
        <v>226</v>
      </c>
      <c r="H7" s="85" t="s">
        <v>227</v>
      </c>
      <c r="I7" s="85" t="s">
        <v>228</v>
      </c>
      <c r="J7" s="85"/>
      <c r="K7" s="85"/>
      <c r="L7" s="86" t="s">
        <v>229</v>
      </c>
      <c r="N7" s="93" t="s">
        <v>230</v>
      </c>
      <c r="O7" s="94">
        <v>1.4</v>
      </c>
      <c r="P7" s="95">
        <v>2</v>
      </c>
      <c r="Q7" s="94">
        <v>9</v>
      </c>
      <c r="R7" s="95">
        <v>2</v>
      </c>
      <c r="S7" s="94">
        <v>2</v>
      </c>
      <c r="T7" s="95">
        <v>1</v>
      </c>
      <c r="U7" s="96">
        <v>2</v>
      </c>
    </row>
    <row r="8" spans="1:23" ht="48.6" thickBot="1">
      <c r="A8" s="97" t="s">
        <v>231</v>
      </c>
      <c r="B8" s="98" t="s">
        <v>210</v>
      </c>
      <c r="C8" s="85" t="s">
        <v>211</v>
      </c>
      <c r="D8" s="98" t="s">
        <v>203</v>
      </c>
      <c r="E8" s="99" t="s">
        <v>204</v>
      </c>
      <c r="F8" s="100" t="s">
        <v>205</v>
      </c>
      <c r="G8" s="100" t="s">
        <v>205</v>
      </c>
      <c r="H8" s="100" t="s">
        <v>205</v>
      </c>
      <c r="I8" s="100" t="s">
        <v>205</v>
      </c>
      <c r="J8" s="100">
        <v>1.8</v>
      </c>
      <c r="K8" s="101" t="s">
        <v>215</v>
      </c>
      <c r="L8" s="102" t="s">
        <v>232</v>
      </c>
      <c r="N8" s="103" t="s">
        <v>233</v>
      </c>
      <c r="O8" s="94">
        <v>2.29</v>
      </c>
      <c r="P8" s="68">
        <f>O8*0.18</f>
        <v>0.41220000000000001</v>
      </c>
      <c r="Q8" s="266">
        <f>O8-P8</f>
        <v>1.8778000000000001</v>
      </c>
      <c r="S8" s="68" t="s">
        <v>68</v>
      </c>
      <c r="T8" s="68">
        <v>1.38</v>
      </c>
      <c r="U8" s="68">
        <f>T8*0.18</f>
        <v>0.24839999999999998</v>
      </c>
      <c r="V8" s="267">
        <f>T8-U8</f>
        <v>1.1315999999999999</v>
      </c>
      <c r="W8" s="108"/>
    </row>
    <row r="9" spans="1:23">
      <c r="A9" s="104"/>
      <c r="B9" s="105"/>
      <c r="C9" s="106"/>
      <c r="D9" s="105"/>
      <c r="E9" s="105"/>
      <c r="F9" s="106"/>
      <c r="G9" s="106"/>
      <c r="H9" s="106"/>
      <c r="I9" s="106"/>
      <c r="J9" s="106"/>
      <c r="K9" s="106"/>
      <c r="L9" s="107"/>
      <c r="S9" s="68" t="s">
        <v>69</v>
      </c>
      <c r="T9" s="68">
        <v>2.93</v>
      </c>
      <c r="U9" s="68">
        <f>T9*0.18</f>
        <v>0.52739999999999998</v>
      </c>
      <c r="V9" s="267">
        <f>T9-U9</f>
        <v>2.4026000000000001</v>
      </c>
      <c r="W9" s="108"/>
    </row>
    <row r="10" spans="1:23">
      <c r="F10" s="68">
        <f>20/100</f>
        <v>0.2</v>
      </c>
      <c r="G10" s="68">
        <f>3/1000</f>
        <v>3.0000000000000001E-3</v>
      </c>
      <c r="I10" s="68">
        <f>20/1000</f>
        <v>0.02</v>
      </c>
      <c r="J10" s="108">
        <f>((82+116)/2)/exch_rate</f>
        <v>1.5137614678899081</v>
      </c>
      <c r="N10" s="67"/>
    </row>
    <row r="11" spans="1:23" ht="12.6" thickBot="1">
      <c r="N11" s="68" t="s">
        <v>234</v>
      </c>
      <c r="Q11" s="68" t="s">
        <v>235</v>
      </c>
    </row>
    <row r="12" spans="1:23" ht="12.6" thickBot="1">
      <c r="A12" s="67" t="s">
        <v>236</v>
      </c>
      <c r="C12" s="68" t="s">
        <v>237</v>
      </c>
      <c r="O12" s="295" t="s">
        <v>208</v>
      </c>
      <c r="P12" s="297"/>
      <c r="Q12" s="295" t="s">
        <v>217</v>
      </c>
      <c r="R12" s="296"/>
      <c r="S12" s="296"/>
      <c r="T12" s="297"/>
    </row>
    <row r="13" spans="1:23" ht="24.6" thickBot="1">
      <c r="O13" s="109" t="s">
        <v>238</v>
      </c>
      <c r="P13" s="96" t="s">
        <v>239</v>
      </c>
      <c r="Q13" s="109" t="s">
        <v>238</v>
      </c>
      <c r="R13" s="94" t="s">
        <v>240</v>
      </c>
      <c r="S13" s="94" t="s">
        <v>185</v>
      </c>
      <c r="T13" s="96" t="s">
        <v>239</v>
      </c>
    </row>
    <row r="14" spans="1:23" s="112" customFormat="1">
      <c r="A14" s="110" t="s">
        <v>241</v>
      </c>
      <c r="B14" s="110" t="s">
        <v>3</v>
      </c>
      <c r="C14" s="110" t="s">
        <v>2</v>
      </c>
      <c r="D14" s="111" t="s">
        <v>242</v>
      </c>
      <c r="N14" s="72" t="s">
        <v>243</v>
      </c>
      <c r="O14" s="113">
        <v>159</v>
      </c>
      <c r="P14" s="114">
        <v>725</v>
      </c>
      <c r="Q14" s="113">
        <v>60</v>
      </c>
      <c r="R14" s="115">
        <v>671</v>
      </c>
      <c r="S14" s="115">
        <v>650</v>
      </c>
      <c r="T14" s="114">
        <v>274</v>
      </c>
    </row>
    <row r="15" spans="1:23">
      <c r="A15" s="116" t="s">
        <v>244</v>
      </c>
      <c r="B15" s="117" t="s">
        <v>245</v>
      </c>
      <c r="C15" s="118">
        <f>((1000*districts)+(1000*B30)+(1000*B29))/'India - TB'!O12</f>
        <v>466223.88059701491</v>
      </c>
      <c r="D15" s="68" t="s">
        <v>246</v>
      </c>
      <c r="N15" s="119" t="s">
        <v>247</v>
      </c>
      <c r="O15" s="120">
        <v>228</v>
      </c>
      <c r="P15" s="121">
        <v>70</v>
      </c>
      <c r="Q15" s="120">
        <v>170</v>
      </c>
      <c r="R15" s="122">
        <v>1</v>
      </c>
      <c r="S15" s="122">
        <v>13</v>
      </c>
      <c r="T15" s="121">
        <v>162</v>
      </c>
    </row>
    <row r="16" spans="1:23">
      <c r="A16" s="116" t="s">
        <v>196</v>
      </c>
      <c r="B16" s="117" t="s">
        <v>245</v>
      </c>
      <c r="C16" s="118">
        <f>(10000*districts+50*B33)/'India - TB'!O12</f>
        <v>110456.71641791044</v>
      </c>
      <c r="D16" s="68" t="s">
        <v>248</v>
      </c>
      <c r="N16" s="119" t="s">
        <v>249</v>
      </c>
      <c r="O16" s="120">
        <v>55</v>
      </c>
      <c r="P16" s="121">
        <v>134</v>
      </c>
      <c r="Q16" s="120">
        <v>24</v>
      </c>
      <c r="R16" s="122">
        <v>2</v>
      </c>
      <c r="S16" s="122">
        <v>207</v>
      </c>
      <c r="T16" s="121">
        <v>376</v>
      </c>
    </row>
    <row r="17" spans="1:20">
      <c r="A17" s="116" t="s">
        <v>250</v>
      </c>
      <c r="B17" s="117" t="s">
        <v>245</v>
      </c>
      <c r="C17" s="118">
        <f>(2000*(B29+B30))/'India - TB'!O12</f>
        <v>911343.28358208959</v>
      </c>
      <c r="D17" s="68" t="s">
        <v>251</v>
      </c>
      <c r="N17" s="119" t="s">
        <v>252</v>
      </c>
      <c r="O17" s="120">
        <v>1</v>
      </c>
      <c r="P17" s="121">
        <v>18</v>
      </c>
      <c r="Q17" s="120">
        <v>5</v>
      </c>
      <c r="R17" s="122">
        <v>36</v>
      </c>
      <c r="S17" s="122">
        <v>47</v>
      </c>
      <c r="T17" s="121">
        <v>99</v>
      </c>
    </row>
    <row r="18" spans="1:20">
      <c r="A18" s="116" t="s">
        <v>253</v>
      </c>
      <c r="B18" s="117" t="s">
        <v>245</v>
      </c>
      <c r="C18" s="118">
        <f>((100*3*B31*states)+(800*2*states*B31*B34))/'India - TB'!O12</f>
        <v>3160567.1641791044</v>
      </c>
      <c r="D18" s="68" t="s">
        <v>254</v>
      </c>
      <c r="N18" s="119" t="s">
        <v>255</v>
      </c>
      <c r="O18" s="120">
        <v>32</v>
      </c>
      <c r="P18" s="121">
        <v>145</v>
      </c>
      <c r="Q18" s="120">
        <v>13</v>
      </c>
      <c r="R18" s="122">
        <v>8</v>
      </c>
      <c r="S18" s="122">
        <v>64</v>
      </c>
      <c r="T18" s="121">
        <v>101</v>
      </c>
    </row>
    <row r="19" spans="1:20">
      <c r="A19" s="116" t="s">
        <v>256</v>
      </c>
      <c r="B19" s="117" t="s">
        <v>245</v>
      </c>
      <c r="C19" s="118">
        <f>(((200*14)+(600*2)+(1000*2))*states)/'India - TB'!O12</f>
        <v>2597.0149253731342</v>
      </c>
      <c r="D19" s="68" t="s">
        <v>257</v>
      </c>
      <c r="N19" s="119" t="s">
        <v>258</v>
      </c>
      <c r="O19" s="120">
        <v>4</v>
      </c>
      <c r="P19" s="121">
        <v>33</v>
      </c>
      <c r="Q19" s="120">
        <v>11</v>
      </c>
      <c r="R19" s="122">
        <v>4</v>
      </c>
      <c r="S19" s="122">
        <v>14</v>
      </c>
      <c r="T19" s="121">
        <v>14</v>
      </c>
    </row>
    <row r="20" spans="1:20">
      <c r="A20" s="116" t="s">
        <v>259</v>
      </c>
      <c r="B20" s="117" t="s">
        <v>245</v>
      </c>
      <c r="C20" s="118">
        <f>(100*30*30)/'India - TB'!O12</f>
        <v>1343.2835820895523</v>
      </c>
      <c r="D20" s="68" t="s">
        <v>260</v>
      </c>
      <c r="N20" s="119" t="s">
        <v>137</v>
      </c>
      <c r="O20" s="120">
        <v>9</v>
      </c>
      <c r="P20" s="121">
        <v>3</v>
      </c>
      <c r="Q20" s="120">
        <v>6</v>
      </c>
      <c r="R20" s="122">
        <v>1</v>
      </c>
      <c r="S20" s="122">
        <v>15</v>
      </c>
      <c r="T20" s="121">
        <v>13</v>
      </c>
    </row>
    <row r="21" spans="1:20">
      <c r="A21" s="116" t="s">
        <v>261</v>
      </c>
      <c r="B21" s="117" t="s">
        <v>245</v>
      </c>
      <c r="C21" s="118">
        <f>(800*B31*states*B33)/'India - TB'!O12</f>
        <v>45790567.164179102</v>
      </c>
      <c r="D21" s="68" t="s">
        <v>262</v>
      </c>
      <c r="N21" s="119" t="s">
        <v>263</v>
      </c>
      <c r="O21" s="120">
        <v>0</v>
      </c>
      <c r="P21" s="121">
        <v>1</v>
      </c>
      <c r="Q21" s="120">
        <v>1</v>
      </c>
      <c r="R21" s="122">
        <v>0</v>
      </c>
      <c r="S21" s="122">
        <v>0</v>
      </c>
      <c r="T21" s="121">
        <v>3</v>
      </c>
    </row>
    <row r="22" spans="1:20" ht="14.4">
      <c r="A22" s="116" t="s">
        <v>264</v>
      </c>
      <c r="B22" s="117" t="s">
        <v>245</v>
      </c>
      <c r="C22" s="143">
        <f>((50000*states)+((20*H22)/1500))/'India - TB'!O12</f>
        <v>285158.47840796021</v>
      </c>
      <c r="D22" s="68" t="s">
        <v>265</v>
      </c>
      <c r="G22" t="s">
        <v>312</v>
      </c>
      <c r="H22" s="144">
        <v>1324171354</v>
      </c>
      <c r="I22" s="2" t="s">
        <v>313</v>
      </c>
      <c r="J22"/>
      <c r="N22" s="119" t="s">
        <v>266</v>
      </c>
      <c r="O22" s="120">
        <v>14</v>
      </c>
      <c r="P22" s="121">
        <v>1</v>
      </c>
      <c r="Q22" s="120">
        <v>0</v>
      </c>
      <c r="R22" s="122">
        <v>37</v>
      </c>
      <c r="S22" s="122">
        <v>0</v>
      </c>
      <c r="T22" s="121">
        <v>1</v>
      </c>
    </row>
    <row r="23" spans="1:20">
      <c r="A23" s="116" t="s">
        <v>267</v>
      </c>
      <c r="B23" s="123" t="s">
        <v>16</v>
      </c>
      <c r="C23" s="118">
        <f>5/'India - TB'!O12</f>
        <v>7.4626865671641784E-2</v>
      </c>
      <c r="N23" s="119" t="s">
        <v>268</v>
      </c>
      <c r="O23" s="120">
        <v>4</v>
      </c>
      <c r="P23" s="121">
        <v>7</v>
      </c>
      <c r="Q23" s="120">
        <v>2</v>
      </c>
      <c r="R23" s="122">
        <v>0</v>
      </c>
      <c r="S23" s="122">
        <v>1</v>
      </c>
      <c r="T23" s="121">
        <v>395</v>
      </c>
    </row>
    <row r="24" spans="1:20" ht="12.6" thickBot="1">
      <c r="A24" s="116" t="s">
        <v>269</v>
      </c>
      <c r="B24" s="117" t="s">
        <v>245</v>
      </c>
      <c r="C24" s="118">
        <f>(50000*states)/'India - TB'!O12</f>
        <v>21641.791044776121</v>
      </c>
      <c r="N24" s="124" t="s">
        <v>270</v>
      </c>
      <c r="O24" s="125">
        <v>0</v>
      </c>
      <c r="P24" s="126">
        <v>660</v>
      </c>
      <c r="Q24" s="125">
        <v>0</v>
      </c>
      <c r="R24" s="127">
        <v>0</v>
      </c>
      <c r="S24" s="127">
        <v>0</v>
      </c>
      <c r="T24" s="126">
        <v>0</v>
      </c>
    </row>
    <row r="25" spans="1:20" ht="12.6" thickBot="1">
      <c r="A25" s="128"/>
      <c r="B25" s="122"/>
      <c r="C25" s="129"/>
      <c r="N25" s="130" t="s">
        <v>271</v>
      </c>
      <c r="O25" s="131">
        <v>507</v>
      </c>
      <c r="P25" s="132">
        <v>1797</v>
      </c>
      <c r="Q25" s="131">
        <v>291</v>
      </c>
      <c r="R25" s="133">
        <v>759</v>
      </c>
      <c r="S25" s="133">
        <v>1012</v>
      </c>
      <c r="T25" s="132">
        <v>1439</v>
      </c>
    </row>
    <row r="26" spans="1:20" ht="12.6" thickBot="1">
      <c r="A26" s="68" t="s">
        <v>272</v>
      </c>
    </row>
    <row r="27" spans="1:20" ht="12.6" thickBot="1">
      <c r="A27" s="68" t="s">
        <v>273</v>
      </c>
      <c r="B27" s="68">
        <v>29</v>
      </c>
      <c r="O27" s="298" t="s">
        <v>208</v>
      </c>
      <c r="P27" s="299"/>
      <c r="Q27" s="298" t="s">
        <v>217</v>
      </c>
      <c r="R27" s="300"/>
      <c r="S27" s="300"/>
      <c r="T27" s="299"/>
    </row>
    <row r="28" spans="1:20" ht="12.6" thickBot="1">
      <c r="A28" s="68" t="s">
        <v>274</v>
      </c>
      <c r="B28" s="68">
        <v>707</v>
      </c>
      <c r="N28" s="68" t="s">
        <v>275</v>
      </c>
      <c r="O28" s="131" t="s">
        <v>276</v>
      </c>
      <c r="P28" s="132" t="s">
        <v>239</v>
      </c>
      <c r="Q28" s="131" t="s">
        <v>276</v>
      </c>
      <c r="R28" s="133" t="s">
        <v>240</v>
      </c>
      <c r="S28" s="133" t="s">
        <v>185</v>
      </c>
      <c r="T28" s="132" t="s">
        <v>239</v>
      </c>
    </row>
    <row r="29" spans="1:20">
      <c r="A29" s="68" t="s">
        <v>277</v>
      </c>
      <c r="B29" s="68">
        <v>5510</v>
      </c>
      <c r="D29" s="68" t="s">
        <v>278</v>
      </c>
      <c r="N29" s="72" t="s">
        <v>279</v>
      </c>
      <c r="O29" s="134">
        <f>((O16+O17)*PRODUCT('[1]DS Treatment'!$Q$5:$Q$9))/exch_rate</f>
        <v>0.89204171024566625</v>
      </c>
      <c r="P29" s="135">
        <f>((P16+P17)*PRODUCT('[1]DS Treatment'!$Q$6:$Q$9))/exch_rate</f>
        <v>2.3994456819406711</v>
      </c>
      <c r="Q29" s="134">
        <f>((Q16+Q17)*PRODUCT('[1]DS Treatment'!$Q$5:$Q$9))/exch_rate</f>
        <v>0.46195017137722005</v>
      </c>
      <c r="R29" s="136">
        <f>((R16+R17)*PRODUCT('[1]DS Treatment'!$Q$6:$Q$9))/exch_rate</f>
        <v>0.59986142048516777</v>
      </c>
      <c r="S29" s="136">
        <f>((S16+S17)*PRODUCT('[1]DS Treatment'!$Q$6:$Q$9))/exch_rate</f>
        <v>4.0096000211376994</v>
      </c>
      <c r="T29" s="135">
        <f>((T16+T17)*PRODUCT('[1]DS Treatment'!$Q$6:$Q$9))/exch_rate</f>
        <v>7.4982677560645969</v>
      </c>
    </row>
    <row r="30" spans="1:20" ht="12.6" thickBot="1">
      <c r="A30" s="68" t="s">
        <v>280</v>
      </c>
      <c r="B30" s="68">
        <v>25020</v>
      </c>
      <c r="D30" s="68" t="s">
        <v>281</v>
      </c>
      <c r="N30" s="119" t="s">
        <v>282</v>
      </c>
      <c r="O30" s="137">
        <f>((O25*PRODUCT('[1]DS Treatment'!$Q$5:$Q$9))/exch_rate)-O29</f>
        <v>7.1841216307284901</v>
      </c>
      <c r="P30" s="138">
        <f>((P25*PRODUCT('[1]DS Treatment'!$Q$6:$Q$9))/exch_rate)-P29</f>
        <v>25.96768517626581</v>
      </c>
      <c r="Q30" s="137">
        <f>((Q25*PRODUCT('[1]DS Treatment'!$Q$5:$Q$9))/exch_rate)-Q29</f>
        <v>4.1734808586493672</v>
      </c>
      <c r="R30" s="128">
        <f>((R25*PRODUCT('[1]DS Treatment'!$Q$6:$Q$9))/exch_rate)-R29</f>
        <v>11.381581162363315</v>
      </c>
      <c r="S30" s="128">
        <f>((S25*PRODUCT('[1]DS Treatment'!$Q$6:$Q$9))/exch_rate)-S29</f>
        <v>11.96565675599361</v>
      </c>
      <c r="T30" s="138">
        <f>((T25*PRODUCT('[1]DS Treatment'!$Q$6:$Q$9))/exch_rate)-T29</f>
        <v>15.217537088097412</v>
      </c>
    </row>
    <row r="31" spans="1:20" ht="12.6" thickBot="1">
      <c r="A31" s="68" t="s">
        <v>283</v>
      </c>
      <c r="B31" s="68">
        <v>20</v>
      </c>
      <c r="N31" s="139" t="s">
        <v>271</v>
      </c>
      <c r="O31" s="71">
        <f>((O25*PRODUCT('[1]DS Treatment'!$Q$5:$Q$9))/exch_rate)</f>
        <v>8.0761633409741567</v>
      </c>
      <c r="P31" s="74">
        <f>((P25*PRODUCT('[1]DS Treatment'!$Q$6:$Q$9))/exch_rate)</f>
        <v>28.367130858206483</v>
      </c>
      <c r="Q31" s="71">
        <f>((Q25*PRODUCT('[1]DS Treatment'!$Q$5:$Q$9))/exch_rate)</f>
        <v>4.6354310300265871</v>
      </c>
      <c r="R31" s="73">
        <f>((R25*PRODUCT('[1]DS Treatment'!$Q$6:$Q$9))/exch_rate)</f>
        <v>11.981442582848482</v>
      </c>
      <c r="S31" s="73">
        <f>((S25*PRODUCT('[1]DS Treatment'!$Q$6:$Q$9))/exch_rate)</f>
        <v>15.975256777131309</v>
      </c>
      <c r="T31" s="74">
        <f>((T25*PRODUCT('[1]DS Treatment'!$Q$6:$Q$9))/exch_rate)</f>
        <v>22.715804844162008</v>
      </c>
    </row>
    <row r="32" spans="1:20">
      <c r="A32" s="68" t="s">
        <v>284</v>
      </c>
      <c r="B32" s="68">
        <v>4</v>
      </c>
      <c r="N32" s="68" t="s">
        <v>285</v>
      </c>
      <c r="O32" s="68">
        <f>SUM(O31:T31)/6</f>
        <v>15.291871572224837</v>
      </c>
    </row>
    <row r="33" spans="1:15">
      <c r="A33" s="68" t="s">
        <v>286</v>
      </c>
      <c r="B33" s="68">
        <v>6612</v>
      </c>
      <c r="C33" s="68" t="s">
        <v>287</v>
      </c>
      <c r="D33" s="68" t="s">
        <v>288</v>
      </c>
      <c r="N33" s="68" t="s">
        <v>289</v>
      </c>
      <c r="O33" s="68">
        <f>SUM(O30:T30)/6</f>
        <v>12.648343778683001</v>
      </c>
    </row>
    <row r="34" spans="1:15">
      <c r="A34" s="68" t="s">
        <v>290</v>
      </c>
      <c r="B34" s="68">
        <f>B33/states</f>
        <v>228</v>
      </c>
    </row>
    <row r="38" spans="1:15" ht="13.8">
      <c r="A38" s="140"/>
      <c r="B38" s="294" t="s">
        <v>291</v>
      </c>
      <c r="C38" s="294"/>
      <c r="D38" s="294"/>
    </row>
    <row r="39" spans="1:15" ht="13.8">
      <c r="A39" s="141"/>
      <c r="B39" s="141" t="s">
        <v>292</v>
      </c>
      <c r="C39" s="141" t="s">
        <v>293</v>
      </c>
      <c r="D39" s="141" t="s">
        <v>55</v>
      </c>
    </row>
    <row r="40" spans="1:15" ht="13.8">
      <c r="A40" s="17" t="s">
        <v>294</v>
      </c>
      <c r="B40" s="32">
        <f>C16</f>
        <v>110456.71641791044</v>
      </c>
      <c r="C40" s="20">
        <v>1</v>
      </c>
      <c r="D40" s="22">
        <f>B40*C40</f>
        <v>110456.71641791044</v>
      </c>
    </row>
    <row r="41" spans="1:15" ht="13.8">
      <c r="A41" s="17" t="s">
        <v>295</v>
      </c>
      <c r="B41" s="32">
        <f>C17</f>
        <v>911343.28358208959</v>
      </c>
      <c r="C41" s="20">
        <v>1</v>
      </c>
      <c r="D41" s="22">
        <f t="shared" ref="D41:D55" si="0">B41*C41</f>
        <v>911343.28358208959</v>
      </c>
    </row>
    <row r="42" spans="1:15" ht="13.8">
      <c r="A42" s="17" t="s">
        <v>296</v>
      </c>
      <c r="B42" s="21"/>
      <c r="C42" s="20"/>
      <c r="D42" s="22"/>
    </row>
    <row r="43" spans="1:15" ht="13.8">
      <c r="A43" s="17" t="s">
        <v>297</v>
      </c>
      <c r="B43" s="21"/>
      <c r="C43" s="20"/>
      <c r="D43" s="22"/>
    </row>
    <row r="44" spans="1:15" ht="13.8">
      <c r="A44" s="17" t="s">
        <v>298</v>
      </c>
      <c r="B44" s="21"/>
      <c r="C44" s="20"/>
      <c r="D44" s="22"/>
    </row>
    <row r="45" spans="1:15" ht="13.8">
      <c r="A45" s="17" t="s">
        <v>299</v>
      </c>
      <c r="B45" s="21"/>
      <c r="C45" s="20"/>
      <c r="D45" s="22"/>
    </row>
    <row r="46" spans="1:15" ht="13.8">
      <c r="A46" s="17" t="s">
        <v>300</v>
      </c>
      <c r="B46" s="21"/>
      <c r="C46" s="20"/>
      <c r="D46" s="22"/>
    </row>
    <row r="47" spans="1:15" ht="13.8">
      <c r="A47" s="17" t="s">
        <v>301</v>
      </c>
      <c r="B47" s="21"/>
      <c r="C47" s="20"/>
      <c r="D47" s="22"/>
    </row>
    <row r="48" spans="1:15" ht="13.8">
      <c r="A48" s="17" t="s">
        <v>302</v>
      </c>
      <c r="B48" s="21"/>
      <c r="C48" s="20"/>
      <c r="D48" s="22"/>
    </row>
    <row r="49" spans="1:5" ht="13.8">
      <c r="A49" s="17" t="s">
        <v>303</v>
      </c>
      <c r="B49" s="32">
        <f>C21</f>
        <v>45790567.164179102</v>
      </c>
      <c r="C49" s="20">
        <v>1</v>
      </c>
      <c r="D49" s="22">
        <f t="shared" si="0"/>
        <v>45790567.164179102</v>
      </c>
    </row>
    <row r="50" spans="1:5" ht="13.8">
      <c r="A50" s="17" t="s">
        <v>304</v>
      </c>
      <c r="B50" s="32">
        <f>C20</f>
        <v>1343.2835820895523</v>
      </c>
      <c r="C50" s="20">
        <v>1</v>
      </c>
      <c r="D50" s="22">
        <f t="shared" si="0"/>
        <v>1343.2835820895523</v>
      </c>
    </row>
    <row r="51" spans="1:5" ht="13.8">
      <c r="A51" s="17" t="s">
        <v>305</v>
      </c>
      <c r="B51" s="32">
        <f>C19</f>
        <v>2597.0149253731342</v>
      </c>
      <c r="C51" s="20">
        <v>1</v>
      </c>
      <c r="D51" s="22">
        <f t="shared" si="0"/>
        <v>2597.0149253731342</v>
      </c>
    </row>
    <row r="52" spans="1:5" ht="13.8">
      <c r="A52" s="17" t="s">
        <v>306</v>
      </c>
      <c r="B52" s="32">
        <f>C15</f>
        <v>466223.88059701491</v>
      </c>
      <c r="C52" s="20">
        <v>1</v>
      </c>
      <c r="D52" s="22">
        <f t="shared" si="0"/>
        <v>466223.88059701491</v>
      </c>
    </row>
    <row r="53" spans="1:5" ht="13.8">
      <c r="A53" s="17" t="s">
        <v>307</v>
      </c>
      <c r="B53" s="32">
        <f>C23</f>
        <v>7.4626865671641784E-2</v>
      </c>
      <c r="C53" s="20">
        <f>'[1]Vaccine costs (routine)'!I67</f>
        <v>0</v>
      </c>
      <c r="D53" s="22">
        <f t="shared" si="0"/>
        <v>0</v>
      </c>
      <c r="E53" s="68" t="s">
        <v>311</v>
      </c>
    </row>
    <row r="54" spans="1:5" ht="13.8">
      <c r="A54" s="17" t="s">
        <v>308</v>
      </c>
      <c r="B54" s="32">
        <f>C24+C18</f>
        <v>3182208.9552238807</v>
      </c>
      <c r="C54" s="20">
        <v>1</v>
      </c>
      <c r="D54" s="22">
        <f t="shared" si="0"/>
        <v>3182208.9552238807</v>
      </c>
    </row>
    <row r="55" spans="1:5" ht="13.8">
      <c r="A55" s="17" t="s">
        <v>309</v>
      </c>
      <c r="B55" s="32">
        <f>C22</f>
        <v>285158.47840796021</v>
      </c>
      <c r="C55" s="20">
        <v>1</v>
      </c>
      <c r="D55" s="22">
        <f t="shared" si="0"/>
        <v>285158.47840796021</v>
      </c>
    </row>
    <row r="56" spans="1:5" ht="13.8">
      <c r="A56" s="142" t="s">
        <v>310</v>
      </c>
      <c r="B56" s="21"/>
      <c r="C56" s="21"/>
      <c r="D56" s="22">
        <f>SUM(D40:D55)</f>
        <v>50749898.776915424</v>
      </c>
      <c r="E56" s="68" t="s">
        <v>314</v>
      </c>
    </row>
  </sheetData>
  <mergeCells count="6">
    <mergeCell ref="B38:D38"/>
    <mergeCell ref="F2:I2"/>
    <mergeCell ref="O12:P12"/>
    <mergeCell ref="Q12:T12"/>
    <mergeCell ref="O27:P27"/>
    <mergeCell ref="Q27:T27"/>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AB616-044E-496D-AEB1-A5230DE58E64}">
  <dimension ref="A2:CF259"/>
  <sheetViews>
    <sheetView workbookViewId="0">
      <selection activeCell="A218" sqref="A218"/>
    </sheetView>
  </sheetViews>
  <sheetFormatPr defaultRowHeight="14.4"/>
  <cols>
    <col min="2" max="3" width="12.88671875" bestFit="1" customWidth="1"/>
    <col min="4" max="4" width="18.109375" bestFit="1" customWidth="1"/>
    <col min="5" max="6" width="18.109375" customWidth="1"/>
    <col min="7" max="7" width="18.109375" bestFit="1" customWidth="1"/>
    <col min="8" max="8" width="10.77734375" bestFit="1" customWidth="1"/>
    <col min="9" max="9" width="9" bestFit="1" customWidth="1"/>
    <col min="11" max="11" width="9.109375" bestFit="1" customWidth="1"/>
    <col min="12" max="12" width="11.77734375" customWidth="1"/>
    <col min="15" max="15" width="10.33203125" bestFit="1" customWidth="1"/>
  </cols>
  <sheetData>
    <row r="2" spans="1:15">
      <c r="A2" t="s">
        <v>105</v>
      </c>
      <c r="B2" t="s">
        <v>75</v>
      </c>
      <c r="C2" t="s">
        <v>68</v>
      </c>
      <c r="D2" t="s">
        <v>69</v>
      </c>
      <c r="G2" t="s">
        <v>77</v>
      </c>
    </row>
    <row r="3" spans="1:15">
      <c r="A3" t="s">
        <v>18</v>
      </c>
      <c r="B3" t="s">
        <v>20</v>
      </c>
      <c r="C3" s="221">
        <f>((2*D117)+D109+(0.5*D107))</f>
        <v>21.628725430103298</v>
      </c>
      <c r="D3" s="221">
        <f>((3*D117)+D109+(D113))</f>
        <v>32.469193454103319</v>
      </c>
      <c r="E3" s="221"/>
      <c r="F3" s="221"/>
      <c r="G3" t="s">
        <v>1106</v>
      </c>
    </row>
    <row r="4" spans="1:15">
      <c r="A4" t="s">
        <v>851</v>
      </c>
      <c r="B4" t="s">
        <v>20</v>
      </c>
      <c r="C4">
        <f>13.2</f>
        <v>13.2</v>
      </c>
      <c r="D4" s="221">
        <f>D115</f>
        <v>23.613249739202672</v>
      </c>
      <c r="E4" s="221"/>
      <c r="F4" s="221"/>
      <c r="G4" s="36" t="s">
        <v>1114</v>
      </c>
      <c r="H4" t="s">
        <v>852</v>
      </c>
    </row>
    <row r="5" spans="1:15" ht="15" thickBot="1">
      <c r="A5" t="s">
        <v>21</v>
      </c>
      <c r="C5" s="221">
        <f>(I76+J76+6*D117)/6</f>
        <v>27.13660754315714</v>
      </c>
      <c r="D5" s="221">
        <f>(I76+J76+6*D118)/6</f>
        <v>29.684047590782559</v>
      </c>
      <c r="E5" s="221"/>
      <c r="F5" s="221"/>
      <c r="G5" t="s">
        <v>1078</v>
      </c>
    </row>
    <row r="6" spans="1:15" ht="15.6" thickTop="1" thickBot="1">
      <c r="A6" t="s">
        <v>849</v>
      </c>
      <c r="C6" s="26">
        <f>(D129-(D129*0.23)+L82)</f>
        <v>377.29415806966932</v>
      </c>
      <c r="D6" s="179">
        <f>F6</f>
        <v>861.72560614332792</v>
      </c>
      <c r="E6" s="179">
        <f>(D128-(D128*0.23)+M229)</f>
        <v>746.84245242718225</v>
      </c>
      <c r="F6" s="307">
        <f>(D130-(D130*0.23)+AT214)</f>
        <v>861.72560614332792</v>
      </c>
      <c r="G6" t="s">
        <v>1125</v>
      </c>
    </row>
    <row r="7" spans="1:15" ht="15.6" thickTop="1" thickBot="1">
      <c r="A7" t="s">
        <v>847</v>
      </c>
      <c r="C7" s="26">
        <f>(D129-(D129*0.23)+K255)</f>
        <v>276.77387140300266</v>
      </c>
      <c r="D7" s="26">
        <f>(D130-(D130*0.23)+M255)</f>
        <v>413.8416606887825</v>
      </c>
      <c r="E7" s="179">
        <f>(D128-(D128*0.23)+(K255+M255)/2)</f>
        <v>346.28735242718221</v>
      </c>
      <c r="F7" s="307">
        <f>(D130-(D130*0.23)+AT213)</f>
        <v>1397.0596970524186</v>
      </c>
      <c r="G7" t="s">
        <v>1126</v>
      </c>
    </row>
    <row r="8" spans="1:15" ht="15" thickTop="1">
      <c r="G8" s="157"/>
    </row>
    <row r="9" spans="1:15">
      <c r="E9" s="26"/>
      <c r="F9" s="26"/>
      <c r="G9" s="306"/>
      <c r="H9" s="26"/>
    </row>
    <row r="10" spans="1:15" s="37" customFormat="1">
      <c r="A10" s="37" t="s">
        <v>609</v>
      </c>
    </row>
    <row r="12" spans="1:15">
      <c r="A12" s="156" t="s">
        <v>598</v>
      </c>
      <c r="B12" s="156" t="s">
        <v>559</v>
      </c>
      <c r="C12" s="156" t="s">
        <v>597</v>
      </c>
      <c r="D12" s="156" t="s">
        <v>558</v>
      </c>
      <c r="E12" s="156"/>
      <c r="F12" s="156"/>
      <c r="G12" s="156" t="s">
        <v>557</v>
      </c>
      <c r="H12" s="156" t="s">
        <v>556</v>
      </c>
      <c r="I12" s="156"/>
      <c r="J12" s="156"/>
      <c r="K12" s="157"/>
      <c r="L12" s="157"/>
      <c r="M12" s="157"/>
      <c r="N12" s="157"/>
      <c r="O12" s="157"/>
    </row>
    <row r="13" spans="1:15">
      <c r="A13" s="158" t="s">
        <v>599</v>
      </c>
      <c r="B13" s="159">
        <v>71.927192444379529</v>
      </c>
      <c r="C13" s="159">
        <f>B13*0.5</f>
        <v>35.963596222189764</v>
      </c>
      <c r="D13" s="159">
        <v>18.93114622465659</v>
      </c>
      <c r="E13" s="159"/>
      <c r="F13" s="159"/>
      <c r="G13" s="159">
        <v>11.414370595923639</v>
      </c>
      <c r="H13" s="156"/>
      <c r="I13" s="156" t="s">
        <v>593</v>
      </c>
      <c r="J13" s="156"/>
      <c r="K13" s="157"/>
      <c r="L13" s="157"/>
      <c r="M13" s="157"/>
      <c r="N13" s="157"/>
      <c r="O13" s="157"/>
    </row>
    <row r="14" spans="1:15">
      <c r="A14" s="158" t="s">
        <v>600</v>
      </c>
      <c r="B14" s="159">
        <v>35.150016065430115</v>
      </c>
      <c r="C14" s="159">
        <f>B14*0.5</f>
        <v>17.575008032715058</v>
      </c>
      <c r="D14" s="159">
        <v>11.185024805712482</v>
      </c>
      <c r="E14" s="159"/>
      <c r="F14" s="159"/>
      <c r="G14" s="159">
        <v>5.9577446525064843</v>
      </c>
      <c r="H14" s="156"/>
      <c r="I14" s="156" t="s">
        <v>592</v>
      </c>
      <c r="J14" s="156"/>
      <c r="K14" s="157"/>
      <c r="L14" s="157"/>
      <c r="M14" s="157"/>
      <c r="N14" s="157"/>
      <c r="O14" s="157"/>
    </row>
    <row r="15" spans="1:15">
      <c r="A15" s="158" t="s">
        <v>601</v>
      </c>
      <c r="B15" s="159">
        <v>11.091387955795726</v>
      </c>
      <c r="C15" s="159">
        <v>11.091387955795726</v>
      </c>
      <c r="D15" s="159">
        <v>2.5293223595537837</v>
      </c>
      <c r="E15" s="159"/>
      <c r="F15" s="159"/>
      <c r="G15" s="159">
        <v>0.46399880471234306</v>
      </c>
      <c r="H15" s="156"/>
      <c r="I15" s="156" t="s">
        <v>591</v>
      </c>
      <c r="J15" s="156"/>
      <c r="K15" s="157"/>
      <c r="L15" s="157"/>
      <c r="M15" s="157"/>
      <c r="N15" s="157"/>
      <c r="O15" s="157"/>
    </row>
    <row r="16" spans="1:15">
      <c r="A16" s="158" t="s">
        <v>602</v>
      </c>
      <c r="B16" s="159">
        <v>15.497695421636152</v>
      </c>
      <c r="C16" s="159">
        <v>15.497695421636152</v>
      </c>
      <c r="D16" s="159">
        <v>8.9163231272380585</v>
      </c>
      <c r="E16" s="159"/>
      <c r="F16" s="159"/>
      <c r="G16" s="159">
        <v>23.293112686362601</v>
      </c>
      <c r="H16" s="156"/>
      <c r="I16" s="156" t="s">
        <v>596</v>
      </c>
      <c r="J16" s="156"/>
      <c r="K16" s="157"/>
      <c r="L16" s="157"/>
      <c r="M16" s="157"/>
      <c r="N16" s="157"/>
      <c r="O16" s="157"/>
    </row>
    <row r="17" spans="1:15">
      <c r="A17" s="158" t="s">
        <v>603</v>
      </c>
      <c r="B17" s="159">
        <v>0.39282535786427136</v>
      </c>
      <c r="C17" s="159">
        <v>0.39282535786427136</v>
      </c>
      <c r="D17" s="159">
        <v>13.031646927246134</v>
      </c>
      <c r="E17" s="159"/>
      <c r="F17" s="159"/>
      <c r="G17" s="159">
        <v>5.7525635704165454</v>
      </c>
      <c r="H17" s="156"/>
      <c r="I17" s="156" t="s">
        <v>588</v>
      </c>
      <c r="J17" s="156"/>
      <c r="K17" s="157"/>
      <c r="L17" s="157"/>
      <c r="M17" s="157"/>
      <c r="N17" s="157"/>
      <c r="O17" s="157"/>
    </row>
    <row r="18" spans="1:15">
      <c r="A18" s="158" t="s">
        <v>604</v>
      </c>
      <c r="B18" s="159">
        <v>0.15373942219625267</v>
      </c>
      <c r="C18" s="159">
        <v>0.15373942219625267</v>
      </c>
      <c r="D18" s="159">
        <v>4.7285801955779876</v>
      </c>
      <c r="E18" s="159"/>
      <c r="F18" s="159"/>
      <c r="G18" s="159">
        <v>0.71061079399263194</v>
      </c>
      <c r="H18" s="156"/>
      <c r="I18" s="156" t="s">
        <v>587</v>
      </c>
      <c r="J18" s="156"/>
      <c r="K18" s="157"/>
      <c r="L18" s="157"/>
      <c r="M18" s="157"/>
      <c r="N18" s="157"/>
      <c r="O18" s="157"/>
    </row>
    <row r="19" spans="1:15">
      <c r="A19" s="158" t="s">
        <v>605</v>
      </c>
      <c r="B19" s="159">
        <v>14.326302020221144</v>
      </c>
      <c r="C19" s="159">
        <v>14.326302020221144</v>
      </c>
      <c r="D19" s="159">
        <v>22.547102176593729</v>
      </c>
      <c r="E19" s="159"/>
      <c r="F19" s="159"/>
      <c r="G19" s="159">
        <v>27.280686767469522</v>
      </c>
      <c r="H19" s="156"/>
      <c r="I19" s="156" t="s">
        <v>586</v>
      </c>
      <c r="J19" s="156"/>
      <c r="K19" s="157"/>
      <c r="L19" s="157"/>
      <c r="M19" s="157"/>
      <c r="N19" s="157"/>
      <c r="O19" s="157"/>
    </row>
    <row r="20" spans="1:15">
      <c r="A20" s="158" t="s">
        <v>606</v>
      </c>
      <c r="B20" s="159">
        <v>6.6172848970648041E-2</v>
      </c>
      <c r="C20" s="159">
        <v>6.6172848970648041E-2</v>
      </c>
      <c r="D20" s="159">
        <v>3.7448557134399847</v>
      </c>
      <c r="E20" s="159"/>
      <c r="F20" s="159"/>
      <c r="G20" s="159">
        <v>10.798778868891953</v>
      </c>
      <c r="H20" s="156"/>
      <c r="I20" s="156" t="s">
        <v>585</v>
      </c>
      <c r="J20" s="156"/>
      <c r="K20" s="157"/>
      <c r="L20" s="157"/>
      <c r="M20" s="157"/>
      <c r="N20" s="157"/>
      <c r="O20" s="157"/>
    </row>
    <row r="21" spans="1:15">
      <c r="A21" s="158" t="s">
        <v>607</v>
      </c>
      <c r="B21" s="159">
        <v>6.6172848970648037E-3</v>
      </c>
      <c r="C21" s="159">
        <v>6.6172848970648037E-3</v>
      </c>
      <c r="D21" s="159">
        <v>0.37448557134399846</v>
      </c>
      <c r="E21" s="159"/>
      <c r="F21" s="159"/>
      <c r="G21" s="159">
        <v>1.0798778868891952</v>
      </c>
      <c r="H21" s="156"/>
      <c r="I21" s="156" t="s">
        <v>584</v>
      </c>
      <c r="J21" s="156"/>
      <c r="K21" s="157"/>
      <c r="L21" s="157"/>
      <c r="M21" s="157"/>
      <c r="N21" s="157"/>
      <c r="O21" s="157"/>
    </row>
    <row r="22" spans="1:15">
      <c r="A22" s="160" t="s">
        <v>595</v>
      </c>
      <c r="B22" s="161">
        <f>SUM(B13:B21)</f>
        <v>148.61194882139088</v>
      </c>
      <c r="C22" s="161">
        <f>SUM(C13:C21)</f>
        <v>95.073344566486085</v>
      </c>
      <c r="D22" s="161">
        <f>SUM(D13:D21)</f>
        <v>85.98848710136275</v>
      </c>
      <c r="E22" s="161"/>
      <c r="F22" s="161"/>
      <c r="G22" s="161">
        <f>SUM(G13:G21)</f>
        <v>86.751744627164925</v>
      </c>
      <c r="H22" s="162" t="s">
        <v>582</v>
      </c>
      <c r="I22" s="163"/>
      <c r="J22" s="163"/>
      <c r="K22" s="157"/>
      <c r="L22" s="157"/>
      <c r="M22" s="157"/>
      <c r="N22" s="157"/>
      <c r="O22" s="157"/>
    </row>
    <row r="23" spans="1:15">
      <c r="A23" s="157"/>
      <c r="B23" s="157"/>
      <c r="C23" s="157"/>
      <c r="D23" s="157"/>
      <c r="E23" s="157"/>
      <c r="F23" s="157"/>
      <c r="G23" s="157"/>
      <c r="H23" s="157"/>
      <c r="I23" s="157"/>
      <c r="J23" s="157"/>
      <c r="K23" s="157"/>
      <c r="L23" s="157"/>
      <c r="M23" s="157"/>
      <c r="N23" s="157"/>
      <c r="O23" s="157"/>
    </row>
    <row r="24" spans="1:15">
      <c r="A24" s="158" t="s">
        <v>594</v>
      </c>
      <c r="B24" s="157"/>
      <c r="C24" s="157"/>
      <c r="D24" s="157"/>
      <c r="E24" s="157"/>
      <c r="F24" s="157"/>
      <c r="G24" s="157"/>
      <c r="H24" s="157"/>
      <c r="I24" s="157"/>
      <c r="J24" s="157"/>
      <c r="L24" s="157"/>
      <c r="M24" s="157"/>
      <c r="N24" s="157"/>
      <c r="O24" s="157"/>
    </row>
    <row r="25" spans="1:15">
      <c r="A25" s="156"/>
      <c r="B25" s="156" t="s">
        <v>559</v>
      </c>
      <c r="C25" s="156" t="s">
        <v>558</v>
      </c>
      <c r="D25" s="156" t="s">
        <v>557</v>
      </c>
      <c r="E25" s="156"/>
      <c r="F25" s="156"/>
      <c r="G25" s="156" t="s">
        <v>556</v>
      </c>
      <c r="H25" s="156"/>
      <c r="I25" s="157"/>
      <c r="J25" s="157"/>
      <c r="L25" s="157"/>
      <c r="M25" s="157"/>
      <c r="N25" s="157"/>
      <c r="O25" s="157"/>
    </row>
    <row r="26" spans="1:15">
      <c r="A26" s="158" t="s">
        <v>599</v>
      </c>
      <c r="B26" s="156">
        <v>31.389846481326195</v>
      </c>
      <c r="C26" s="156">
        <v>0</v>
      </c>
      <c r="D26" s="156">
        <v>12.49551596317111</v>
      </c>
      <c r="E26" s="156"/>
      <c r="F26" s="156"/>
      <c r="G26" s="156"/>
      <c r="H26" s="156" t="s">
        <v>593</v>
      </c>
      <c r="I26" s="157"/>
      <c r="J26" s="157"/>
      <c r="K26" s="157"/>
      <c r="L26" s="157"/>
      <c r="M26" s="157"/>
      <c r="N26" s="157"/>
      <c r="O26" s="157"/>
    </row>
    <row r="27" spans="1:15">
      <c r="A27" s="158" t="s">
        <v>600</v>
      </c>
      <c r="B27" s="156">
        <v>18.33032832355028</v>
      </c>
      <c r="C27" s="159">
        <v>26.153053986601869</v>
      </c>
      <c r="D27" s="156">
        <v>2.4235322252780103</v>
      </c>
      <c r="E27" s="156"/>
      <c r="F27" s="156"/>
      <c r="G27" s="156"/>
      <c r="H27" s="156" t="s">
        <v>592</v>
      </c>
      <c r="I27" s="157"/>
      <c r="J27" s="157"/>
      <c r="K27" s="157"/>
      <c r="L27" s="157"/>
      <c r="M27" s="157"/>
      <c r="N27" s="157"/>
      <c r="O27" s="157"/>
    </row>
    <row r="28" spans="1:15">
      <c r="A28" s="158" t="s">
        <v>601</v>
      </c>
      <c r="B28" s="156">
        <v>7.3478752499516231</v>
      </c>
      <c r="C28" s="159">
        <v>2.7847103638513069</v>
      </c>
      <c r="D28" s="156">
        <v>0.35872294631113238</v>
      </c>
      <c r="E28" s="156"/>
      <c r="F28" s="156"/>
      <c r="G28" s="156"/>
      <c r="H28" s="156" t="s">
        <v>591</v>
      </c>
      <c r="I28" s="157"/>
      <c r="J28" s="157"/>
      <c r="K28" s="157"/>
      <c r="L28" s="157"/>
      <c r="M28" s="157"/>
      <c r="N28" s="157"/>
      <c r="O28" s="157"/>
    </row>
    <row r="29" spans="1:15">
      <c r="A29" s="164" t="s">
        <v>590</v>
      </c>
      <c r="B29" s="156">
        <v>3.5220780957558335</v>
      </c>
      <c r="C29" s="159">
        <v>17.867855365734833</v>
      </c>
      <c r="D29" s="156">
        <v>5.7161448887510407</v>
      </c>
      <c r="E29" s="156"/>
      <c r="F29" s="156"/>
      <c r="G29" s="156"/>
      <c r="H29" s="156" t="s">
        <v>589</v>
      </c>
      <c r="I29" s="157"/>
      <c r="J29" s="157"/>
      <c r="K29" s="157"/>
      <c r="L29" s="157"/>
      <c r="M29" s="157"/>
      <c r="N29" s="157"/>
      <c r="O29" s="157"/>
    </row>
    <row r="30" spans="1:15">
      <c r="A30" s="158" t="s">
        <v>603</v>
      </c>
      <c r="B30" s="156">
        <v>41.844960201251361</v>
      </c>
      <c r="C30" s="159">
        <v>11.369688690398004</v>
      </c>
      <c r="D30" s="156">
        <v>1.9855230815314828</v>
      </c>
      <c r="E30" s="156"/>
      <c r="F30" s="156"/>
      <c r="G30" s="156"/>
      <c r="H30" s="156" t="s">
        <v>588</v>
      </c>
      <c r="I30" s="157"/>
      <c r="J30" s="157"/>
      <c r="K30" s="157"/>
      <c r="L30" s="157"/>
      <c r="M30" s="157"/>
      <c r="N30" s="157"/>
      <c r="O30" s="157"/>
    </row>
    <row r="31" spans="1:15">
      <c r="A31" s="158" t="s">
        <v>604</v>
      </c>
      <c r="B31" s="156">
        <v>16.375006450364445</v>
      </c>
      <c r="C31" s="159">
        <v>4.1255326415342175</v>
      </c>
      <c r="D31" s="156">
        <v>0.24527049830683026</v>
      </c>
      <c r="E31" s="156"/>
      <c r="F31" s="156"/>
      <c r="G31" s="156"/>
      <c r="H31" s="156" t="s">
        <v>587</v>
      </c>
      <c r="I31" s="157"/>
      <c r="J31" s="157"/>
      <c r="K31" s="157"/>
      <c r="L31" s="157"/>
      <c r="M31" s="157"/>
      <c r="N31" s="157"/>
      <c r="O31" s="157"/>
    </row>
    <row r="32" spans="1:15">
      <c r="A32" s="158" t="s">
        <v>605</v>
      </c>
      <c r="B32" s="156">
        <v>152.59149841966072</v>
      </c>
      <c r="C32" s="159">
        <v>19.671614343885459</v>
      </c>
      <c r="D32" s="156">
        <v>25.097660614310076</v>
      </c>
      <c r="E32" s="156"/>
      <c r="F32" s="156"/>
      <c r="G32" s="156"/>
      <c r="H32" s="156" t="s">
        <v>586</v>
      </c>
      <c r="I32" s="157"/>
      <c r="J32" s="157"/>
      <c r="K32" s="157"/>
      <c r="L32" s="157"/>
      <c r="M32" s="157"/>
      <c r="N32" s="157"/>
      <c r="O32" s="157"/>
    </row>
    <row r="33" spans="1:15">
      <c r="A33" s="158" t="s">
        <v>606</v>
      </c>
      <c r="B33" s="156">
        <v>7.0481650916453482</v>
      </c>
      <c r="C33" s="159">
        <v>3.2672649811629415</v>
      </c>
      <c r="D33" s="156">
        <v>3.7272468933336529</v>
      </c>
      <c r="E33" s="156"/>
      <c r="F33" s="156"/>
      <c r="G33" s="156"/>
      <c r="H33" s="156" t="s">
        <v>585</v>
      </c>
      <c r="I33" s="157"/>
      <c r="J33" s="157"/>
      <c r="K33" s="157"/>
      <c r="L33" s="157"/>
      <c r="M33" s="157"/>
      <c r="N33" s="157"/>
      <c r="O33" s="157"/>
    </row>
    <row r="34" spans="1:15">
      <c r="A34" s="158" t="s">
        <v>607</v>
      </c>
      <c r="B34" s="156">
        <v>0.70481650916453487</v>
      </c>
      <c r="C34" s="159">
        <v>0.32672649811629417</v>
      </c>
      <c r="D34" s="156">
        <v>0.37272468933336528</v>
      </c>
      <c r="E34" s="156"/>
      <c r="F34" s="156"/>
      <c r="G34" s="156"/>
      <c r="H34" s="156" t="s">
        <v>584</v>
      </c>
      <c r="I34" s="157"/>
      <c r="J34" s="157"/>
      <c r="K34" s="157"/>
      <c r="L34" s="157"/>
      <c r="M34" s="157"/>
      <c r="N34" s="157"/>
      <c r="O34" s="157"/>
    </row>
    <row r="35" spans="1:15">
      <c r="A35" s="160" t="s">
        <v>583</v>
      </c>
      <c r="B35" s="163">
        <f>SUM(B26:B34)</f>
        <v>279.15457482267033</v>
      </c>
      <c r="C35" s="161">
        <f>SUM(C26:C34)</f>
        <v>85.566446871284924</v>
      </c>
      <c r="D35" s="163">
        <f>SUM(D26:D34)</f>
        <v>52.422341800326699</v>
      </c>
      <c r="E35" s="163"/>
      <c r="F35" s="163"/>
      <c r="G35" s="162" t="s">
        <v>582</v>
      </c>
      <c r="H35" s="161">
        <f>AVERAGE(C35:D35)</f>
        <v>68.994394335805808</v>
      </c>
      <c r="I35" s="157"/>
      <c r="J35" s="157"/>
      <c r="K35" s="157"/>
      <c r="L35" s="157"/>
      <c r="M35" s="157"/>
      <c r="N35" s="157"/>
      <c r="O35" s="157"/>
    </row>
    <row r="36" spans="1:15">
      <c r="A36" s="156"/>
      <c r="B36" s="301" t="s">
        <v>581</v>
      </c>
      <c r="C36" s="156"/>
      <c r="D36" s="156"/>
      <c r="E36" s="156"/>
      <c r="F36" s="156"/>
      <c r="G36" s="156"/>
      <c r="H36" s="156"/>
      <c r="I36" s="157"/>
      <c r="J36" s="157"/>
      <c r="K36" s="157"/>
      <c r="L36" s="157"/>
      <c r="M36" s="157"/>
      <c r="N36" s="157"/>
      <c r="O36" s="157"/>
    </row>
    <row r="37" spans="1:15">
      <c r="A37" s="156"/>
      <c r="B37" s="301"/>
      <c r="C37" s="156"/>
      <c r="D37" s="156"/>
      <c r="E37" s="156"/>
      <c r="F37" s="156"/>
      <c r="G37" s="156"/>
      <c r="H37" s="156"/>
      <c r="I37" s="157"/>
      <c r="J37" s="157"/>
      <c r="K37" s="157"/>
      <c r="L37" s="157"/>
      <c r="M37" s="157"/>
      <c r="N37" s="157"/>
      <c r="O37" s="157"/>
    </row>
    <row r="38" spans="1:15">
      <c r="A38" s="156"/>
      <c r="B38" s="301"/>
      <c r="C38" s="156"/>
      <c r="D38" s="156"/>
      <c r="E38" s="156"/>
      <c r="F38" s="156"/>
      <c r="G38" s="156"/>
      <c r="H38" s="156"/>
      <c r="I38" s="157"/>
      <c r="J38" s="157"/>
      <c r="K38" s="157"/>
      <c r="L38" s="157"/>
      <c r="M38" s="157"/>
      <c r="N38" s="157"/>
      <c r="O38" s="157"/>
    </row>
    <row r="39" spans="1:15">
      <c r="A39" s="156"/>
      <c r="B39" s="301"/>
      <c r="C39" s="156"/>
      <c r="D39" s="156"/>
      <c r="E39" s="156"/>
      <c r="F39" s="156"/>
      <c r="G39" s="156"/>
      <c r="H39" s="156"/>
      <c r="I39" s="157"/>
      <c r="J39" s="157"/>
      <c r="K39" s="157"/>
      <c r="L39" s="157"/>
      <c r="M39" s="157"/>
      <c r="N39" s="157"/>
      <c r="O39" s="157"/>
    </row>
    <row r="40" spans="1:15">
      <c r="A40" s="156"/>
      <c r="B40" s="301"/>
      <c r="C40" s="156"/>
      <c r="D40" s="156"/>
      <c r="E40" s="156"/>
      <c r="F40" s="156"/>
      <c r="G40" s="156"/>
      <c r="H40" s="156"/>
      <c r="I40" s="157"/>
      <c r="J40" s="157"/>
      <c r="K40" s="157"/>
      <c r="L40" s="157"/>
      <c r="M40" s="157"/>
      <c r="N40" s="157"/>
      <c r="O40" s="157"/>
    </row>
    <row r="41" spans="1:15">
      <c r="A41" s="157"/>
      <c r="B41" s="157"/>
      <c r="C41" s="157"/>
      <c r="D41" s="157"/>
      <c r="E41" s="157"/>
      <c r="F41" s="157"/>
      <c r="G41" s="157"/>
      <c r="H41" s="157"/>
      <c r="I41" s="157"/>
      <c r="J41" s="157"/>
      <c r="K41" s="157"/>
      <c r="L41" s="157"/>
      <c r="M41" s="157"/>
      <c r="N41" s="157"/>
      <c r="O41" s="157"/>
    </row>
    <row r="42" spans="1:15">
      <c r="A42" s="157" t="s">
        <v>834</v>
      </c>
      <c r="B42" s="157"/>
      <c r="C42" s="157"/>
      <c r="D42" s="157"/>
      <c r="E42" s="157"/>
      <c r="F42" s="157"/>
      <c r="G42" s="157"/>
      <c r="H42" s="157"/>
      <c r="I42" s="157"/>
      <c r="J42" s="157"/>
      <c r="K42" s="157"/>
      <c r="L42" s="157"/>
      <c r="M42" s="157"/>
      <c r="N42" s="157"/>
      <c r="O42" s="157"/>
    </row>
    <row r="43" spans="1:15">
      <c r="A43" s="156"/>
      <c r="B43" s="156" t="s">
        <v>559</v>
      </c>
      <c r="C43" s="156" t="s">
        <v>558</v>
      </c>
      <c r="D43" s="156" t="s">
        <v>557</v>
      </c>
      <c r="E43" s="156"/>
      <c r="F43" s="156"/>
      <c r="G43" s="156" t="s">
        <v>556</v>
      </c>
      <c r="H43" s="156"/>
      <c r="I43" s="156"/>
      <c r="J43" s="157"/>
      <c r="K43" s="157"/>
      <c r="L43" s="157"/>
      <c r="M43" s="157"/>
      <c r="N43" s="157"/>
      <c r="O43" s="157"/>
    </row>
    <row r="44" spans="1:15">
      <c r="A44" s="165" t="s">
        <v>608</v>
      </c>
      <c r="B44" s="156">
        <v>10397</v>
      </c>
      <c r="C44" s="156">
        <v>11720</v>
      </c>
      <c r="D44" s="156">
        <v>4641</v>
      </c>
      <c r="E44" s="156"/>
      <c r="F44" s="156"/>
      <c r="G44" s="156">
        <v>1880</v>
      </c>
      <c r="H44" s="156" t="s">
        <v>580</v>
      </c>
      <c r="I44" s="156"/>
      <c r="J44" s="157"/>
      <c r="K44" s="157"/>
      <c r="L44" s="157"/>
      <c r="M44" s="157"/>
      <c r="N44" s="157"/>
      <c r="O44" s="157"/>
    </row>
    <row r="45" spans="1:15">
      <c r="A45" s="166" t="s">
        <v>579</v>
      </c>
      <c r="B45" s="156">
        <v>23003</v>
      </c>
      <c r="C45" s="156">
        <v>71277</v>
      </c>
      <c r="D45" s="156">
        <v>22522</v>
      </c>
      <c r="E45" s="156"/>
      <c r="F45" s="156"/>
      <c r="G45" s="167">
        <v>5371.4285714285716</v>
      </c>
      <c r="H45" s="156"/>
      <c r="I45" s="156"/>
      <c r="J45" s="157"/>
      <c r="K45" s="157"/>
      <c r="L45" s="157"/>
      <c r="M45" s="157"/>
      <c r="N45" s="157"/>
      <c r="O45" s="157"/>
    </row>
    <row r="46" spans="1:15">
      <c r="A46" s="166" t="s">
        <v>578</v>
      </c>
      <c r="B46" s="156">
        <v>311832</v>
      </c>
      <c r="C46" s="156">
        <v>187800</v>
      </c>
      <c r="D46" s="156">
        <v>116400</v>
      </c>
      <c r="E46" s="156"/>
      <c r="F46" s="156"/>
      <c r="G46" s="156">
        <v>160000</v>
      </c>
      <c r="H46" s="156" t="s">
        <v>577</v>
      </c>
      <c r="I46" s="156"/>
      <c r="J46" s="157"/>
      <c r="K46" s="157"/>
      <c r="L46" s="157"/>
      <c r="M46" s="157"/>
      <c r="N46" s="157"/>
      <c r="O46" s="157"/>
    </row>
    <row r="47" spans="1:15">
      <c r="A47" s="164" t="s">
        <v>576</v>
      </c>
      <c r="B47" s="156">
        <v>4000000.0000000005</v>
      </c>
      <c r="C47" s="156">
        <v>1000000</v>
      </c>
      <c r="D47" s="156">
        <v>2630000</v>
      </c>
      <c r="E47" s="156"/>
      <c r="F47" s="156"/>
      <c r="G47" s="156">
        <v>8000000</v>
      </c>
      <c r="H47" s="156" t="s">
        <v>565</v>
      </c>
      <c r="I47" s="156"/>
      <c r="J47" s="157"/>
      <c r="K47" s="157"/>
      <c r="L47" s="157"/>
      <c r="M47" s="157"/>
      <c r="N47" s="157"/>
      <c r="O47" s="157"/>
    </row>
    <row r="48" spans="1:15">
      <c r="A48" s="164" t="s">
        <v>575</v>
      </c>
      <c r="B48" s="156">
        <v>155460.55188495922</v>
      </c>
      <c r="C48" s="156">
        <v>38865.137971239797</v>
      </c>
      <c r="D48" s="167">
        <v>102215.31286436066</v>
      </c>
      <c r="E48" s="167"/>
      <c r="F48" s="167"/>
      <c r="G48" s="167">
        <v>310921.10376991838</v>
      </c>
      <c r="H48" s="156" t="s">
        <v>574</v>
      </c>
      <c r="I48" s="156"/>
      <c r="J48" s="157"/>
      <c r="K48" s="157"/>
      <c r="L48" s="157"/>
      <c r="M48" s="157"/>
      <c r="N48" s="157"/>
      <c r="O48" s="157"/>
    </row>
    <row r="49" spans="1:15">
      <c r="A49" s="164" t="s">
        <v>573</v>
      </c>
      <c r="B49" s="156">
        <v>0.9</v>
      </c>
      <c r="C49" s="156">
        <v>0.16</v>
      </c>
      <c r="D49" s="159">
        <v>0.20606518071219251</v>
      </c>
      <c r="E49" s="159"/>
      <c r="F49" s="159"/>
      <c r="G49" s="156">
        <v>0.35</v>
      </c>
      <c r="H49" s="156" t="s">
        <v>572</v>
      </c>
      <c r="I49" s="156"/>
      <c r="J49" s="157"/>
      <c r="K49" s="157"/>
      <c r="L49" s="157"/>
      <c r="M49" s="157"/>
      <c r="N49" s="157"/>
      <c r="O49" s="157"/>
    </row>
    <row r="50" spans="1:15">
      <c r="A50" s="168" t="s">
        <v>571</v>
      </c>
      <c r="B50" s="156">
        <v>602.29094778598881</v>
      </c>
      <c r="C50" s="156">
        <v>22266.37554585153</v>
      </c>
      <c r="D50" s="156">
        <v>24454.16</v>
      </c>
      <c r="E50" s="156"/>
      <c r="F50" s="156"/>
      <c r="G50" s="156">
        <v>19433</v>
      </c>
      <c r="H50" s="156" t="s">
        <v>570</v>
      </c>
      <c r="I50" s="156"/>
      <c r="J50" s="157"/>
      <c r="K50" s="157"/>
      <c r="L50" s="157"/>
      <c r="M50" s="157"/>
      <c r="N50" s="157"/>
      <c r="O50" s="157"/>
    </row>
    <row r="51" spans="1:15">
      <c r="A51" s="168" t="s">
        <v>569</v>
      </c>
      <c r="B51" s="156">
        <v>20794</v>
      </c>
      <c r="C51" s="156">
        <v>41020</v>
      </c>
      <c r="D51" s="167">
        <v>14594.784750000001</v>
      </c>
      <c r="E51" s="167"/>
      <c r="F51" s="167"/>
      <c r="G51" s="156">
        <v>5640</v>
      </c>
      <c r="H51" s="156" t="s">
        <v>568</v>
      </c>
      <c r="I51" s="156"/>
      <c r="J51" s="157"/>
      <c r="K51" s="157"/>
      <c r="L51" s="157"/>
      <c r="M51" s="157"/>
      <c r="N51" s="157"/>
      <c r="O51" s="157"/>
    </row>
    <row r="52" spans="1:15">
      <c r="A52" s="168" t="s">
        <v>567</v>
      </c>
      <c r="B52" s="156">
        <v>140943.23801243317</v>
      </c>
      <c r="C52" s="156">
        <v>30048</v>
      </c>
      <c r="D52" s="167">
        <v>23985.987034899208</v>
      </c>
      <c r="E52" s="167"/>
      <c r="F52" s="167"/>
      <c r="G52" s="156">
        <v>56000</v>
      </c>
      <c r="H52" s="156" t="s">
        <v>243</v>
      </c>
      <c r="I52" s="156"/>
      <c r="J52" s="157"/>
      <c r="K52" s="157"/>
      <c r="L52" s="157"/>
      <c r="M52" s="157"/>
      <c r="N52" s="157"/>
      <c r="O52" s="157"/>
    </row>
    <row r="53" spans="1:15">
      <c r="A53" s="168" t="s">
        <v>566</v>
      </c>
      <c r="B53" s="156">
        <v>139914.49669646329</v>
      </c>
      <c r="C53" s="156">
        <v>6218.4220753983682</v>
      </c>
      <c r="D53" s="167">
        <v>21063.016916947778</v>
      </c>
      <c r="E53" s="167"/>
      <c r="F53" s="167"/>
      <c r="G53" s="167">
        <v>108822.38631947142</v>
      </c>
      <c r="H53" s="156" t="s">
        <v>565</v>
      </c>
      <c r="I53" s="156"/>
      <c r="J53" s="157"/>
      <c r="K53" s="157"/>
      <c r="L53" s="157"/>
      <c r="M53" s="157"/>
      <c r="N53" s="157"/>
      <c r="O53" s="157"/>
    </row>
    <row r="54" spans="1:15">
      <c r="A54" s="169" t="s">
        <v>564</v>
      </c>
      <c r="B54" s="163">
        <v>29.071273026515577</v>
      </c>
      <c r="C54" s="163">
        <v>8.4942660086390696</v>
      </c>
      <c r="D54" s="161">
        <v>18.120652596821156</v>
      </c>
      <c r="E54" s="161"/>
      <c r="F54" s="161"/>
      <c r="G54" s="161">
        <v>101.00818421248479</v>
      </c>
      <c r="H54" s="170" t="s">
        <v>563</v>
      </c>
      <c r="I54" s="170">
        <f>AVERAGE(B54:G54)</f>
        <v>39.173593961115145</v>
      </c>
      <c r="J54" s="157"/>
      <c r="K54" s="157"/>
      <c r="L54" s="157"/>
      <c r="M54" s="157"/>
      <c r="N54" s="157"/>
      <c r="O54" s="157"/>
    </row>
    <row r="55" spans="1:15">
      <c r="A55" s="169" t="s">
        <v>562</v>
      </c>
      <c r="B55" s="163">
        <v>46.514036842424929</v>
      </c>
      <c r="C55" s="163">
        <v>13.590825613822512</v>
      </c>
      <c r="D55" s="161">
        <v>28.99304415491385</v>
      </c>
      <c r="E55" s="161"/>
      <c r="F55" s="161"/>
      <c r="G55" s="161">
        <v>161.61309473997568</v>
      </c>
      <c r="H55" s="170" t="s">
        <v>561</v>
      </c>
      <c r="I55" s="170">
        <f>AVERAGE(B55:G55)</f>
        <v>62.677750337784246</v>
      </c>
      <c r="J55" s="157"/>
      <c r="K55" s="157"/>
      <c r="L55" s="157"/>
      <c r="M55" s="157"/>
      <c r="N55" s="157"/>
      <c r="O55" s="157"/>
    </row>
    <row r="56" spans="1:15">
      <c r="A56" s="157"/>
      <c r="B56" s="157"/>
      <c r="C56" s="157"/>
      <c r="D56" s="157"/>
      <c r="E56" s="157"/>
      <c r="F56" s="157"/>
      <c r="G56" s="157"/>
      <c r="H56" s="157"/>
      <c r="I56" s="157"/>
      <c r="J56" s="157"/>
      <c r="K56" s="157"/>
      <c r="L56" s="157"/>
      <c r="M56" s="157"/>
      <c r="N56" s="157"/>
      <c r="O56" s="157"/>
    </row>
    <row r="57" spans="1:15">
      <c r="A57" s="157" t="s">
        <v>560</v>
      </c>
      <c r="B57" s="157"/>
      <c r="C57" s="157"/>
      <c r="D57" s="157"/>
      <c r="E57" s="157"/>
      <c r="F57" s="157"/>
      <c r="G57" s="157"/>
      <c r="H57" s="157"/>
      <c r="I57" s="157"/>
      <c r="J57" s="157"/>
      <c r="K57" s="157"/>
      <c r="L57" s="157"/>
      <c r="M57" s="157"/>
      <c r="N57" s="157"/>
      <c r="O57" s="157"/>
    </row>
    <row r="58" spans="1:15">
      <c r="A58" s="171"/>
      <c r="B58" s="171" t="s">
        <v>559</v>
      </c>
      <c r="C58" s="171" t="s">
        <v>558</v>
      </c>
      <c r="D58" s="171" t="s">
        <v>557</v>
      </c>
      <c r="E58" s="171"/>
      <c r="F58" s="171"/>
      <c r="G58" s="171" t="s">
        <v>556</v>
      </c>
      <c r="H58" s="171"/>
      <c r="I58" s="157"/>
      <c r="J58" s="157"/>
      <c r="K58" s="157"/>
      <c r="L58" s="157"/>
      <c r="M58" s="157"/>
      <c r="N58" s="157"/>
      <c r="O58" s="157"/>
    </row>
    <row r="59" spans="1:15" ht="28.8">
      <c r="A59" s="172" t="s">
        <v>555</v>
      </c>
      <c r="B59" s="171">
        <v>16200</v>
      </c>
      <c r="C59" s="171">
        <v>5500</v>
      </c>
      <c r="D59" s="171">
        <v>5475</v>
      </c>
      <c r="E59" s="171"/>
      <c r="F59" s="171"/>
      <c r="G59" s="171">
        <v>80000</v>
      </c>
      <c r="H59" s="171" t="s">
        <v>554</v>
      </c>
      <c r="I59" s="157"/>
      <c r="J59" s="157"/>
      <c r="K59" s="157"/>
      <c r="L59" s="157"/>
      <c r="M59" s="157"/>
      <c r="N59" s="157"/>
      <c r="O59" s="157"/>
    </row>
    <row r="60" spans="1:15" ht="28.8">
      <c r="A60" s="172" t="s">
        <v>553</v>
      </c>
      <c r="B60" s="173">
        <v>339119.62</v>
      </c>
      <c r="C60" s="171">
        <v>119200</v>
      </c>
      <c r="D60" s="171">
        <v>322800</v>
      </c>
      <c r="E60" s="171"/>
      <c r="F60" s="171"/>
      <c r="G60" s="171">
        <v>1145000</v>
      </c>
      <c r="H60" s="174" t="s">
        <v>552</v>
      </c>
      <c r="I60" s="157"/>
      <c r="J60" s="157"/>
      <c r="K60" s="157"/>
      <c r="L60" s="157"/>
      <c r="M60" s="157"/>
      <c r="N60" s="157"/>
      <c r="O60" s="157"/>
    </row>
    <row r="61" spans="1:15" ht="28.8">
      <c r="A61" s="172" t="s">
        <v>551</v>
      </c>
      <c r="B61" s="173">
        <v>116055.76251536049</v>
      </c>
      <c r="C61" s="171">
        <v>20599</v>
      </c>
      <c r="D61" s="175">
        <v>143412.35911387485</v>
      </c>
      <c r="E61" s="175"/>
      <c r="F61" s="175"/>
      <c r="G61" s="175">
        <v>505246.79362611735</v>
      </c>
      <c r="H61" s="174" t="s">
        <v>550</v>
      </c>
      <c r="I61" s="157"/>
      <c r="J61" s="157"/>
      <c r="K61" s="157"/>
      <c r="L61" s="157"/>
      <c r="M61" s="157"/>
      <c r="N61" s="157"/>
      <c r="O61" s="157"/>
    </row>
    <row r="62" spans="1:15" ht="28.8">
      <c r="A62" s="172" t="s">
        <v>549</v>
      </c>
      <c r="B62" s="173">
        <v>579132.47362250881</v>
      </c>
      <c r="C62" s="171">
        <v>35176</v>
      </c>
      <c r="D62" s="175">
        <v>236811.25439624855</v>
      </c>
      <c r="E62" s="175"/>
      <c r="F62" s="175"/>
      <c r="G62" s="175">
        <v>893013.10043668118</v>
      </c>
      <c r="H62" s="174" t="s">
        <v>548</v>
      </c>
      <c r="I62" s="157"/>
      <c r="J62" s="157"/>
      <c r="K62" s="157"/>
      <c r="L62" s="157"/>
      <c r="M62" s="157"/>
      <c r="N62" s="157"/>
      <c r="O62" s="157"/>
    </row>
    <row r="63" spans="1:15">
      <c r="A63" s="164" t="s">
        <v>547</v>
      </c>
      <c r="B63" s="171">
        <v>300000</v>
      </c>
      <c r="C63" s="171">
        <v>55000</v>
      </c>
      <c r="D63" s="175">
        <v>140000</v>
      </c>
      <c r="E63" s="175"/>
      <c r="F63" s="175"/>
      <c r="G63" s="175">
        <v>720000</v>
      </c>
      <c r="H63" s="174" t="s">
        <v>546</v>
      </c>
      <c r="I63" s="157"/>
      <c r="J63" s="157"/>
      <c r="K63" s="157"/>
      <c r="L63" s="157"/>
      <c r="M63" s="157"/>
      <c r="N63" s="157"/>
      <c r="O63" s="157"/>
    </row>
    <row r="64" spans="1:15">
      <c r="A64" s="169" t="s">
        <v>545</v>
      </c>
      <c r="B64" s="176">
        <v>82.364682477646255</v>
      </c>
      <c r="C64" s="176">
        <v>41.813636363636363</v>
      </c>
      <c r="D64" s="176">
        <v>153.9769157096116</v>
      </c>
      <c r="E64" s="176"/>
      <c r="F64" s="176"/>
      <c r="G64" s="176">
        <v>40.790748675784982</v>
      </c>
      <c r="H64" s="177">
        <f>AVERAGE(B64:G64)</f>
        <v>79.736495806669794</v>
      </c>
      <c r="I64" s="157"/>
      <c r="J64" s="157"/>
      <c r="K64" s="157"/>
      <c r="L64" s="157"/>
      <c r="M64" s="157"/>
      <c r="N64" s="157"/>
      <c r="O64" s="157"/>
    </row>
    <row r="65" spans="1:18">
      <c r="A65" s="157"/>
      <c r="B65" s="157"/>
      <c r="C65" s="157"/>
      <c r="D65" s="157"/>
      <c r="E65" s="157"/>
      <c r="F65" s="157"/>
      <c r="G65" s="157"/>
      <c r="H65" s="157"/>
      <c r="I65" s="157"/>
      <c r="J65" s="157"/>
      <c r="K65" s="157"/>
      <c r="L65" s="157"/>
      <c r="M65" s="157"/>
      <c r="N65" s="157"/>
      <c r="O65" s="157"/>
    </row>
    <row r="66" spans="1:18">
      <c r="A66" s="157"/>
      <c r="B66" s="157"/>
      <c r="C66" s="157"/>
      <c r="D66" s="157"/>
      <c r="E66" s="157"/>
      <c r="F66" s="157"/>
      <c r="G66" s="157"/>
      <c r="H66" s="157"/>
      <c r="I66" s="157"/>
      <c r="J66" s="157"/>
      <c r="K66" s="157"/>
      <c r="L66" s="157"/>
      <c r="M66" s="157"/>
      <c r="N66" s="157"/>
      <c r="O66" s="157"/>
    </row>
    <row r="67" spans="1:18">
      <c r="A67" s="157" t="s">
        <v>544</v>
      </c>
      <c r="B67" s="157"/>
      <c r="C67" s="157"/>
      <c r="D67" s="157"/>
      <c r="E67" s="157"/>
      <c r="F67" s="157"/>
      <c r="G67" s="157"/>
      <c r="H67" s="157"/>
      <c r="I67" s="157"/>
      <c r="J67" s="157"/>
      <c r="K67" s="157"/>
      <c r="L67" s="157"/>
      <c r="M67" s="157"/>
      <c r="N67" s="157"/>
      <c r="O67" s="157"/>
    </row>
    <row r="68" spans="1:18">
      <c r="A68" s="157" t="s">
        <v>543</v>
      </c>
      <c r="B68" s="157"/>
      <c r="C68" s="157"/>
      <c r="D68" s="157"/>
      <c r="E68" s="157"/>
      <c r="F68" s="157"/>
      <c r="G68" s="157"/>
      <c r="H68" s="157"/>
      <c r="I68" s="157"/>
      <c r="J68" s="157"/>
      <c r="K68" s="157"/>
      <c r="L68" s="157"/>
      <c r="M68" s="157"/>
      <c r="N68" s="157"/>
      <c r="O68" s="157"/>
    </row>
    <row r="69" spans="1:18">
      <c r="A69" s="157" t="s">
        <v>542</v>
      </c>
      <c r="B69" s="157"/>
      <c r="C69" s="157"/>
      <c r="D69" s="157"/>
      <c r="E69" s="157"/>
      <c r="F69" s="157"/>
      <c r="G69" s="157"/>
      <c r="H69" s="157"/>
      <c r="I69" s="157"/>
      <c r="J69" s="157"/>
      <c r="K69" s="157"/>
      <c r="L69" s="157"/>
      <c r="M69" s="157"/>
      <c r="N69" s="157"/>
      <c r="O69" s="157"/>
    </row>
    <row r="70" spans="1:18">
      <c r="A70" s="157"/>
      <c r="B70" s="157"/>
      <c r="C70" s="157"/>
      <c r="D70" s="157"/>
      <c r="E70" s="157"/>
      <c r="F70" s="157"/>
      <c r="G70" s="157"/>
      <c r="H70" s="157"/>
      <c r="I70" s="157"/>
      <c r="J70" s="157"/>
      <c r="K70" s="157"/>
      <c r="L70" s="157"/>
      <c r="M70" s="157"/>
      <c r="N70" s="157"/>
      <c r="O70" s="157"/>
    </row>
    <row r="71" spans="1:18" s="37" customFormat="1">
      <c r="A71" s="37" t="s">
        <v>610</v>
      </c>
    </row>
    <row r="72" spans="1:18">
      <c r="B72" s="180"/>
      <c r="C72" s="180"/>
      <c r="D72" s="180"/>
      <c r="E72" s="180"/>
      <c r="F72" s="180"/>
      <c r="G72" s="180"/>
      <c r="H72" s="180"/>
      <c r="I72" s="180"/>
      <c r="J72" s="180"/>
      <c r="K72" s="180"/>
      <c r="L72" s="180"/>
      <c r="M72" s="180"/>
      <c r="N72" s="180"/>
      <c r="O72" s="180" t="s">
        <v>611</v>
      </c>
      <c r="P72" s="180"/>
      <c r="Q72" s="181" t="s">
        <v>612</v>
      </c>
      <c r="R72" s="180"/>
    </row>
    <row r="73" spans="1:18" ht="15" thickBot="1">
      <c r="A73" s="180" t="s">
        <v>613</v>
      </c>
      <c r="B73" s="180"/>
      <c r="C73" s="180"/>
      <c r="D73" s="180"/>
      <c r="E73" s="180"/>
      <c r="F73" s="180"/>
      <c r="G73" s="180"/>
      <c r="H73" s="180"/>
      <c r="I73" s="180"/>
      <c r="J73" s="180"/>
      <c r="K73" s="180"/>
      <c r="L73" s="180"/>
      <c r="M73" s="180"/>
      <c r="N73" s="180">
        <v>2008</v>
      </c>
      <c r="O73" s="180">
        <v>7.8</v>
      </c>
      <c r="P73" s="180">
        <v>1.0780000000000001</v>
      </c>
      <c r="Q73" s="180"/>
      <c r="R73" s="180"/>
    </row>
    <row r="74" spans="1:18" ht="27" thickBot="1">
      <c r="A74" s="180"/>
      <c r="B74" s="182" t="s">
        <v>614</v>
      </c>
      <c r="C74" s="183" t="s">
        <v>25</v>
      </c>
      <c r="D74" s="183" t="s">
        <v>615</v>
      </c>
      <c r="E74" s="183"/>
      <c r="F74" s="183"/>
      <c r="G74" s="184" t="s">
        <v>616</v>
      </c>
      <c r="H74" s="184" t="s">
        <v>617</v>
      </c>
      <c r="I74" s="184" t="s">
        <v>48</v>
      </c>
      <c r="J74" s="184" t="s">
        <v>618</v>
      </c>
      <c r="K74" s="184" t="s">
        <v>198</v>
      </c>
      <c r="L74" s="184" t="s">
        <v>619</v>
      </c>
      <c r="M74" s="180"/>
      <c r="N74" s="180">
        <v>2009</v>
      </c>
      <c r="O74" s="180">
        <v>-0.1</v>
      </c>
      <c r="P74" s="180">
        <v>0.999</v>
      </c>
      <c r="Q74" s="180"/>
      <c r="R74" s="180"/>
    </row>
    <row r="75" spans="1:18" ht="15" thickBot="1">
      <c r="A75" s="180"/>
      <c r="B75" s="185" t="s">
        <v>630</v>
      </c>
      <c r="C75" s="186" t="s">
        <v>26</v>
      </c>
      <c r="D75" s="186" t="s">
        <v>620</v>
      </c>
      <c r="E75" s="186"/>
      <c r="F75" s="186"/>
      <c r="G75" s="187" t="s">
        <v>621</v>
      </c>
      <c r="H75" s="187" t="s">
        <v>621</v>
      </c>
      <c r="I75" s="187">
        <v>66</v>
      </c>
      <c r="J75" s="187">
        <v>50</v>
      </c>
      <c r="K75" s="187" t="s">
        <v>621</v>
      </c>
      <c r="L75" s="187">
        <v>116</v>
      </c>
      <c r="M75" s="180"/>
      <c r="N75" s="180">
        <v>2010</v>
      </c>
      <c r="O75" s="180">
        <v>6.9</v>
      </c>
      <c r="P75" s="180">
        <v>1.069</v>
      </c>
      <c r="Q75" s="180">
        <v>1.0793128515718349</v>
      </c>
      <c r="R75" s="180"/>
    </row>
    <row r="76" spans="1:18">
      <c r="A76" s="188"/>
      <c r="B76" s="189"/>
      <c r="C76" s="190"/>
      <c r="D76" s="190"/>
      <c r="E76" s="190"/>
      <c r="F76" s="190"/>
      <c r="G76" s="191"/>
      <c r="H76" s="191"/>
      <c r="I76" s="192">
        <f>I75*PRODUCT(P77:P82)</f>
        <v>71.234648203741102</v>
      </c>
      <c r="J76" s="192">
        <f>J75*PRODUCT(P77:P82)</f>
        <v>53.965642578591741</v>
      </c>
      <c r="K76" s="192"/>
      <c r="L76" s="192">
        <v>125.20029078233284</v>
      </c>
      <c r="M76" s="188"/>
      <c r="N76" s="180">
        <v>2011</v>
      </c>
      <c r="O76" s="180">
        <v>8.1999999999999993</v>
      </c>
      <c r="P76" s="180">
        <v>1.0820000000000001</v>
      </c>
      <c r="Q76" s="180"/>
      <c r="R76" s="188"/>
    </row>
    <row r="77" spans="1:18">
      <c r="A77" s="180"/>
      <c r="B77" s="180"/>
      <c r="C77" s="180"/>
      <c r="D77" s="180"/>
      <c r="E77" s="180"/>
      <c r="F77" s="180"/>
      <c r="G77" s="180"/>
      <c r="H77" s="180"/>
      <c r="I77" s="180">
        <f>I76*6.6</f>
        <v>470.14867814469125</v>
      </c>
      <c r="J77" s="180"/>
      <c r="K77" s="180"/>
      <c r="L77" s="180"/>
      <c r="M77" s="180"/>
      <c r="N77" s="180">
        <v>2012</v>
      </c>
      <c r="O77" s="180">
        <v>2.4</v>
      </c>
      <c r="P77" s="180">
        <v>1.024</v>
      </c>
      <c r="Q77" s="180"/>
      <c r="R77" s="180"/>
    </row>
    <row r="78" spans="1:18" ht="15" thickBot="1">
      <c r="A78" s="180" t="s">
        <v>622</v>
      </c>
      <c r="B78" s="180"/>
      <c r="C78" s="180"/>
      <c r="D78" s="180"/>
      <c r="E78" s="180"/>
      <c r="F78" s="180"/>
      <c r="G78" s="180"/>
      <c r="H78" s="180"/>
      <c r="I78" s="180"/>
      <c r="J78" s="180"/>
      <c r="K78" s="180"/>
      <c r="L78" s="180"/>
      <c r="M78" s="180"/>
      <c r="N78" s="180">
        <v>2013</v>
      </c>
      <c r="O78" s="180">
        <v>2.2000000000000002</v>
      </c>
      <c r="P78" s="180">
        <v>1.022</v>
      </c>
      <c r="Q78" s="188"/>
      <c r="R78" s="180"/>
    </row>
    <row r="79" spans="1:18" ht="27" thickBot="1">
      <c r="A79" s="180"/>
      <c r="B79" s="182" t="s">
        <v>614</v>
      </c>
      <c r="C79" s="183" t="s">
        <v>25</v>
      </c>
      <c r="D79" s="184" t="s">
        <v>616</v>
      </c>
      <c r="E79" s="184"/>
      <c r="F79" s="184"/>
      <c r="G79" s="184" t="s">
        <v>617</v>
      </c>
      <c r="H79" s="184" t="s">
        <v>48</v>
      </c>
      <c r="I79" s="184" t="s">
        <v>618</v>
      </c>
      <c r="J79" s="184" t="s">
        <v>198</v>
      </c>
      <c r="K79" s="184" t="s">
        <v>619</v>
      </c>
      <c r="L79" s="180"/>
      <c r="M79" s="180"/>
      <c r="N79" s="180">
        <v>2014</v>
      </c>
      <c r="O79" s="180">
        <v>0.8</v>
      </c>
      <c r="P79" s="180">
        <v>1.008</v>
      </c>
      <c r="Q79" s="180"/>
      <c r="R79" s="180"/>
    </row>
    <row r="80" spans="1:18" ht="15" thickBot="1">
      <c r="A80" s="180"/>
      <c r="B80" s="185" t="s">
        <v>630</v>
      </c>
      <c r="C80" s="186" t="s">
        <v>26</v>
      </c>
      <c r="D80" s="187" t="s">
        <v>621</v>
      </c>
      <c r="E80" s="187"/>
      <c r="F80" s="187"/>
      <c r="G80" s="187" t="s">
        <v>621</v>
      </c>
      <c r="H80" s="193">
        <v>1633</v>
      </c>
      <c r="I80" s="187">
        <v>76</v>
      </c>
      <c r="J80" s="187" t="s">
        <v>621</v>
      </c>
      <c r="K80" s="193">
        <v>1708</v>
      </c>
      <c r="L80" s="180"/>
      <c r="M80" s="180"/>
      <c r="N80" s="180">
        <v>2015</v>
      </c>
      <c r="O80" s="180">
        <v>0.1</v>
      </c>
      <c r="P80" s="180">
        <v>1.0009999999999999</v>
      </c>
      <c r="Q80" s="180"/>
      <c r="R80" s="180"/>
    </row>
    <row r="81" spans="1:18">
      <c r="A81" s="188"/>
      <c r="B81" s="189"/>
      <c r="C81" s="190"/>
      <c r="D81" s="191"/>
      <c r="E81" s="191"/>
      <c r="F81" s="191"/>
      <c r="G81" s="191"/>
      <c r="H81" s="192">
        <v>1762.5178866168064</v>
      </c>
      <c r="I81" s="192">
        <v>82.027776719459453</v>
      </c>
      <c r="J81" s="192"/>
      <c r="K81" s="192">
        <v>1843.466350484694</v>
      </c>
      <c r="L81" s="188"/>
      <c r="M81" s="188"/>
      <c r="N81" s="180">
        <v>2016</v>
      </c>
      <c r="O81" s="180">
        <v>1.2</v>
      </c>
      <c r="P81" s="180">
        <v>1.012</v>
      </c>
      <c r="Q81" s="180">
        <v>1.0221199999999999</v>
      </c>
      <c r="R81" s="188"/>
    </row>
    <row r="82" spans="1:18">
      <c r="A82" s="180"/>
      <c r="B82" s="180"/>
      <c r="C82" s="180"/>
      <c r="D82" s="180"/>
      <c r="E82" s="180"/>
      <c r="F82" s="180"/>
      <c r="G82" s="180"/>
      <c r="H82" s="180"/>
      <c r="I82" s="180"/>
      <c r="J82" s="180"/>
      <c r="K82" s="283">
        <f>4000*P80*P81*P82</f>
        <v>4092.5684799999999</v>
      </c>
      <c r="L82" s="180">
        <f>K82/24</f>
        <v>170.52368666666666</v>
      </c>
      <c r="M82" s="180"/>
      <c r="N82" s="180">
        <v>2017</v>
      </c>
      <c r="O82" s="180">
        <v>1</v>
      </c>
      <c r="P82" s="180">
        <v>1.01</v>
      </c>
      <c r="Q82" s="180"/>
      <c r="R82" s="180"/>
    </row>
    <row r="83" spans="1:18" ht="15" thickBot="1">
      <c r="A83" s="180" t="s">
        <v>623</v>
      </c>
      <c r="B83" s="180"/>
      <c r="C83" s="180"/>
      <c r="D83" s="180"/>
      <c r="E83" s="180"/>
      <c r="F83" s="180"/>
      <c r="G83" s="180"/>
      <c r="H83" s="180"/>
      <c r="I83" s="180"/>
      <c r="J83" s="180"/>
      <c r="K83" s="180"/>
      <c r="L83" s="180"/>
      <c r="M83" s="180"/>
      <c r="N83" s="180"/>
      <c r="O83" s="180"/>
      <c r="P83" s="180"/>
      <c r="Q83" s="180"/>
      <c r="R83" s="180"/>
    </row>
    <row r="84" spans="1:18" ht="27" thickBot="1">
      <c r="A84" s="180"/>
      <c r="B84" s="182" t="s">
        <v>614</v>
      </c>
      <c r="C84" s="183" t="s">
        <v>25</v>
      </c>
      <c r="D84" s="184" t="s">
        <v>624</v>
      </c>
      <c r="E84" s="184"/>
      <c r="F84" s="184"/>
      <c r="G84" s="184" t="s">
        <v>48</v>
      </c>
      <c r="H84" s="184" t="s">
        <v>196</v>
      </c>
      <c r="I84" s="184" t="s">
        <v>198</v>
      </c>
      <c r="J84" s="194" t="s">
        <v>271</v>
      </c>
      <c r="K84" s="184" t="s">
        <v>625</v>
      </c>
      <c r="L84" s="180"/>
      <c r="M84" s="180"/>
      <c r="N84" s="180"/>
      <c r="O84" s="180"/>
      <c r="P84" s="180"/>
      <c r="Q84" s="180"/>
      <c r="R84" s="180"/>
    </row>
    <row r="85" spans="1:18" ht="15" thickBot="1">
      <c r="A85" s="180"/>
      <c r="B85" s="185" t="s">
        <v>631</v>
      </c>
      <c r="C85" s="186" t="s">
        <v>26</v>
      </c>
      <c r="D85" s="187">
        <v>248</v>
      </c>
      <c r="E85" s="187"/>
      <c r="F85" s="187"/>
      <c r="G85" s="187">
        <v>93</v>
      </c>
      <c r="H85" s="187" t="s">
        <v>626</v>
      </c>
      <c r="I85" s="193">
        <v>2431</v>
      </c>
      <c r="J85" s="195">
        <v>2772</v>
      </c>
      <c r="K85" s="193">
        <v>4595</v>
      </c>
      <c r="L85" s="180"/>
      <c r="M85" s="180"/>
      <c r="N85" s="180"/>
      <c r="O85" s="180"/>
      <c r="P85" s="180"/>
      <c r="Q85" s="180"/>
      <c r="R85" s="180"/>
    </row>
    <row r="86" spans="1:18" ht="15" thickBot="1">
      <c r="A86" s="180"/>
      <c r="B86" s="185" t="s">
        <v>632</v>
      </c>
      <c r="C86" s="186" t="s">
        <v>26</v>
      </c>
      <c r="D86" s="187" t="s">
        <v>626</v>
      </c>
      <c r="E86" s="187"/>
      <c r="F86" s="187"/>
      <c r="G86" s="187" t="s">
        <v>626</v>
      </c>
      <c r="H86" s="187" t="s">
        <v>626</v>
      </c>
      <c r="I86" s="187">
        <v>436</v>
      </c>
      <c r="J86" s="196">
        <v>436</v>
      </c>
      <c r="K86" s="187" t="s">
        <v>621</v>
      </c>
      <c r="L86" s="180"/>
      <c r="M86" s="180"/>
      <c r="N86" s="180"/>
      <c r="O86" s="180"/>
      <c r="P86" s="180"/>
      <c r="Q86" s="180"/>
      <c r="R86" s="180"/>
    </row>
    <row r="87" spans="1:18">
      <c r="A87" s="188"/>
      <c r="B87" s="189"/>
      <c r="C87" s="190"/>
      <c r="D87" s="192">
        <v>267.66958718981505</v>
      </c>
      <c r="E87" s="192"/>
      <c r="F87" s="192"/>
      <c r="G87" s="192">
        <v>100.37609519618064</v>
      </c>
      <c r="H87" s="192"/>
      <c r="I87" s="192">
        <v>2623.8095421711305</v>
      </c>
      <c r="J87" s="192">
        <v>2991.8552245571263</v>
      </c>
      <c r="K87" s="192">
        <v>4959.4425529725813</v>
      </c>
      <c r="L87" s="188"/>
      <c r="M87" s="188"/>
      <c r="N87" s="188"/>
      <c r="O87" s="188"/>
      <c r="P87" s="188"/>
      <c r="Q87" s="188"/>
      <c r="R87" s="188"/>
    </row>
    <row r="88" spans="1:18">
      <c r="A88" s="188"/>
      <c r="B88" s="188"/>
      <c r="C88" s="188"/>
      <c r="D88" s="197"/>
      <c r="E88" s="197"/>
      <c r="F88" s="197"/>
      <c r="G88" s="197"/>
      <c r="H88" s="197"/>
      <c r="I88" s="192">
        <v>470.58040328532002</v>
      </c>
      <c r="J88" s="192">
        <v>470.58040328532002</v>
      </c>
      <c r="K88" s="197"/>
      <c r="L88" s="188"/>
      <c r="M88" s="188"/>
      <c r="N88" s="188"/>
      <c r="O88" s="188"/>
      <c r="P88" s="188"/>
      <c r="Q88" s="188"/>
      <c r="R88" s="188"/>
    </row>
    <row r="89" spans="1:18">
      <c r="A89" s="180"/>
      <c r="B89" s="180"/>
      <c r="C89" s="180"/>
      <c r="D89" s="180"/>
      <c r="E89" s="180"/>
      <c r="F89" s="180"/>
      <c r="G89" s="180"/>
      <c r="H89" s="180"/>
      <c r="I89" s="180"/>
      <c r="J89" s="180"/>
      <c r="K89" s="180"/>
      <c r="L89" s="180"/>
      <c r="M89" s="180"/>
      <c r="N89" s="180"/>
      <c r="O89" s="180"/>
      <c r="P89" s="180"/>
      <c r="Q89" s="180"/>
      <c r="R89" s="180"/>
    </row>
    <row r="90" spans="1:18">
      <c r="A90" s="180" t="s">
        <v>627</v>
      </c>
      <c r="B90" s="180"/>
      <c r="C90" s="180"/>
      <c r="D90" s="180"/>
      <c r="E90" s="180"/>
      <c r="F90" s="180"/>
      <c r="G90" s="180"/>
      <c r="H90" s="180"/>
      <c r="I90" s="180"/>
      <c r="J90" s="180"/>
      <c r="K90" s="180"/>
      <c r="L90" s="180"/>
      <c r="M90" s="180"/>
      <c r="N90" s="180"/>
      <c r="O90" s="180"/>
      <c r="P90" s="180"/>
      <c r="Q90" s="180"/>
      <c r="R90" s="180"/>
    </row>
    <row r="91" spans="1:18">
      <c r="A91" s="180" t="s">
        <v>628</v>
      </c>
      <c r="B91" s="180"/>
      <c r="C91" s="180"/>
      <c r="D91" s="180"/>
      <c r="E91" s="180"/>
      <c r="F91" s="180"/>
      <c r="G91" s="180"/>
      <c r="H91" s="180"/>
      <c r="I91" s="180"/>
      <c r="J91" s="180"/>
      <c r="K91" s="180"/>
      <c r="L91" s="180"/>
      <c r="M91" s="180"/>
      <c r="N91" s="180"/>
      <c r="O91" s="180"/>
      <c r="P91" s="180"/>
      <c r="Q91" s="180"/>
      <c r="R91" s="180"/>
    </row>
    <row r="92" spans="1:18">
      <c r="A92" s="180" t="s">
        <v>629</v>
      </c>
      <c r="B92" s="180"/>
      <c r="C92" s="180"/>
      <c r="D92" s="180"/>
      <c r="E92" s="180"/>
      <c r="F92" s="180"/>
      <c r="G92" s="180"/>
      <c r="H92" s="180"/>
      <c r="I92" s="180"/>
      <c r="J92" s="180"/>
      <c r="K92" s="180"/>
      <c r="L92" s="180"/>
      <c r="M92" s="180"/>
      <c r="N92" s="180"/>
      <c r="O92" s="180"/>
      <c r="P92" s="180"/>
      <c r="Q92" s="180"/>
      <c r="R92" s="180"/>
    </row>
    <row r="93" spans="1:18">
      <c r="A93" s="180"/>
      <c r="B93" s="180"/>
      <c r="C93" s="180"/>
      <c r="D93" s="180"/>
      <c r="E93" s="180"/>
      <c r="F93" s="180"/>
      <c r="G93" s="180"/>
      <c r="H93" s="180"/>
      <c r="I93" s="180"/>
      <c r="J93" s="180"/>
      <c r="K93" s="180"/>
      <c r="L93" s="180"/>
      <c r="M93" s="180"/>
      <c r="N93" s="180"/>
      <c r="O93" s="180"/>
      <c r="P93" s="180"/>
      <c r="Q93" s="180"/>
      <c r="R93" s="180"/>
    </row>
    <row r="95" spans="1:18" s="198" customFormat="1">
      <c r="B95" s="198" t="s">
        <v>633</v>
      </c>
      <c r="C95" s="198" t="s">
        <v>634</v>
      </c>
      <c r="D95" s="199" t="s">
        <v>635</v>
      </c>
      <c r="E95" s="199"/>
      <c r="F95" s="199"/>
      <c r="G95" s="198" t="s">
        <v>636</v>
      </c>
      <c r="H95" s="198" t="s">
        <v>637</v>
      </c>
      <c r="I95" s="198" t="s">
        <v>638</v>
      </c>
    </row>
    <row r="96" spans="1:18" s="201" customFormat="1">
      <c r="A96" s="200" t="s">
        <v>639</v>
      </c>
      <c r="D96" s="202"/>
      <c r="E96" s="202"/>
      <c r="F96" s="202"/>
    </row>
    <row r="97" spans="1:9" s="203" customFormat="1">
      <c r="A97" s="203" t="s">
        <v>640</v>
      </c>
    </row>
    <row r="98" spans="1:9" s="204" customFormat="1">
      <c r="A98" s="204" t="s">
        <v>641</v>
      </c>
      <c r="B98" s="204">
        <v>0.39</v>
      </c>
      <c r="C98" s="204" t="s">
        <v>642</v>
      </c>
      <c r="D98" s="205">
        <v>0.54226698972214749</v>
      </c>
      <c r="E98" s="205"/>
      <c r="F98" s="205"/>
      <c r="G98" s="204" t="s">
        <v>643</v>
      </c>
      <c r="I98" s="204" t="s">
        <v>644</v>
      </c>
    </row>
    <row r="99" spans="1:9" s="204" customFormat="1">
      <c r="A99" s="204" t="s">
        <v>645</v>
      </c>
      <c r="B99" s="204">
        <v>53.03</v>
      </c>
      <c r="C99" s="204" t="s">
        <v>646</v>
      </c>
      <c r="D99" s="205">
        <v>55.918135360480846</v>
      </c>
      <c r="E99" s="205"/>
      <c r="F99" s="205"/>
      <c r="G99" s="204" t="s">
        <v>643</v>
      </c>
      <c r="I99" s="204" t="s">
        <v>647</v>
      </c>
    </row>
    <row r="100" spans="1:9" s="204" customFormat="1">
      <c r="A100" s="204" t="s">
        <v>648</v>
      </c>
      <c r="B100" s="204">
        <v>22.38</v>
      </c>
      <c r="C100" s="204" t="s">
        <v>646</v>
      </c>
      <c r="D100" s="205">
        <v>23.598866101594595</v>
      </c>
      <c r="E100" s="205"/>
      <c r="F100" s="205"/>
      <c r="G100" s="204" t="s">
        <v>643</v>
      </c>
      <c r="I100" s="204" t="s">
        <v>649</v>
      </c>
    </row>
    <row r="101" spans="1:9" s="204" customFormat="1" ht="17.25" customHeight="1">
      <c r="A101" s="204" t="s">
        <v>650</v>
      </c>
      <c r="B101" s="204">
        <v>20000</v>
      </c>
      <c r="C101" s="204" t="s">
        <v>646</v>
      </c>
      <c r="D101" s="205">
        <v>21089.245845929039</v>
      </c>
      <c r="E101" s="205"/>
      <c r="F101" s="205"/>
      <c r="G101" s="204" t="s">
        <v>643</v>
      </c>
      <c r="I101" s="204" t="s">
        <v>649</v>
      </c>
    </row>
    <row r="102" spans="1:9" s="204" customFormat="1">
      <c r="A102" s="204" t="s">
        <v>651</v>
      </c>
      <c r="B102" s="204">
        <v>75000</v>
      </c>
      <c r="C102" s="204" t="s">
        <v>646</v>
      </c>
      <c r="D102" s="205">
        <v>79084.671922233902</v>
      </c>
      <c r="E102" s="205"/>
      <c r="F102" s="205"/>
      <c r="G102" s="204" t="s">
        <v>643</v>
      </c>
      <c r="I102" s="204" t="s">
        <v>652</v>
      </c>
    </row>
    <row r="103" spans="1:9" s="204" customFormat="1">
      <c r="A103" s="204" t="s">
        <v>653</v>
      </c>
      <c r="B103" s="204">
        <v>10000</v>
      </c>
      <c r="C103" s="204" t="s">
        <v>646</v>
      </c>
      <c r="D103" s="205">
        <v>10544.62292296452</v>
      </c>
      <c r="E103" s="205"/>
      <c r="F103" s="205"/>
      <c r="G103" s="204" t="s">
        <v>643</v>
      </c>
      <c r="I103" s="204" t="s">
        <v>654</v>
      </c>
    </row>
    <row r="104" spans="1:9" s="204" customFormat="1">
      <c r="A104" s="204" t="s">
        <v>655</v>
      </c>
      <c r="B104" s="204">
        <v>36000</v>
      </c>
      <c r="C104" s="204" t="s">
        <v>646</v>
      </c>
      <c r="D104" s="205">
        <v>37960.642522672271</v>
      </c>
      <c r="E104" s="205"/>
      <c r="F104" s="205"/>
      <c r="G104" s="204" t="s">
        <v>643</v>
      </c>
      <c r="I104" s="204" t="s">
        <v>656</v>
      </c>
    </row>
    <row r="105" spans="1:9" s="204" customFormat="1">
      <c r="A105" s="204" t="s">
        <v>159</v>
      </c>
      <c r="B105" s="205">
        <v>41.72</v>
      </c>
      <c r="C105" s="204" t="s">
        <v>646</v>
      </c>
      <c r="D105" s="205">
        <v>43.992166834607971</v>
      </c>
      <c r="E105" s="205"/>
      <c r="F105" s="205"/>
      <c r="G105" s="204" t="s">
        <v>643</v>
      </c>
      <c r="I105" s="204" t="s">
        <v>657</v>
      </c>
    </row>
    <row r="106" spans="1:9" s="204" customFormat="1" ht="15" thickBot="1">
      <c r="A106" s="204" t="s">
        <v>658</v>
      </c>
      <c r="D106" s="205">
        <v>14</v>
      </c>
      <c r="E106" s="205"/>
      <c r="F106" s="205"/>
      <c r="G106" s="204" t="s">
        <v>643</v>
      </c>
      <c r="I106" s="204" t="s">
        <v>659</v>
      </c>
    </row>
    <row r="107" spans="1:9" s="206" customFormat="1" ht="15" thickBot="1">
      <c r="A107" s="206" t="s">
        <v>658</v>
      </c>
      <c r="B107" s="207">
        <f>H64</f>
        <v>79.736495806669794</v>
      </c>
      <c r="C107" s="206" t="s">
        <v>660</v>
      </c>
      <c r="D107" s="208">
        <f>PRODUCT(P77:P82)*B107/6.6</f>
        <v>13.039488585370066</v>
      </c>
      <c r="E107" s="207"/>
      <c r="F107" s="207"/>
      <c r="G107" s="206" t="s">
        <v>643</v>
      </c>
      <c r="I107" s="206" t="s">
        <v>661</v>
      </c>
    </row>
    <row r="108" spans="1:9" s="204" customFormat="1" ht="15" thickBot="1">
      <c r="A108" s="204" t="s">
        <v>563</v>
      </c>
      <c r="B108" s="205">
        <v>4.99</v>
      </c>
      <c r="C108" s="204" t="s">
        <v>646</v>
      </c>
      <c r="D108" s="205">
        <v>5.2617668385592955</v>
      </c>
      <c r="E108" s="205"/>
      <c r="F108" s="205"/>
      <c r="G108" s="204" t="s">
        <v>643</v>
      </c>
      <c r="I108" s="204" t="s">
        <v>657</v>
      </c>
    </row>
    <row r="109" spans="1:9" s="204" customFormat="1" ht="15" thickBot="1">
      <c r="A109" s="204" t="s">
        <v>563</v>
      </c>
      <c r="B109" s="204">
        <v>2.2000000000000002</v>
      </c>
      <c r="C109" s="204" t="s">
        <v>662</v>
      </c>
      <c r="D109" s="208">
        <f>B109*PRODUCT(P76:P82)</f>
        <v>2.5691963118815968</v>
      </c>
      <c r="E109" s="207"/>
      <c r="F109" s="207"/>
      <c r="G109" s="204" t="s">
        <v>643</v>
      </c>
      <c r="I109" s="204" t="s">
        <v>663</v>
      </c>
    </row>
    <row r="110" spans="1:9" s="206" customFormat="1">
      <c r="A110" s="206" t="s">
        <v>563</v>
      </c>
      <c r="B110" s="207">
        <f>I54</f>
        <v>39.173593961115145</v>
      </c>
      <c r="C110" s="206" t="s">
        <v>660</v>
      </c>
      <c r="D110" s="207">
        <f>PRODUCT(P76:P82)*B110/6.6</f>
        <v>6.9314499399479486</v>
      </c>
      <c r="E110" s="207"/>
      <c r="F110" s="207"/>
      <c r="G110" s="206" t="s">
        <v>643</v>
      </c>
      <c r="I110" s="206" t="s">
        <v>661</v>
      </c>
    </row>
    <row r="111" spans="1:9" s="204" customFormat="1">
      <c r="A111" s="204" t="s">
        <v>561</v>
      </c>
      <c r="B111" s="205">
        <v>15.24</v>
      </c>
      <c r="C111" s="204" t="s">
        <v>646</v>
      </c>
      <c r="D111" s="205">
        <v>16.070005334597926</v>
      </c>
      <c r="E111" s="205"/>
      <c r="F111" s="205"/>
      <c r="G111" s="204" t="s">
        <v>643</v>
      </c>
      <c r="I111" s="204" t="s">
        <v>657</v>
      </c>
    </row>
    <row r="112" spans="1:9" s="204" customFormat="1" ht="15" thickBot="1">
      <c r="A112" s="204" t="s">
        <v>561</v>
      </c>
      <c r="D112" s="205">
        <v>15</v>
      </c>
      <c r="E112" s="205"/>
      <c r="F112" s="205"/>
      <c r="G112" s="204" t="s">
        <v>643</v>
      </c>
      <c r="I112" s="204" t="s">
        <v>664</v>
      </c>
    </row>
    <row r="113" spans="1:10" s="206" customFormat="1" ht="15" thickBot="1">
      <c r="A113" s="206" t="s">
        <v>561</v>
      </c>
      <c r="B113" s="207">
        <f>I55</f>
        <v>62.677750337784246</v>
      </c>
      <c r="C113" s="206" t="s">
        <v>660</v>
      </c>
      <c r="D113" s="208">
        <f>PRODUCT(P76:P82)*B113/6.6</f>
        <v>11.090319903916722</v>
      </c>
      <c r="E113" s="207"/>
      <c r="F113" s="207"/>
      <c r="G113" s="206" t="s">
        <v>643</v>
      </c>
      <c r="I113" s="206" t="s">
        <v>661</v>
      </c>
    </row>
    <row r="114" spans="1:10" s="206" customFormat="1" ht="15" thickBot="1">
      <c r="A114" s="206" t="s">
        <v>665</v>
      </c>
      <c r="B114" s="207">
        <v>9.98</v>
      </c>
      <c r="C114" s="206" t="s">
        <v>666</v>
      </c>
      <c r="D114" s="207">
        <v>10.310750810627697</v>
      </c>
      <c r="E114" s="207"/>
      <c r="F114" s="207"/>
      <c r="G114" s="206" t="s">
        <v>643</v>
      </c>
      <c r="I114" s="206" t="s">
        <v>667</v>
      </c>
    </row>
    <row r="115" spans="1:10" s="206" customFormat="1" ht="15" thickBot="1">
      <c r="A115" s="206" t="s">
        <v>668</v>
      </c>
      <c r="B115" s="206">
        <v>20.22</v>
      </c>
      <c r="C115" s="206" t="s">
        <v>646</v>
      </c>
      <c r="D115" s="208">
        <f>B115*PRODUCT(P76:P82)</f>
        <v>23.613249739202672</v>
      </c>
      <c r="E115" s="207"/>
      <c r="F115" s="207"/>
      <c r="G115" s="206" t="s">
        <v>643</v>
      </c>
      <c r="I115" s="206" t="s">
        <v>657</v>
      </c>
    </row>
    <row r="116" spans="1:10" s="203" customFormat="1" ht="15" thickBot="1">
      <c r="A116" s="203" t="s">
        <v>58</v>
      </c>
      <c r="D116" s="209"/>
      <c r="E116" s="209"/>
      <c r="F116" s="209"/>
    </row>
    <row r="117" spans="1:10" s="204" customFormat="1" ht="15" thickBot="1">
      <c r="A117" s="204" t="s">
        <v>669</v>
      </c>
      <c r="B117" s="210">
        <v>5.0273866339267617</v>
      </c>
      <c r="C117" s="204" t="s">
        <v>670</v>
      </c>
      <c r="D117" s="211">
        <f>B117*PRODUCT(P74:P82)</f>
        <v>6.2698924127683338</v>
      </c>
      <c r="E117" s="205"/>
      <c r="F117" s="205"/>
      <c r="G117" s="204" t="s">
        <v>643</v>
      </c>
      <c r="I117" s="204" t="s">
        <v>671</v>
      </c>
    </row>
    <row r="118" spans="1:10" s="212" customFormat="1">
      <c r="A118" s="212" t="s">
        <v>672</v>
      </c>
      <c r="B118" s="213">
        <v>7.07</v>
      </c>
      <c r="C118" s="212" t="s">
        <v>670</v>
      </c>
      <c r="D118" s="214">
        <f>B118*PRODUCT(P74:P82)</f>
        <v>8.8173324603937537</v>
      </c>
      <c r="E118" s="214"/>
      <c r="F118" s="214"/>
      <c r="G118" s="212" t="s">
        <v>643</v>
      </c>
      <c r="I118" s="212" t="s">
        <v>671</v>
      </c>
    </row>
    <row r="119" spans="1:10" s="206" customFormat="1" ht="15" thickBot="1">
      <c r="A119" s="206" t="s">
        <v>673</v>
      </c>
      <c r="B119" s="215">
        <v>8</v>
      </c>
      <c r="C119" s="206" t="s">
        <v>674</v>
      </c>
      <c r="D119" s="207">
        <v>1.3662592000000038</v>
      </c>
      <c r="E119" s="207"/>
      <c r="F119" s="207"/>
      <c r="G119" s="206" t="s">
        <v>643</v>
      </c>
      <c r="I119" s="206" t="s">
        <v>675</v>
      </c>
    </row>
    <row r="120" spans="1:10" s="206" customFormat="1" ht="15" thickBot="1">
      <c r="A120" s="206" t="s">
        <v>676</v>
      </c>
      <c r="B120" s="215">
        <f>H35</f>
        <v>68.994394335805808</v>
      </c>
      <c r="C120" s="206" t="s">
        <v>660</v>
      </c>
      <c r="D120" s="208">
        <f>PRODUCT(P76:P82)*B120/6.6</f>
        <v>12.207998861436419</v>
      </c>
      <c r="E120" s="207"/>
      <c r="F120" s="207"/>
      <c r="G120" s="206" t="s">
        <v>643</v>
      </c>
      <c r="I120" s="206" t="s">
        <v>661</v>
      </c>
    </row>
    <row r="121" spans="1:10" s="204" customFormat="1">
      <c r="A121" s="204" t="s">
        <v>677</v>
      </c>
      <c r="B121" s="204">
        <v>6</v>
      </c>
      <c r="C121" s="204" t="s">
        <v>678</v>
      </c>
      <c r="D121" s="205"/>
      <c r="E121" s="205"/>
      <c r="F121" s="205"/>
      <c r="I121" s="204" t="s">
        <v>679</v>
      </c>
    </row>
    <row r="122" spans="1:10" s="204" customFormat="1">
      <c r="A122" s="204" t="s">
        <v>680</v>
      </c>
      <c r="B122" s="216">
        <v>93</v>
      </c>
      <c r="D122" s="205"/>
      <c r="E122" s="205"/>
      <c r="F122" s="205"/>
      <c r="I122" s="204" t="s">
        <v>681</v>
      </c>
    </row>
    <row r="123" spans="1:10" s="204" customFormat="1">
      <c r="A123" s="204" t="s">
        <v>682</v>
      </c>
      <c r="B123" s="204">
        <v>6.1499999999999999E-2</v>
      </c>
      <c r="C123" s="204" t="s">
        <v>683</v>
      </c>
      <c r="D123" s="205">
        <v>6.2415126362028672E-2</v>
      </c>
      <c r="E123" s="205"/>
      <c r="F123" s="205"/>
      <c r="G123" s="204" t="s">
        <v>643</v>
      </c>
      <c r="I123" s="204" t="s">
        <v>684</v>
      </c>
      <c r="J123" s="204" t="s">
        <v>685</v>
      </c>
    </row>
    <row r="124" spans="1:10" s="204" customFormat="1">
      <c r="A124" s="204" t="s">
        <v>686</v>
      </c>
      <c r="B124" s="204">
        <v>0.1071</v>
      </c>
      <c r="C124" s="204" t="s">
        <v>683</v>
      </c>
      <c r="D124" s="205">
        <v>0.10869365907924018</v>
      </c>
      <c r="E124" s="205"/>
      <c r="F124" s="205"/>
      <c r="G124" s="204" t="s">
        <v>643</v>
      </c>
      <c r="I124" s="204" t="s">
        <v>684</v>
      </c>
      <c r="J124" s="204" t="s">
        <v>687</v>
      </c>
    </row>
    <row r="125" spans="1:10" s="204" customFormat="1">
      <c r="A125" s="204" t="s">
        <v>688</v>
      </c>
      <c r="B125" s="204">
        <v>1000</v>
      </c>
      <c r="C125" s="204" t="s">
        <v>674</v>
      </c>
      <c r="D125" s="205">
        <v>170.78240000000048</v>
      </c>
      <c r="E125" s="205"/>
      <c r="F125" s="205"/>
      <c r="G125" s="204" t="s">
        <v>643</v>
      </c>
      <c r="I125" s="204" t="s">
        <v>689</v>
      </c>
      <c r="J125" s="217" t="s">
        <v>690</v>
      </c>
    </row>
    <row r="126" spans="1:10" s="206" customFormat="1">
      <c r="A126" s="206" t="s">
        <v>691</v>
      </c>
      <c r="B126" s="206">
        <v>10</v>
      </c>
      <c r="C126" s="206" t="s">
        <v>692</v>
      </c>
      <c r="D126" s="207">
        <v>0.41666666666666669</v>
      </c>
      <c r="E126" s="207"/>
      <c r="F126" s="207"/>
      <c r="G126" s="206" t="s">
        <v>643</v>
      </c>
      <c r="I126" s="206" t="s">
        <v>693</v>
      </c>
      <c r="J126" s="206" t="s">
        <v>694</v>
      </c>
    </row>
    <row r="127" spans="1:10" s="203" customFormat="1" ht="15" thickBot="1">
      <c r="A127" s="203" t="s">
        <v>695</v>
      </c>
      <c r="D127" s="209"/>
      <c r="E127" s="209"/>
      <c r="F127" s="209"/>
    </row>
    <row r="128" spans="1:10" s="212" customFormat="1" ht="15" thickBot="1">
      <c r="A128" s="212" t="s">
        <v>696</v>
      </c>
      <c r="B128" s="214">
        <f>8837*(1-0.17)/24</f>
        <v>305.61291666666665</v>
      </c>
      <c r="C128" s="212" t="s">
        <v>646</v>
      </c>
      <c r="D128" s="237">
        <f>B128*PRODUCT($P$76:$P$82)</f>
        <v>356.89980834698986</v>
      </c>
      <c r="E128" s="214" t="s">
        <v>1122</v>
      </c>
      <c r="F128" s="214"/>
      <c r="G128" s="212" t="s">
        <v>643</v>
      </c>
      <c r="I128" s="212" t="s">
        <v>1105</v>
      </c>
    </row>
    <row r="129" spans="1:9" s="212" customFormat="1" ht="15" thickBot="1">
      <c r="B129" s="214">
        <f>6649*(1-0.17)/24</f>
        <v>229.94458333333333</v>
      </c>
      <c r="D129" s="237">
        <f t="shared" ref="D129:D130" si="0">B129*PRODUCT($P$76:$P$82)</f>
        <v>268.53307974415929</v>
      </c>
      <c r="E129" s="214" t="s">
        <v>1123</v>
      </c>
      <c r="F129" s="214"/>
    </row>
    <row r="130" spans="1:9" s="212" customFormat="1" ht="15" thickBot="1">
      <c r="B130" s="214">
        <f>10962*(1-0.17)/24</f>
        <v>379.10249999999996</v>
      </c>
      <c r="D130" s="237">
        <f t="shared" si="0"/>
        <v>442.72215673867856</v>
      </c>
      <c r="E130" s="214" t="s">
        <v>1124</v>
      </c>
      <c r="F130" s="214"/>
    </row>
    <row r="131" spans="1:9" s="204" customFormat="1">
      <c r="A131" s="204" t="s">
        <v>697</v>
      </c>
      <c r="B131" s="216">
        <v>60</v>
      </c>
      <c r="D131" s="205"/>
      <c r="E131" s="205"/>
      <c r="F131" s="205"/>
      <c r="I131" s="204" t="s">
        <v>681</v>
      </c>
    </row>
    <row r="132" spans="1:9" s="204" customFormat="1" ht="15" thickBot="1">
      <c r="A132" s="204" t="s">
        <v>698</v>
      </c>
      <c r="B132" s="204">
        <v>30.415107847786743</v>
      </c>
      <c r="C132" s="204" t="s">
        <v>670</v>
      </c>
      <c r="D132" s="205">
        <v>33.351943667196601</v>
      </c>
      <c r="E132" s="205"/>
      <c r="F132" s="205"/>
      <c r="G132" s="204" t="s">
        <v>643</v>
      </c>
      <c r="I132" s="204" t="s">
        <v>671</v>
      </c>
    </row>
    <row r="133" spans="1:9" s="206" customFormat="1" ht="15" thickBot="1">
      <c r="A133" s="206" t="s">
        <v>699</v>
      </c>
      <c r="B133" s="206">
        <v>800</v>
      </c>
      <c r="C133" s="206" t="s">
        <v>646</v>
      </c>
      <c r="D133" s="208">
        <f>B133*PRODUCT($P$76:$P$82)</f>
        <v>934.25320432058049</v>
      </c>
      <c r="E133" s="207"/>
      <c r="F133" s="207"/>
      <c r="G133" s="206" t="s">
        <v>643</v>
      </c>
      <c r="H133" s="206" t="s">
        <v>700</v>
      </c>
      <c r="I133" s="206" t="s">
        <v>701</v>
      </c>
    </row>
    <row r="134" spans="1:9" s="206" customFormat="1" ht="15" thickBot="1">
      <c r="A134" s="206" t="s">
        <v>702</v>
      </c>
      <c r="B134" s="206">
        <v>174</v>
      </c>
      <c r="C134" s="206" t="s">
        <v>646</v>
      </c>
      <c r="D134" s="208">
        <f t="shared" ref="D134:D139" si="1">B134*PRODUCT($P$76:$P$82)</f>
        <v>203.20007193972626</v>
      </c>
      <c r="E134" s="207"/>
      <c r="F134" s="207"/>
      <c r="G134" s="206" t="s">
        <v>643</v>
      </c>
      <c r="H134" s="206" t="s">
        <v>700</v>
      </c>
      <c r="I134" s="206" t="s">
        <v>703</v>
      </c>
    </row>
    <row r="135" spans="1:9" s="206" customFormat="1" ht="15" thickBot="1">
      <c r="A135" s="206" t="s">
        <v>704</v>
      </c>
      <c r="B135" s="206">
        <v>350</v>
      </c>
      <c r="C135" s="206" t="s">
        <v>646</v>
      </c>
      <c r="D135" s="208">
        <f t="shared" si="1"/>
        <v>408.73577689025399</v>
      </c>
      <c r="E135" s="207"/>
      <c r="F135" s="207"/>
      <c r="G135" s="206" t="s">
        <v>643</v>
      </c>
      <c r="H135" s="206" t="s">
        <v>700</v>
      </c>
      <c r="I135" s="206" t="s">
        <v>703</v>
      </c>
    </row>
    <row r="136" spans="1:9" s="206" customFormat="1" ht="15" thickBot="1">
      <c r="A136" s="206" t="s">
        <v>705</v>
      </c>
      <c r="B136" s="206">
        <v>275</v>
      </c>
      <c r="C136" s="206" t="s">
        <v>646</v>
      </c>
      <c r="D136" s="208">
        <f t="shared" si="1"/>
        <v>321.14953898519957</v>
      </c>
      <c r="E136" s="207"/>
      <c r="F136" s="207"/>
      <c r="G136" s="206" t="s">
        <v>643</v>
      </c>
      <c r="H136" s="206" t="s">
        <v>700</v>
      </c>
      <c r="I136" s="206" t="s">
        <v>706</v>
      </c>
    </row>
    <row r="137" spans="1:9" s="206" customFormat="1" ht="15" thickBot="1">
      <c r="A137" s="206" t="s">
        <v>707</v>
      </c>
      <c r="B137" s="206">
        <v>1135</v>
      </c>
      <c r="C137" s="206" t="s">
        <v>646</v>
      </c>
      <c r="D137" s="208">
        <f t="shared" si="1"/>
        <v>1325.4717336298236</v>
      </c>
      <c r="E137" s="207"/>
      <c r="F137" s="207"/>
      <c r="G137" s="206" t="s">
        <v>643</v>
      </c>
      <c r="H137" s="206" t="s">
        <v>700</v>
      </c>
      <c r="I137" s="206" t="s">
        <v>701</v>
      </c>
    </row>
    <row r="138" spans="1:9" s="206" customFormat="1" ht="15" thickBot="1">
      <c r="A138" s="206" t="s">
        <v>708</v>
      </c>
      <c r="B138" s="206">
        <v>339</v>
      </c>
      <c r="C138" s="206" t="s">
        <v>646</v>
      </c>
      <c r="D138" s="208">
        <f t="shared" si="1"/>
        <v>395.88979533084603</v>
      </c>
      <c r="E138" s="207"/>
      <c r="F138" s="207"/>
      <c r="G138" s="206" t="s">
        <v>643</v>
      </c>
      <c r="H138" s="206" t="s">
        <v>700</v>
      </c>
      <c r="I138" s="206" t="s">
        <v>703</v>
      </c>
    </row>
    <row r="139" spans="1:9" s="206" customFormat="1" ht="15" thickBot="1">
      <c r="A139" s="206" t="s">
        <v>709</v>
      </c>
      <c r="B139" s="206">
        <v>796</v>
      </c>
      <c r="C139" s="206" t="s">
        <v>646</v>
      </c>
      <c r="D139" s="208">
        <f t="shared" si="1"/>
        <v>929.58193829897766</v>
      </c>
      <c r="E139" s="207"/>
      <c r="F139" s="207"/>
      <c r="G139" s="206" t="s">
        <v>643</v>
      </c>
      <c r="H139" s="206" t="s">
        <v>700</v>
      </c>
      <c r="I139" s="206" t="s">
        <v>706</v>
      </c>
    </row>
    <row r="140" spans="1:9" s="201" customFormat="1">
      <c r="A140" s="200" t="s">
        <v>710</v>
      </c>
      <c r="D140" s="218"/>
      <c r="E140" s="218"/>
      <c r="F140" s="218"/>
    </row>
    <row r="141" spans="1:9" s="219" customFormat="1">
      <c r="A141" s="203" t="s">
        <v>711</v>
      </c>
      <c r="D141" s="220"/>
      <c r="E141" s="220"/>
      <c r="F141" s="220"/>
    </row>
    <row r="142" spans="1:9" s="204" customFormat="1">
      <c r="A142" s="204" t="s">
        <v>712</v>
      </c>
      <c r="B142" s="204">
        <v>1300</v>
      </c>
      <c r="C142" s="204" t="s">
        <v>713</v>
      </c>
      <c r="D142" s="205">
        <v>195.17847928727656</v>
      </c>
      <c r="E142" s="205"/>
      <c r="F142" s="205"/>
      <c r="G142" s="204" t="s">
        <v>714</v>
      </c>
      <c r="H142" s="204">
        <v>215</v>
      </c>
      <c r="I142" s="204" t="s">
        <v>715</v>
      </c>
    </row>
    <row r="143" spans="1:9" s="204" customFormat="1">
      <c r="A143" s="204" t="s">
        <v>716</v>
      </c>
      <c r="B143" s="204">
        <v>1330</v>
      </c>
      <c r="C143" s="204" t="s">
        <v>713</v>
      </c>
      <c r="D143" s="205">
        <v>199.68259804005984</v>
      </c>
      <c r="E143" s="205"/>
      <c r="F143" s="205"/>
      <c r="G143" s="204" t="s">
        <v>714</v>
      </c>
      <c r="H143" s="204">
        <v>228</v>
      </c>
      <c r="I143" s="204" t="s">
        <v>717</v>
      </c>
    </row>
    <row r="144" spans="1:9" s="204" customFormat="1">
      <c r="A144" s="204" t="s">
        <v>718</v>
      </c>
      <c r="B144" s="204">
        <v>2050</v>
      </c>
      <c r="C144" s="204" t="s">
        <v>713</v>
      </c>
      <c r="D144" s="205">
        <v>307.78144810685916</v>
      </c>
      <c r="E144" s="205"/>
      <c r="F144" s="205"/>
      <c r="G144" s="204" t="s">
        <v>714</v>
      </c>
      <c r="H144" s="204">
        <v>223</v>
      </c>
      <c r="I144" s="204" t="s">
        <v>719</v>
      </c>
    </row>
    <row r="145" spans="1:10" s="204" customFormat="1">
      <c r="A145" s="204" t="s">
        <v>720</v>
      </c>
      <c r="B145" s="204">
        <v>545</v>
      </c>
      <c r="C145" s="204" t="s">
        <v>713</v>
      </c>
      <c r="D145" s="205">
        <v>81.824824008896698</v>
      </c>
      <c r="E145" s="205"/>
      <c r="F145" s="205"/>
      <c r="G145" s="204" t="s">
        <v>714</v>
      </c>
      <c r="H145" s="204">
        <v>221</v>
      </c>
      <c r="I145" s="204" t="s">
        <v>721</v>
      </c>
    </row>
    <row r="146" spans="1:10" s="204" customFormat="1">
      <c r="A146" s="204" t="s">
        <v>722</v>
      </c>
      <c r="B146" s="204">
        <v>2565.6999999999998</v>
      </c>
      <c r="C146" s="204" t="s">
        <v>674</v>
      </c>
      <c r="D146" s="205">
        <v>438.17640368000121</v>
      </c>
      <c r="E146" s="205"/>
      <c r="F146" s="205"/>
      <c r="G146" s="204" t="s">
        <v>714</v>
      </c>
      <c r="H146" s="204">
        <v>316</v>
      </c>
      <c r="I146" s="204" t="s">
        <v>723</v>
      </c>
    </row>
    <row r="147" spans="1:10" s="204" customFormat="1">
      <c r="A147" s="204" t="s">
        <v>724</v>
      </c>
      <c r="B147" s="204">
        <v>1219</v>
      </c>
      <c r="C147" s="204" t="s">
        <v>674</v>
      </c>
      <c r="D147" s="205">
        <v>208.18374560000058</v>
      </c>
      <c r="E147" s="205"/>
      <c r="F147" s="205"/>
      <c r="G147" s="204" t="s">
        <v>714</v>
      </c>
      <c r="H147" s="204">
        <v>316</v>
      </c>
      <c r="I147" s="204" t="s">
        <v>725</v>
      </c>
    </row>
    <row r="148" spans="1:10" s="204" customFormat="1">
      <c r="A148" s="204" t="s">
        <v>726</v>
      </c>
      <c r="B148" s="204">
        <v>1346.7</v>
      </c>
      <c r="C148" s="204" t="s">
        <v>674</v>
      </c>
      <c r="D148" s="205">
        <v>229.99265808000064</v>
      </c>
      <c r="E148" s="205"/>
      <c r="F148" s="205"/>
      <c r="G148" s="204" t="s">
        <v>714</v>
      </c>
      <c r="H148" s="204">
        <v>316</v>
      </c>
      <c r="I148" s="204" t="s">
        <v>727</v>
      </c>
    </row>
    <row r="149" spans="1:10" s="204" customFormat="1" ht="15" thickBot="1">
      <c r="A149" s="204" t="s">
        <v>728</v>
      </c>
      <c r="B149" s="204">
        <v>8684.7999999999993</v>
      </c>
      <c r="C149" s="204" t="s">
        <v>674</v>
      </c>
      <c r="D149" s="205">
        <v>1483.210987520004</v>
      </c>
      <c r="E149" s="205"/>
      <c r="F149" s="205"/>
      <c r="G149" s="204" t="s">
        <v>714</v>
      </c>
      <c r="H149" s="204">
        <v>49</v>
      </c>
      <c r="I149" s="204" t="s">
        <v>729</v>
      </c>
    </row>
    <row r="150" spans="1:10" s="204" customFormat="1" ht="15" thickBot="1">
      <c r="A150" s="204" t="s">
        <v>730</v>
      </c>
      <c r="B150" s="210">
        <v>100</v>
      </c>
      <c r="C150" s="204" t="s">
        <v>731</v>
      </c>
      <c r="D150" s="211">
        <f>PRODUCT(P73:P82)*B150/6.8</f>
        <v>19.770955138331942</v>
      </c>
      <c r="E150" s="205"/>
      <c r="F150" s="205"/>
      <c r="G150" s="204" t="s">
        <v>714</v>
      </c>
      <c r="H150" s="204">
        <v>100</v>
      </c>
      <c r="I150" s="204" t="s">
        <v>732</v>
      </c>
    </row>
    <row r="151" spans="1:10" s="204" customFormat="1">
      <c r="A151" s="204" t="s">
        <v>733</v>
      </c>
      <c r="B151" s="204">
        <v>300</v>
      </c>
      <c r="C151" s="204" t="s">
        <v>731</v>
      </c>
      <c r="D151" s="205">
        <v>49.66748438395738</v>
      </c>
      <c r="E151" s="205"/>
      <c r="F151" s="205"/>
      <c r="G151" s="204" t="s">
        <v>714</v>
      </c>
      <c r="H151" s="204">
        <v>90</v>
      </c>
      <c r="I151" s="204" t="s">
        <v>732</v>
      </c>
    </row>
    <row r="152" spans="1:10" s="204" customFormat="1">
      <c r="A152" s="204" t="s">
        <v>734</v>
      </c>
      <c r="B152" s="204">
        <v>80</v>
      </c>
      <c r="C152" s="204" t="s">
        <v>731</v>
      </c>
      <c r="D152" s="205">
        <v>13.244662502388636</v>
      </c>
      <c r="E152" s="205"/>
      <c r="F152" s="205"/>
      <c r="G152" s="204" t="s">
        <v>714</v>
      </c>
      <c r="H152" s="204">
        <v>103</v>
      </c>
      <c r="I152" s="204" t="s">
        <v>732</v>
      </c>
    </row>
    <row r="153" spans="1:10" s="204" customFormat="1">
      <c r="A153" s="204" t="s">
        <v>735</v>
      </c>
      <c r="B153" s="204">
        <v>0</v>
      </c>
      <c r="C153" s="204" t="s">
        <v>731</v>
      </c>
      <c r="D153" s="205">
        <v>0</v>
      </c>
      <c r="E153" s="205"/>
      <c r="F153" s="205"/>
      <c r="G153" s="204" t="s">
        <v>714</v>
      </c>
      <c r="H153" s="204">
        <v>100</v>
      </c>
      <c r="I153" s="204" t="s">
        <v>732</v>
      </c>
    </row>
    <row r="154" spans="1:10" s="204" customFormat="1">
      <c r="A154" s="204" t="s">
        <v>736</v>
      </c>
      <c r="B154" s="204">
        <v>5450</v>
      </c>
      <c r="C154" s="204" t="s">
        <v>731</v>
      </c>
      <c r="D154" s="205">
        <v>902.29263297522573</v>
      </c>
      <c r="E154" s="205"/>
      <c r="F154" s="205"/>
      <c r="G154" s="204" t="s">
        <v>714</v>
      </c>
      <c r="H154" s="204">
        <v>90</v>
      </c>
      <c r="I154" s="204" t="s">
        <v>732</v>
      </c>
    </row>
    <row r="155" spans="1:10" s="204" customFormat="1">
      <c r="A155" s="204" t="s">
        <v>737</v>
      </c>
      <c r="B155" s="204">
        <v>0</v>
      </c>
      <c r="C155" s="204" t="s">
        <v>731</v>
      </c>
      <c r="D155" s="205">
        <v>0</v>
      </c>
      <c r="E155" s="205"/>
      <c r="F155" s="205"/>
      <c r="G155" s="204" t="s">
        <v>714</v>
      </c>
      <c r="H155" s="204">
        <v>103</v>
      </c>
      <c r="I155" s="204" t="s">
        <v>732</v>
      </c>
    </row>
    <row r="156" spans="1:10" s="204" customFormat="1">
      <c r="A156" s="204" t="s">
        <v>738</v>
      </c>
      <c r="B156" s="204">
        <v>1160</v>
      </c>
      <c r="C156" s="204" t="s">
        <v>731</v>
      </c>
      <c r="D156" s="205">
        <v>192.04760628463521</v>
      </c>
      <c r="E156" s="205"/>
      <c r="F156" s="205"/>
      <c r="G156" s="204" t="s">
        <v>714</v>
      </c>
      <c r="H156" s="204">
        <v>100</v>
      </c>
      <c r="I156" s="204" t="s">
        <v>732</v>
      </c>
      <c r="J156" s="204" t="s">
        <v>739</v>
      </c>
    </row>
    <row r="157" spans="1:10" s="204" customFormat="1">
      <c r="A157" s="204" t="s">
        <v>740</v>
      </c>
      <c r="B157" s="204">
        <v>2200</v>
      </c>
      <c r="C157" s="204" t="s">
        <v>731</v>
      </c>
      <c r="D157" s="205">
        <v>364.22821881568746</v>
      </c>
      <c r="E157" s="205"/>
      <c r="F157" s="205"/>
      <c r="G157" s="204" t="s">
        <v>714</v>
      </c>
      <c r="H157" s="204">
        <v>90</v>
      </c>
      <c r="I157" s="204" t="s">
        <v>732</v>
      </c>
      <c r="J157" s="204" t="s">
        <v>739</v>
      </c>
    </row>
    <row r="158" spans="1:10" s="204" customFormat="1">
      <c r="A158" s="204" t="s">
        <v>741</v>
      </c>
      <c r="B158" s="204">
        <v>1300</v>
      </c>
      <c r="C158" s="204" t="s">
        <v>731</v>
      </c>
      <c r="D158" s="205">
        <v>215.22576566381531</v>
      </c>
      <c r="E158" s="205"/>
      <c r="F158" s="205"/>
      <c r="G158" s="204" t="s">
        <v>714</v>
      </c>
      <c r="H158" s="204">
        <v>103</v>
      </c>
      <c r="I158" s="204" t="s">
        <v>732</v>
      </c>
      <c r="J158" s="204" t="s">
        <v>739</v>
      </c>
    </row>
    <row r="159" spans="1:10" s="204" customFormat="1">
      <c r="A159" s="204" t="s">
        <v>742</v>
      </c>
      <c r="B159" s="210">
        <v>272.91835357624831</v>
      </c>
      <c r="C159" s="204" t="s">
        <v>731</v>
      </c>
      <c r="D159" s="205">
        <v>45.183893547812247</v>
      </c>
      <c r="E159" s="205"/>
      <c r="F159" s="205"/>
      <c r="G159" s="204" t="s">
        <v>714</v>
      </c>
      <c r="H159" s="204">
        <v>39</v>
      </c>
      <c r="I159" s="204" t="s">
        <v>732</v>
      </c>
      <c r="J159" s="204" t="s">
        <v>743</v>
      </c>
    </row>
    <row r="160" spans="1:10" s="204" customFormat="1">
      <c r="A160" s="204" t="s">
        <v>744</v>
      </c>
      <c r="B160" s="210">
        <v>254.28571428571428</v>
      </c>
      <c r="C160" s="204" t="s">
        <v>731</v>
      </c>
      <c r="D160" s="205">
        <v>42.099105811163874</v>
      </c>
      <c r="E160" s="205"/>
      <c r="F160" s="205"/>
      <c r="G160" s="204" t="s">
        <v>714</v>
      </c>
      <c r="H160" s="204">
        <v>75</v>
      </c>
      <c r="I160" s="204" t="s">
        <v>732</v>
      </c>
      <c r="J160" s="204" t="s">
        <v>743</v>
      </c>
    </row>
    <row r="161" spans="1:10" s="204" customFormat="1">
      <c r="A161" s="204" t="s">
        <v>745</v>
      </c>
      <c r="B161" s="210">
        <v>201.10476190476189</v>
      </c>
      <c r="C161" s="204" t="s">
        <v>731</v>
      </c>
      <c r="D161" s="205">
        <v>33.29455873814743</v>
      </c>
      <c r="E161" s="205"/>
      <c r="F161" s="205"/>
      <c r="G161" s="204" t="s">
        <v>714</v>
      </c>
      <c r="H161" s="204">
        <v>15</v>
      </c>
      <c r="I161" s="204" t="s">
        <v>732</v>
      </c>
      <c r="J161" s="204" t="s">
        <v>743</v>
      </c>
    </row>
    <row r="162" spans="1:10" s="204" customFormat="1">
      <c r="A162" s="204" t="s">
        <v>746</v>
      </c>
      <c r="B162" s="210">
        <v>138.83529411764704</v>
      </c>
      <c r="C162" s="204" t="s">
        <v>747</v>
      </c>
      <c r="D162" s="205">
        <v>21.782602979220925</v>
      </c>
      <c r="E162" s="205"/>
      <c r="F162" s="205"/>
      <c r="G162" s="204" t="s">
        <v>714</v>
      </c>
      <c r="H162" s="204">
        <v>144</v>
      </c>
      <c r="I162" s="204" t="s">
        <v>748</v>
      </c>
      <c r="J162" s="204" t="s">
        <v>749</v>
      </c>
    </row>
    <row r="163" spans="1:10" s="204" customFormat="1" ht="15" thickBot="1">
      <c r="A163" s="204" t="s">
        <v>750</v>
      </c>
      <c r="B163" s="210">
        <v>567.29999999999995</v>
      </c>
      <c r="C163" s="204" t="s">
        <v>747</v>
      </c>
      <c r="D163" s="205">
        <v>89.006694937676698</v>
      </c>
      <c r="E163" s="205"/>
      <c r="F163" s="205"/>
      <c r="G163" s="204" t="s">
        <v>714</v>
      </c>
      <c r="H163" s="204">
        <v>144</v>
      </c>
      <c r="I163" s="204" t="s">
        <v>751</v>
      </c>
      <c r="J163" s="204" t="s">
        <v>749</v>
      </c>
    </row>
    <row r="164" spans="1:10" s="204" customFormat="1" ht="15" thickBot="1">
      <c r="A164" s="204" t="s">
        <v>752</v>
      </c>
      <c r="B164" s="210">
        <v>75.5</v>
      </c>
      <c r="C164" s="204" t="s">
        <v>747</v>
      </c>
      <c r="D164" s="211">
        <f>PRODUCT(P73:P83)*B164/6.6</f>
        <v>15.379406618211545</v>
      </c>
      <c r="E164" s="205"/>
      <c r="F164" s="205"/>
      <c r="G164" s="204" t="s">
        <v>714</v>
      </c>
      <c r="H164" s="204">
        <v>144</v>
      </c>
      <c r="I164" s="204" t="s">
        <v>753</v>
      </c>
      <c r="J164" s="204" t="s">
        <v>749</v>
      </c>
    </row>
    <row r="165" spans="1:10" s="206" customFormat="1">
      <c r="A165" s="206" t="s">
        <v>754</v>
      </c>
      <c r="B165" s="215">
        <v>752</v>
      </c>
      <c r="C165" s="206" t="s">
        <v>755</v>
      </c>
      <c r="D165" s="207">
        <v>846.59882715268157</v>
      </c>
      <c r="E165" s="207"/>
      <c r="F165" s="207"/>
      <c r="G165" s="206" t="s">
        <v>714</v>
      </c>
      <c r="I165" s="206" t="s">
        <v>756</v>
      </c>
      <c r="J165" s="206" t="s">
        <v>757</v>
      </c>
    </row>
    <row r="166" spans="1:10" s="206" customFormat="1">
      <c r="A166" s="206" t="s">
        <v>758</v>
      </c>
      <c r="B166" s="215">
        <v>195</v>
      </c>
      <c r="C166" s="206" t="s">
        <v>755</v>
      </c>
      <c r="D166" s="207">
        <v>219.53028097709162</v>
      </c>
      <c r="E166" s="207"/>
      <c r="F166" s="207"/>
      <c r="G166" s="206" t="s">
        <v>714</v>
      </c>
      <c r="I166" s="206" t="s">
        <v>759</v>
      </c>
      <c r="J166" s="206" t="s">
        <v>757</v>
      </c>
    </row>
    <row r="167" spans="1:10" s="206" customFormat="1">
      <c r="A167" s="206" t="s">
        <v>760</v>
      </c>
      <c r="B167" s="215">
        <v>246</v>
      </c>
      <c r="C167" s="206" t="s">
        <v>755</v>
      </c>
      <c r="D167" s="207">
        <v>276.94589292494635</v>
      </c>
      <c r="E167" s="207"/>
      <c r="F167" s="207"/>
      <c r="G167" s="206" t="s">
        <v>714</v>
      </c>
      <c r="I167" s="206" t="s">
        <v>761</v>
      </c>
      <c r="J167" s="206" t="s">
        <v>757</v>
      </c>
    </row>
    <row r="168" spans="1:10" s="206" customFormat="1">
      <c r="A168" s="206" t="s">
        <v>762</v>
      </c>
      <c r="B168" s="215">
        <v>186</v>
      </c>
      <c r="C168" s="206" t="s">
        <v>755</v>
      </c>
      <c r="D168" s="207">
        <v>209.3981141627643</v>
      </c>
      <c r="E168" s="207"/>
      <c r="F168" s="207"/>
      <c r="G168" s="206" t="s">
        <v>714</v>
      </c>
      <c r="I168" s="206" t="s">
        <v>763</v>
      </c>
      <c r="J168" s="206" t="s">
        <v>757</v>
      </c>
    </row>
    <row r="169" spans="1:10" s="219" customFormat="1">
      <c r="A169" s="203" t="s">
        <v>764</v>
      </c>
      <c r="D169" s="220"/>
      <c r="E169" s="220"/>
      <c r="F169" s="220"/>
    </row>
    <row r="170" spans="1:10" s="204" customFormat="1">
      <c r="A170" s="204" t="s">
        <v>765</v>
      </c>
      <c r="B170" s="204">
        <v>390</v>
      </c>
      <c r="C170" s="204" t="s">
        <v>713</v>
      </c>
      <c r="D170" s="205">
        <v>58.553543786182964</v>
      </c>
      <c r="E170" s="205"/>
      <c r="F170" s="205"/>
      <c r="G170" s="204" t="s">
        <v>714</v>
      </c>
      <c r="H170" s="204">
        <v>215</v>
      </c>
      <c r="I170" s="204" t="s">
        <v>766</v>
      </c>
    </row>
    <row r="171" spans="1:10" s="204" customFormat="1">
      <c r="A171" s="204" t="s">
        <v>767</v>
      </c>
      <c r="B171" s="204">
        <v>130</v>
      </c>
      <c r="C171" s="204" t="s">
        <v>713</v>
      </c>
      <c r="D171" s="205">
        <v>19.517847928727655</v>
      </c>
      <c r="E171" s="205"/>
      <c r="F171" s="205"/>
      <c r="G171" s="204" t="s">
        <v>714</v>
      </c>
      <c r="H171" s="204">
        <v>228</v>
      </c>
      <c r="I171" s="204" t="s">
        <v>768</v>
      </c>
    </row>
    <row r="172" spans="1:10" s="204" customFormat="1">
      <c r="A172" s="204" t="s">
        <v>769</v>
      </c>
      <c r="B172" s="204">
        <v>280</v>
      </c>
      <c r="C172" s="204" t="s">
        <v>713</v>
      </c>
      <c r="D172" s="205">
        <v>42.038441692644177</v>
      </c>
      <c r="E172" s="205"/>
      <c r="F172" s="205"/>
      <c r="G172" s="204" t="s">
        <v>714</v>
      </c>
      <c r="H172" s="204">
        <v>223</v>
      </c>
      <c r="I172" s="204" t="s">
        <v>770</v>
      </c>
    </row>
    <row r="173" spans="1:10" s="204" customFormat="1">
      <c r="A173" s="204" t="s">
        <v>771</v>
      </c>
      <c r="B173" s="204">
        <v>480</v>
      </c>
      <c r="C173" s="204" t="s">
        <v>713</v>
      </c>
      <c r="D173" s="205">
        <v>72.065900044532881</v>
      </c>
      <c r="E173" s="205"/>
      <c r="F173" s="205"/>
      <c r="G173" s="204" t="s">
        <v>714</v>
      </c>
      <c r="H173" s="204">
        <v>221</v>
      </c>
      <c r="I173" s="204" t="s">
        <v>772</v>
      </c>
    </row>
    <row r="174" spans="1:10" s="204" customFormat="1">
      <c r="A174" s="204" t="s">
        <v>773</v>
      </c>
      <c r="B174" s="204">
        <v>458.3</v>
      </c>
      <c r="C174" s="204" t="s">
        <v>674</v>
      </c>
      <c r="D174" s="205">
        <v>78.269573920000212</v>
      </c>
      <c r="E174" s="205"/>
      <c r="F174" s="205"/>
      <c r="G174" s="204" t="s">
        <v>714</v>
      </c>
      <c r="H174" s="204">
        <v>316</v>
      </c>
      <c r="I174" s="204" t="s">
        <v>774</v>
      </c>
    </row>
    <row r="175" spans="1:10" s="204" customFormat="1">
      <c r="A175" s="204" t="s">
        <v>775</v>
      </c>
      <c r="B175" s="204">
        <v>293.10000000000002</v>
      </c>
      <c r="C175" s="204" t="s">
        <v>674</v>
      </c>
      <c r="D175" s="205">
        <v>50.056321440000147</v>
      </c>
      <c r="E175" s="205"/>
      <c r="F175" s="205"/>
      <c r="G175" s="204" t="s">
        <v>714</v>
      </c>
      <c r="H175" s="204">
        <v>316</v>
      </c>
      <c r="I175" s="204" t="s">
        <v>776</v>
      </c>
    </row>
    <row r="176" spans="1:10" s="204" customFormat="1">
      <c r="A176" s="204" t="s">
        <v>777</v>
      </c>
      <c r="B176" s="204">
        <v>165.2</v>
      </c>
      <c r="C176" s="204" t="s">
        <v>674</v>
      </c>
      <c r="D176" s="205">
        <v>28.213252480000076</v>
      </c>
      <c r="E176" s="205"/>
      <c r="F176" s="205"/>
      <c r="G176" s="204" t="s">
        <v>714</v>
      </c>
      <c r="H176" s="204">
        <v>316</v>
      </c>
      <c r="I176" s="204" t="s">
        <v>778</v>
      </c>
    </row>
    <row r="177" spans="1:10" s="204" customFormat="1">
      <c r="A177" s="204" t="s">
        <v>779</v>
      </c>
      <c r="B177" s="210">
        <v>13.799999999999999</v>
      </c>
      <c r="C177" s="204" t="s">
        <v>747</v>
      </c>
      <c r="D177" s="205">
        <v>2.1651549270931403</v>
      </c>
      <c r="E177" s="205"/>
      <c r="F177" s="205"/>
      <c r="G177" s="204" t="s">
        <v>714</v>
      </c>
      <c r="H177" s="204">
        <v>144</v>
      </c>
      <c r="I177" s="204" t="s">
        <v>780</v>
      </c>
      <c r="J177" s="204" t="s">
        <v>749</v>
      </c>
    </row>
    <row r="178" spans="1:10" s="204" customFormat="1">
      <c r="A178" s="204" t="s">
        <v>781</v>
      </c>
      <c r="B178" s="210">
        <v>10.929411764705883</v>
      </c>
      <c r="C178" s="204" t="s">
        <v>747</v>
      </c>
      <c r="D178" s="205">
        <v>1.7147731690277301</v>
      </c>
      <c r="E178" s="205"/>
      <c r="F178" s="205"/>
      <c r="G178" s="204" t="s">
        <v>714</v>
      </c>
      <c r="H178" s="204">
        <v>144</v>
      </c>
      <c r="I178" s="204" t="s">
        <v>782</v>
      </c>
      <c r="J178" s="204" t="s">
        <v>749</v>
      </c>
    </row>
    <row r="179" spans="1:10" s="204" customFormat="1">
      <c r="A179" s="204" t="s">
        <v>783</v>
      </c>
      <c r="B179" s="210">
        <v>3.835294117647059</v>
      </c>
      <c r="C179" s="204" t="s">
        <v>747</v>
      </c>
      <c r="D179" s="205">
        <v>0.60173956200542522</v>
      </c>
      <c r="E179" s="205"/>
      <c r="F179" s="205"/>
      <c r="G179" s="204" t="s">
        <v>714</v>
      </c>
      <c r="H179" s="204">
        <v>144</v>
      </c>
      <c r="I179" s="204" t="s">
        <v>784</v>
      </c>
      <c r="J179" s="204" t="s">
        <v>749</v>
      </c>
    </row>
    <row r="180" spans="1:10" s="204" customFormat="1">
      <c r="A180" s="204" t="s">
        <v>785</v>
      </c>
      <c r="B180" s="210">
        <v>83.058823529411768</v>
      </c>
      <c r="C180" s="204" t="s">
        <v>747</v>
      </c>
      <c r="D180" s="205">
        <v>13.031537753859823</v>
      </c>
      <c r="E180" s="205"/>
      <c r="F180" s="205"/>
      <c r="G180" s="204" t="s">
        <v>714</v>
      </c>
      <c r="H180" s="204">
        <v>144</v>
      </c>
      <c r="I180" s="204" t="s">
        <v>786</v>
      </c>
      <c r="J180" s="204" t="s">
        <v>749</v>
      </c>
    </row>
    <row r="181" spans="1:10" s="204" customFormat="1">
      <c r="D181" s="205"/>
      <c r="E181" s="205"/>
      <c r="F181" s="205"/>
    </row>
    <row r="182" spans="1:10" s="219" customFormat="1">
      <c r="A182" s="203" t="s">
        <v>787</v>
      </c>
      <c r="D182" s="220"/>
      <c r="E182" s="220"/>
      <c r="F182" s="220"/>
    </row>
    <row r="183" spans="1:10" s="204" customFormat="1">
      <c r="A183" s="204" t="s">
        <v>788</v>
      </c>
      <c r="B183" s="210">
        <v>1181.8681318681317</v>
      </c>
      <c r="C183" s="204" t="s">
        <v>674</v>
      </c>
      <c r="D183" s="205">
        <v>201.84227604395659</v>
      </c>
      <c r="E183" s="205"/>
      <c r="F183" s="205"/>
      <c r="G183" s="204" t="s">
        <v>714</v>
      </c>
      <c r="H183" s="204">
        <v>316</v>
      </c>
      <c r="I183" s="204" t="s">
        <v>789</v>
      </c>
      <c r="J183" s="204" t="s">
        <v>790</v>
      </c>
    </row>
    <row r="184" spans="1:10" s="204" customFormat="1">
      <c r="A184" s="204" t="s">
        <v>791</v>
      </c>
      <c r="B184" s="210">
        <v>4642</v>
      </c>
      <c r="C184" s="204" t="s">
        <v>674</v>
      </c>
      <c r="D184" s="205">
        <v>792.77190080000219</v>
      </c>
      <c r="E184" s="205"/>
      <c r="F184" s="205"/>
      <c r="G184" s="204" t="s">
        <v>714</v>
      </c>
      <c r="H184" s="204">
        <v>316</v>
      </c>
      <c r="I184" s="204" t="s">
        <v>792</v>
      </c>
      <c r="J184" s="204" t="s">
        <v>793</v>
      </c>
    </row>
    <row r="185" spans="1:10" s="204" customFormat="1">
      <c r="A185" s="204" t="s">
        <v>794</v>
      </c>
      <c r="B185" s="210">
        <v>536.4</v>
      </c>
      <c r="C185" s="204" t="s">
        <v>747</v>
      </c>
      <c r="D185" s="205">
        <v>84.158630644402933</v>
      </c>
      <c r="E185" s="205"/>
      <c r="F185" s="205"/>
      <c r="G185" s="204" t="s">
        <v>714</v>
      </c>
      <c r="H185" s="204">
        <v>144</v>
      </c>
      <c r="I185" s="204" t="s">
        <v>795</v>
      </c>
      <c r="J185" s="204" t="s">
        <v>749</v>
      </c>
    </row>
    <row r="186" spans="1:10" s="204" customFormat="1">
      <c r="A186" s="204" t="s">
        <v>796</v>
      </c>
      <c r="B186" s="210">
        <v>4.2352941176470589</v>
      </c>
      <c r="C186" s="204" t="s">
        <v>747</v>
      </c>
      <c r="D186" s="205">
        <v>0.66449767583421193</v>
      </c>
      <c r="E186" s="205"/>
      <c r="F186" s="205"/>
      <c r="G186" s="204" t="s">
        <v>714</v>
      </c>
      <c r="H186" s="204">
        <v>144</v>
      </c>
      <c r="I186" s="204" t="s">
        <v>797</v>
      </c>
      <c r="J186" s="204" t="s">
        <v>749</v>
      </c>
    </row>
    <row r="187" spans="1:10" s="204" customFormat="1">
      <c r="B187" s="210"/>
      <c r="D187" s="205"/>
      <c r="E187" s="205"/>
      <c r="F187" s="205"/>
    </row>
    <row r="188" spans="1:10" s="219" customFormat="1">
      <c r="A188" s="203" t="s">
        <v>798</v>
      </c>
      <c r="D188" s="220"/>
      <c r="E188" s="220"/>
      <c r="F188" s="220"/>
    </row>
    <row r="189" spans="1:10" s="204" customFormat="1">
      <c r="A189" s="204" t="s">
        <v>799</v>
      </c>
      <c r="B189" s="204">
        <v>715</v>
      </c>
      <c r="C189" s="204" t="s">
        <v>713</v>
      </c>
      <c r="D189" s="205">
        <v>107.3481636080021</v>
      </c>
      <c r="E189" s="205"/>
      <c r="F189" s="205"/>
      <c r="G189" s="204" t="s">
        <v>714</v>
      </c>
      <c r="H189" s="204">
        <v>215</v>
      </c>
      <c r="I189" s="204" t="s">
        <v>800</v>
      </c>
      <c r="J189" s="204" t="s">
        <v>801</v>
      </c>
    </row>
    <row r="190" spans="1:10" s="204" customFormat="1">
      <c r="A190" s="204" t="s">
        <v>802</v>
      </c>
      <c r="B190" s="204">
        <v>390</v>
      </c>
      <c r="C190" s="204" t="s">
        <v>713</v>
      </c>
      <c r="D190" s="205">
        <v>58.553543786182964</v>
      </c>
      <c r="E190" s="205"/>
      <c r="F190" s="205"/>
      <c r="G190" s="204" t="s">
        <v>714</v>
      </c>
      <c r="H190" s="204">
        <v>228</v>
      </c>
      <c r="I190" s="204" t="s">
        <v>803</v>
      </c>
      <c r="J190" s="204" t="s">
        <v>801</v>
      </c>
    </row>
    <row r="191" spans="1:10" s="204" customFormat="1">
      <c r="A191" s="204" t="s">
        <v>804</v>
      </c>
      <c r="B191" s="204">
        <v>520</v>
      </c>
      <c r="C191" s="204" t="s">
        <v>713</v>
      </c>
      <c r="D191" s="205">
        <v>78.071391714910618</v>
      </c>
      <c r="E191" s="205"/>
      <c r="F191" s="205"/>
      <c r="G191" s="204" t="s">
        <v>714</v>
      </c>
      <c r="H191" s="204">
        <v>223</v>
      </c>
      <c r="I191" s="204" t="s">
        <v>805</v>
      </c>
      <c r="J191" s="204" t="s">
        <v>801</v>
      </c>
    </row>
    <row r="192" spans="1:10" s="204" customFormat="1">
      <c r="A192" s="204" t="s">
        <v>806</v>
      </c>
      <c r="B192" s="204">
        <v>393</v>
      </c>
      <c r="C192" s="204" t="s">
        <v>713</v>
      </c>
      <c r="D192" s="205">
        <v>59.003955661461291</v>
      </c>
      <c r="E192" s="205"/>
      <c r="F192" s="205"/>
      <c r="G192" s="204" t="s">
        <v>714</v>
      </c>
      <c r="H192" s="204">
        <v>221</v>
      </c>
      <c r="I192" s="204" t="s">
        <v>807</v>
      </c>
      <c r="J192" s="204" t="s">
        <v>801</v>
      </c>
    </row>
    <row r="193" spans="1:10" s="204" customFormat="1">
      <c r="A193" s="204" t="s">
        <v>808</v>
      </c>
      <c r="B193" s="204">
        <v>775</v>
      </c>
      <c r="C193" s="204" t="s">
        <v>713</v>
      </c>
      <c r="D193" s="205">
        <v>116.35640111356871</v>
      </c>
      <c r="E193" s="205"/>
      <c r="F193" s="205"/>
      <c r="G193" s="204" t="s">
        <v>714</v>
      </c>
      <c r="H193" s="204">
        <v>215</v>
      </c>
      <c r="I193" s="204" t="s">
        <v>809</v>
      </c>
      <c r="J193" s="204" t="s">
        <v>801</v>
      </c>
    </row>
    <row r="194" spans="1:10" s="204" customFormat="1">
      <c r="A194" s="204" t="s">
        <v>810</v>
      </c>
      <c r="B194" s="204">
        <v>800</v>
      </c>
      <c r="C194" s="204" t="s">
        <v>713</v>
      </c>
      <c r="D194" s="205">
        <v>120.10983340755479</v>
      </c>
      <c r="E194" s="205"/>
      <c r="F194" s="205"/>
      <c r="G194" s="204" t="s">
        <v>714</v>
      </c>
      <c r="H194" s="204">
        <v>228</v>
      </c>
      <c r="I194" s="204" t="s">
        <v>811</v>
      </c>
      <c r="J194" s="204" t="s">
        <v>801</v>
      </c>
    </row>
    <row r="195" spans="1:10" s="204" customFormat="1">
      <c r="A195" s="204" t="s">
        <v>812</v>
      </c>
      <c r="B195" s="204">
        <v>1760</v>
      </c>
      <c r="C195" s="204" t="s">
        <v>713</v>
      </c>
      <c r="D195" s="205">
        <v>264.24163349662052</v>
      </c>
      <c r="E195" s="205"/>
      <c r="F195" s="205"/>
      <c r="G195" s="204" t="s">
        <v>714</v>
      </c>
      <c r="H195" s="204">
        <v>223</v>
      </c>
      <c r="I195" s="204" t="s">
        <v>813</v>
      </c>
      <c r="J195" s="204" t="s">
        <v>801</v>
      </c>
    </row>
    <row r="196" spans="1:10" s="204" customFormat="1">
      <c r="A196" s="204" t="s">
        <v>814</v>
      </c>
      <c r="B196" s="204">
        <v>445</v>
      </c>
      <c r="C196" s="204" t="s">
        <v>713</v>
      </c>
      <c r="D196" s="205">
        <v>66.81109483295235</v>
      </c>
      <c r="E196" s="205"/>
      <c r="F196" s="205"/>
      <c r="G196" s="204" t="s">
        <v>714</v>
      </c>
      <c r="H196" s="204">
        <v>221</v>
      </c>
      <c r="I196" s="204" t="s">
        <v>815</v>
      </c>
      <c r="J196" s="204" t="s">
        <v>801</v>
      </c>
    </row>
    <row r="197" spans="1:10" s="204" customFormat="1">
      <c r="A197" s="204" t="s">
        <v>816</v>
      </c>
      <c r="B197" s="204">
        <v>1675</v>
      </c>
      <c r="C197" s="204" t="s">
        <v>713</v>
      </c>
      <c r="D197" s="205">
        <v>251.47996369706786</v>
      </c>
      <c r="E197" s="205"/>
      <c r="F197" s="205"/>
      <c r="G197" s="204" t="s">
        <v>714</v>
      </c>
      <c r="H197" s="204">
        <v>181</v>
      </c>
      <c r="I197" s="204" t="s">
        <v>817</v>
      </c>
    </row>
    <row r="198" spans="1:10" s="204" customFormat="1">
      <c r="A198" s="204" t="s">
        <v>818</v>
      </c>
      <c r="B198" s="204">
        <v>1378</v>
      </c>
      <c r="C198" s="204" t="s">
        <v>713</v>
      </c>
      <c r="D198" s="205">
        <v>206.88918804451311</v>
      </c>
      <c r="E198" s="205"/>
      <c r="F198" s="205"/>
      <c r="G198" s="204" t="s">
        <v>714</v>
      </c>
      <c r="H198" s="204">
        <v>190</v>
      </c>
      <c r="I198" s="204" t="s">
        <v>819</v>
      </c>
    </row>
    <row r="199" spans="1:10" s="204" customFormat="1">
      <c r="A199" s="204" t="s">
        <v>820</v>
      </c>
      <c r="B199" s="204">
        <v>2608</v>
      </c>
      <c r="C199" s="204" t="s">
        <v>713</v>
      </c>
      <c r="D199" s="205">
        <v>391.55805690862866</v>
      </c>
      <c r="E199" s="205"/>
      <c r="F199" s="205"/>
      <c r="G199" s="204" t="s">
        <v>714</v>
      </c>
      <c r="H199" s="204">
        <v>192</v>
      </c>
      <c r="I199" s="204" t="s">
        <v>821</v>
      </c>
    </row>
    <row r="200" spans="1:10" s="204" customFormat="1">
      <c r="A200" s="204" t="s">
        <v>822</v>
      </c>
      <c r="B200" s="204">
        <v>1240</v>
      </c>
      <c r="C200" s="204" t="s">
        <v>713</v>
      </c>
      <c r="D200" s="205">
        <v>186.17024178170993</v>
      </c>
      <c r="E200" s="205"/>
      <c r="F200" s="205"/>
      <c r="G200" s="204" t="s">
        <v>714</v>
      </c>
      <c r="H200" s="204">
        <v>196</v>
      </c>
      <c r="I200" s="204" t="s">
        <v>823</v>
      </c>
    </row>
    <row r="201" spans="1:10" s="204" customFormat="1">
      <c r="A201" s="204" t="s">
        <v>824</v>
      </c>
      <c r="B201" s="204">
        <v>2560</v>
      </c>
      <c r="C201" s="204" t="s">
        <v>713</v>
      </c>
      <c r="D201" s="205">
        <v>384.35146690417531</v>
      </c>
      <c r="E201" s="205"/>
      <c r="F201" s="205"/>
      <c r="G201" s="204" t="s">
        <v>714</v>
      </c>
      <c r="H201" s="204">
        <v>36</v>
      </c>
      <c r="I201" s="204" t="s">
        <v>825</v>
      </c>
    </row>
    <row r="202" spans="1:10" s="204" customFormat="1">
      <c r="A202" s="204" t="s">
        <v>826</v>
      </c>
      <c r="B202" s="204">
        <v>2315</v>
      </c>
      <c r="C202" s="204" t="s">
        <v>713</v>
      </c>
      <c r="D202" s="205">
        <v>347.56783042311167</v>
      </c>
      <c r="E202" s="205"/>
      <c r="F202" s="205"/>
      <c r="G202" s="204" t="s">
        <v>714</v>
      </c>
      <c r="H202" s="204">
        <v>38</v>
      </c>
      <c r="I202" s="204" t="s">
        <v>827</v>
      </c>
    </row>
    <row r="203" spans="1:10" s="204" customFormat="1">
      <c r="A203" s="204" t="s">
        <v>828</v>
      </c>
      <c r="B203" s="204">
        <v>2103</v>
      </c>
      <c r="C203" s="204" t="s">
        <v>713</v>
      </c>
      <c r="D203" s="205">
        <v>315.73872457010964</v>
      </c>
      <c r="E203" s="205"/>
      <c r="F203" s="205"/>
      <c r="G203" s="204" t="s">
        <v>714</v>
      </c>
      <c r="H203" s="204">
        <v>30</v>
      </c>
      <c r="I203" s="204" t="s">
        <v>829</v>
      </c>
    </row>
    <row r="204" spans="1:10" s="204" customFormat="1">
      <c r="A204" s="204" t="s">
        <v>830</v>
      </c>
      <c r="B204" s="204">
        <v>1310</v>
      </c>
      <c r="C204" s="204" t="s">
        <v>713</v>
      </c>
      <c r="D204" s="205">
        <v>196.67985220487097</v>
      </c>
      <c r="E204" s="205"/>
      <c r="F204" s="205"/>
      <c r="G204" s="204" t="s">
        <v>714</v>
      </c>
      <c r="H204" s="204">
        <v>25</v>
      </c>
      <c r="I204" s="204" t="s">
        <v>831</v>
      </c>
    </row>
    <row r="205" spans="1:10" s="219" customFormat="1">
      <c r="A205" s="203" t="s">
        <v>832</v>
      </c>
      <c r="D205" s="220"/>
      <c r="E205" s="220"/>
      <c r="F205" s="220"/>
    </row>
    <row r="206" spans="1:10" s="204" customFormat="1">
      <c r="A206" s="204" t="s">
        <v>833</v>
      </c>
      <c r="D206" s="205">
        <v>15.92</v>
      </c>
      <c r="E206" s="205"/>
      <c r="F206" s="205"/>
      <c r="I206" s="204" t="s">
        <v>679</v>
      </c>
    </row>
    <row r="207" spans="1:10" s="204" customFormat="1"/>
    <row r="208" spans="1:10" s="37" customFormat="1">
      <c r="A208" s="37" t="s">
        <v>835</v>
      </c>
    </row>
    <row r="209" spans="1:46" s="204" customFormat="1"/>
    <row r="210" spans="1:46" s="204" customFormat="1" ht="15.6">
      <c r="A210" s="178" t="s">
        <v>836</v>
      </c>
      <c r="B210" s="222" t="s">
        <v>837</v>
      </c>
      <c r="C210" s="223">
        <v>6.6</v>
      </c>
      <c r="D210" s="17" t="s">
        <v>838</v>
      </c>
      <c r="E210" s="17"/>
      <c r="F210" s="17"/>
      <c r="G210" s="224" t="s">
        <v>839</v>
      </c>
      <c r="H210" s="17"/>
      <c r="I210" s="17"/>
      <c r="J210" s="18"/>
      <c r="K210" s="18"/>
      <c r="L210" s="18"/>
      <c r="M210" s="17"/>
      <c r="N210" s="17"/>
    </row>
    <row r="211" spans="1:46" s="204" customFormat="1">
      <c r="A211" s="17"/>
      <c r="B211" s="17"/>
      <c r="C211" s="17"/>
      <c r="D211" s="17"/>
      <c r="E211" s="17"/>
      <c r="F211" s="17"/>
      <c r="G211" s="17"/>
      <c r="H211" s="17"/>
      <c r="I211" s="17"/>
      <c r="J211" s="18"/>
      <c r="K211" s="18"/>
      <c r="L211" s="18"/>
      <c r="M211" s="17"/>
      <c r="N211" s="17"/>
    </row>
    <row r="212" spans="1:46" ht="41.4">
      <c r="A212" s="11"/>
      <c r="B212" s="12"/>
      <c r="C212" s="13" t="s">
        <v>49</v>
      </c>
      <c r="D212" s="13" t="s">
        <v>50</v>
      </c>
      <c r="E212" s="13"/>
      <c r="F212" s="13"/>
      <c r="G212" s="13" t="s">
        <v>51</v>
      </c>
      <c r="H212" s="13" t="s">
        <v>52</v>
      </c>
      <c r="I212" s="13" t="s">
        <v>53</v>
      </c>
      <c r="J212" s="14" t="s">
        <v>54</v>
      </c>
      <c r="K212" s="14" t="s">
        <v>55</v>
      </c>
      <c r="L212" s="14" t="s">
        <v>840</v>
      </c>
      <c r="M212" s="15" t="s">
        <v>57</v>
      </c>
      <c r="N212" s="225"/>
      <c r="X212" s="256" t="s">
        <v>1062</v>
      </c>
      <c r="AK212" s="37" t="s">
        <v>1130</v>
      </c>
      <c r="AL212" s="37"/>
      <c r="AM212" s="37"/>
      <c r="AN212" s="37"/>
    </row>
    <row r="213" spans="1:46" ht="72.599999999999994" thickBot="1">
      <c r="A213" s="16"/>
      <c r="B213" s="16"/>
      <c r="C213" s="17"/>
      <c r="D213" s="17"/>
      <c r="E213" s="17"/>
      <c r="F213" s="17"/>
      <c r="G213" s="17"/>
      <c r="H213" s="17"/>
      <c r="I213" s="17"/>
      <c r="J213" s="18"/>
      <c r="K213" s="18"/>
      <c r="L213" s="18"/>
      <c r="M213" s="17"/>
      <c r="N213" s="17"/>
      <c r="X213" s="256" t="s">
        <v>1063</v>
      </c>
      <c r="AK213" s="271" t="s">
        <v>1104</v>
      </c>
      <c r="AL213" s="271" t="s">
        <v>1103</v>
      </c>
      <c r="AM213" s="258" t="s">
        <v>1073</v>
      </c>
      <c r="AN213" s="258" t="s">
        <v>1074</v>
      </c>
      <c r="AP213" s="269" t="s">
        <v>1087</v>
      </c>
      <c r="AQ213" s="270" t="s">
        <v>1086</v>
      </c>
      <c r="AR213" s="269">
        <f>180*(AL214+17.22+AL216+AL218+AL219)+420*(AL215+AL218+AL219)</f>
        <v>139413.59999999998</v>
      </c>
      <c r="AS213">
        <f>AR213/$C$210</f>
        <v>21123.272727272724</v>
      </c>
      <c r="AT213">
        <f>AS213/20</f>
        <v>1056.1636363636362</v>
      </c>
    </row>
    <row r="214" spans="1:46" ht="36">
      <c r="A214" s="19" t="s">
        <v>58</v>
      </c>
      <c r="B214" s="20" t="s">
        <v>59</v>
      </c>
      <c r="C214" s="20">
        <v>3</v>
      </c>
      <c r="D214" s="20">
        <v>2</v>
      </c>
      <c r="E214" s="20"/>
      <c r="F214" s="20"/>
      <c r="G214" s="21">
        <f>C214*D214*7*4</f>
        <v>168</v>
      </c>
      <c r="H214" s="20">
        <f>3*7*8</f>
        <v>168</v>
      </c>
      <c r="I214" s="20">
        <v>20.25</v>
      </c>
      <c r="J214" s="22">
        <f>I214/H214</f>
        <v>0.12053571428571429</v>
      </c>
      <c r="K214" s="22">
        <f>G214*J214</f>
        <v>20.25</v>
      </c>
      <c r="L214" s="22">
        <f t="shared" ref="L214:L229" si="2">K214*$C$210</f>
        <v>133.65</v>
      </c>
      <c r="M214" s="17" t="s">
        <v>60</v>
      </c>
      <c r="N214" s="17"/>
      <c r="X214" s="256" t="s">
        <v>1064</v>
      </c>
      <c r="AK214" s="271" t="s">
        <v>1102</v>
      </c>
      <c r="AL214" s="271">
        <v>18.98</v>
      </c>
      <c r="AM214">
        <f>AL214*30*6</f>
        <v>3416.3999999999996</v>
      </c>
      <c r="AN214">
        <f>AL214*24*30</f>
        <v>13665.599999999999</v>
      </c>
      <c r="AP214" s="269" t="s">
        <v>1085</v>
      </c>
      <c r="AQ214" s="270" t="s">
        <v>1084</v>
      </c>
      <c r="AR214" s="269">
        <f>180*(AL227+AL215+AL225+AL219+AL221)+540*(AL214+AL225+AL219+AL221)</f>
        <v>82499.399999999994</v>
      </c>
      <c r="AS214">
        <f>AR214/$C$210</f>
        <v>12499.90909090909</v>
      </c>
      <c r="AT214" s="272">
        <f>AS214/24</f>
        <v>520.82954545454538</v>
      </c>
    </row>
    <row r="215" spans="1:46" ht="60.6" thickBot="1">
      <c r="A215" s="17" t="s">
        <v>61</v>
      </c>
      <c r="B215" s="20" t="s">
        <v>62</v>
      </c>
      <c r="C215" s="20">
        <v>3</v>
      </c>
      <c r="D215" s="20">
        <v>4</v>
      </c>
      <c r="E215" s="20"/>
      <c r="F215" s="20"/>
      <c r="G215" s="21">
        <f>C215*D215*7*4</f>
        <v>336</v>
      </c>
      <c r="H215" s="20">
        <f>3*7*16</f>
        <v>336</v>
      </c>
      <c r="I215" s="20">
        <v>11.57</v>
      </c>
      <c r="J215" s="22">
        <f>I215/H215</f>
        <v>3.4434523809523811E-2</v>
      </c>
      <c r="K215" s="22">
        <f>G215*J215</f>
        <v>11.57</v>
      </c>
      <c r="L215" s="22">
        <f t="shared" si="2"/>
        <v>76.361999999999995</v>
      </c>
      <c r="M215" s="23"/>
      <c r="N215" s="17"/>
      <c r="X215" s="256"/>
      <c r="AK215" s="271" t="s">
        <v>1101</v>
      </c>
      <c r="AL215" s="271">
        <v>23.27</v>
      </c>
      <c r="AM215" s="271">
        <f>AL215*30*14</f>
        <v>9773.4</v>
      </c>
      <c r="AP215" s="269" t="s">
        <v>1083</v>
      </c>
      <c r="AQ215" s="270" t="s">
        <v>1082</v>
      </c>
      <c r="AR215" s="269">
        <f>180*(AL224+AL215+AL225+AL218+AL221+AL228+AL220)+210*(AL215+AL218+AL221+AL220)</f>
        <v>22230.9</v>
      </c>
      <c r="AS215">
        <f>AR215/$C$210</f>
        <v>3368.3181818181824</v>
      </c>
      <c r="AT215">
        <f>AS215/9</f>
        <v>374.25757575757581</v>
      </c>
    </row>
    <row r="216" spans="1:46" ht="15" thickBot="1">
      <c r="A216" s="17"/>
      <c r="B216" s="24" t="s">
        <v>63</v>
      </c>
      <c r="J216" s="25"/>
      <c r="K216" s="22">
        <f>SUM(K214:K215)</f>
        <v>31.82</v>
      </c>
      <c r="L216" s="22">
        <f t="shared" si="2"/>
        <v>210.012</v>
      </c>
      <c r="M216" s="235"/>
      <c r="N216" s="17"/>
      <c r="O216" s="26"/>
      <c r="X216" s="302"/>
      <c r="Y216" s="303"/>
      <c r="Z216" s="257">
        <v>2018</v>
      </c>
      <c r="AA216" s="257" t="s">
        <v>1065</v>
      </c>
      <c r="AB216" s="257" t="s">
        <v>1066</v>
      </c>
      <c r="AC216" s="257" t="s">
        <v>1067</v>
      </c>
      <c r="AD216" s="257" t="s">
        <v>1068</v>
      </c>
      <c r="AE216" s="257" t="s">
        <v>1069</v>
      </c>
      <c r="AK216" s="271" t="s">
        <v>1100</v>
      </c>
      <c r="AL216" s="271">
        <v>329.69</v>
      </c>
      <c r="AM216" s="271">
        <f>AL216*30*6</f>
        <v>59344.200000000004</v>
      </c>
    </row>
    <row r="217" spans="1:46" ht="15" thickBot="1">
      <c r="A217" s="17"/>
      <c r="B217" s="17"/>
      <c r="C217" s="17"/>
      <c r="D217" s="17"/>
      <c r="E217" s="17"/>
      <c r="F217" s="17"/>
      <c r="G217" s="17"/>
      <c r="H217" s="17"/>
      <c r="I217" s="17"/>
      <c r="J217" s="18"/>
      <c r="K217" s="18"/>
      <c r="L217" s="17"/>
      <c r="M217" s="17"/>
      <c r="N217" s="17"/>
      <c r="X217" s="304" t="s">
        <v>1070</v>
      </c>
      <c r="Y217" s="305"/>
      <c r="Z217" s="263">
        <v>0</v>
      </c>
      <c r="AA217" s="264">
        <v>0.1</v>
      </c>
      <c r="AB217" s="264">
        <v>0.3</v>
      </c>
      <c r="AC217" s="264">
        <v>0.4</v>
      </c>
      <c r="AD217" s="264">
        <v>0.4</v>
      </c>
      <c r="AE217" s="264">
        <v>0.4</v>
      </c>
      <c r="AK217" s="271" t="s">
        <v>1099</v>
      </c>
      <c r="AL217" s="271">
        <v>110</v>
      </c>
      <c r="AM217" s="271">
        <f>AL217*30*6</f>
        <v>19800</v>
      </c>
    </row>
    <row r="218" spans="1:46" ht="72.599999999999994" thickBot="1">
      <c r="A218" s="19" t="s">
        <v>841</v>
      </c>
      <c r="B218" s="31" t="s">
        <v>83</v>
      </c>
      <c r="C218" s="17" t="s">
        <v>1084</v>
      </c>
      <c r="D218" s="17" t="s">
        <v>1086</v>
      </c>
      <c r="E218" s="17"/>
      <c r="F218" s="17"/>
      <c r="G218" s="17"/>
      <c r="H218" s="17"/>
      <c r="I218" s="17"/>
      <c r="J218" s="18"/>
      <c r="K218" s="18"/>
      <c r="L218" s="17"/>
      <c r="M218" s="17"/>
      <c r="N218" s="17"/>
      <c r="X218" s="260" t="s">
        <v>1071</v>
      </c>
      <c r="Y218" s="258" t="s">
        <v>1073</v>
      </c>
      <c r="Z218" s="258">
        <v>0</v>
      </c>
      <c r="AA218" s="259">
        <v>0.1</v>
      </c>
      <c r="AB218" s="259">
        <v>0.3</v>
      </c>
      <c r="AC218" s="259">
        <v>0.4</v>
      </c>
      <c r="AD218" s="259">
        <v>0.5</v>
      </c>
      <c r="AE218" s="259">
        <v>0.55000000000000004</v>
      </c>
      <c r="AK218" s="271" t="s">
        <v>1098</v>
      </c>
      <c r="AL218" s="271">
        <v>24.7</v>
      </c>
      <c r="AM218" s="271">
        <f>AL218*30*20</f>
        <v>14820</v>
      </c>
    </row>
    <row r="219" spans="1:46" ht="48.6" thickBot="1">
      <c r="A219" s="17" t="s">
        <v>84</v>
      </c>
      <c r="B219" s="20" t="s">
        <v>87</v>
      </c>
      <c r="C219" s="20">
        <v>3</v>
      </c>
      <c r="D219" s="20">
        <v>6</v>
      </c>
      <c r="E219" s="20"/>
      <c r="F219" s="20"/>
      <c r="G219" s="21">
        <f>C219*D219*7*4</f>
        <v>504</v>
      </c>
      <c r="H219" s="20">
        <v>100</v>
      </c>
      <c r="I219" s="20">
        <v>18.25</v>
      </c>
      <c r="J219" s="22">
        <f>I219/H219</f>
        <v>0.1825</v>
      </c>
      <c r="K219" s="22">
        <f>G219*J219</f>
        <v>91.98</v>
      </c>
      <c r="L219" s="22">
        <f t="shared" si="2"/>
        <v>607.06799999999998</v>
      </c>
      <c r="M219" s="17"/>
      <c r="N219" s="17"/>
      <c r="X219" s="261" t="s">
        <v>1072</v>
      </c>
      <c r="Y219" s="258" t="s">
        <v>1074</v>
      </c>
      <c r="Z219" s="259">
        <v>1</v>
      </c>
      <c r="AA219" s="259">
        <v>0.8</v>
      </c>
      <c r="AB219" s="259">
        <v>0.4</v>
      </c>
      <c r="AC219" s="259">
        <v>0.2</v>
      </c>
      <c r="AD219" s="259">
        <v>0.1</v>
      </c>
      <c r="AE219" s="259">
        <v>0.05</v>
      </c>
      <c r="AK219" s="271" t="s">
        <v>1097</v>
      </c>
      <c r="AL219" s="271">
        <v>81.599999999999994</v>
      </c>
      <c r="AM219" s="271">
        <f>AL219*30*14</f>
        <v>34272</v>
      </c>
      <c r="AN219">
        <f>AL219*30*18</f>
        <v>44064</v>
      </c>
    </row>
    <row r="220" spans="1:46">
      <c r="A220" s="17"/>
      <c r="B220" s="20" t="s">
        <v>99</v>
      </c>
      <c r="C220" s="20">
        <v>3</v>
      </c>
      <c r="D220" s="20">
        <v>6</v>
      </c>
      <c r="E220" s="20"/>
      <c r="F220" s="20"/>
      <c r="G220" s="21">
        <f>C220*D220*7*4</f>
        <v>504</v>
      </c>
      <c r="H220" s="20">
        <v>100</v>
      </c>
      <c r="I220" s="20">
        <v>28.8</v>
      </c>
      <c r="J220" s="22">
        <f>I220/H220</f>
        <v>0.28800000000000003</v>
      </c>
      <c r="K220" s="22">
        <f>G220*J220</f>
        <v>145.15200000000002</v>
      </c>
      <c r="L220" s="22">
        <f t="shared" si="2"/>
        <v>958.00319999999999</v>
      </c>
      <c r="M220" s="17"/>
      <c r="N220" s="17"/>
      <c r="X220" s="256"/>
      <c r="AK220" s="271" t="s">
        <v>1096</v>
      </c>
      <c r="AL220" s="271">
        <v>0.63</v>
      </c>
      <c r="AM220" s="271"/>
    </row>
    <row r="221" spans="1:46">
      <c r="A221" s="17"/>
      <c r="B221" s="20" t="s">
        <v>101</v>
      </c>
      <c r="C221" s="20">
        <v>2</v>
      </c>
      <c r="D221" s="20">
        <v>6</v>
      </c>
      <c r="E221" s="20"/>
      <c r="F221" s="20"/>
      <c r="G221" s="21">
        <f>C221*D221*7*4</f>
        <v>336</v>
      </c>
      <c r="H221" s="20">
        <v>100</v>
      </c>
      <c r="I221" s="20">
        <v>4.91</v>
      </c>
      <c r="J221" s="22">
        <f>I221/H221</f>
        <v>4.9100000000000005E-2</v>
      </c>
      <c r="K221" s="22">
        <f>G221*J221</f>
        <v>16.497600000000002</v>
      </c>
      <c r="L221" s="22">
        <f t="shared" si="2"/>
        <v>108.88416000000001</v>
      </c>
      <c r="M221" s="17"/>
      <c r="N221" s="17"/>
      <c r="X221" s="262" t="s">
        <v>1075</v>
      </c>
      <c r="AK221" s="271" t="s">
        <v>1095</v>
      </c>
      <c r="AL221" s="271">
        <v>2.5499999999999998</v>
      </c>
      <c r="AM221" s="271"/>
      <c r="AN221">
        <f>AL221*30*24</f>
        <v>1836</v>
      </c>
    </row>
    <row r="222" spans="1:46">
      <c r="A222" s="17"/>
      <c r="B222" s="20" t="s">
        <v>842</v>
      </c>
      <c r="C222" s="20">
        <v>1</v>
      </c>
      <c r="D222" s="20">
        <v>6</v>
      </c>
      <c r="E222" s="20"/>
      <c r="F222" s="20"/>
      <c r="G222" s="21">
        <f>C222*D222*7*4</f>
        <v>168</v>
      </c>
      <c r="H222" s="20">
        <v>1</v>
      </c>
      <c r="I222" s="20">
        <v>4.7</v>
      </c>
      <c r="J222" s="22">
        <f>I222/H222</f>
        <v>4.7</v>
      </c>
      <c r="K222" s="22">
        <f>G222*J222</f>
        <v>789.6</v>
      </c>
      <c r="L222" s="22">
        <f t="shared" si="2"/>
        <v>5211.3599999999997</v>
      </c>
      <c r="M222" s="17"/>
      <c r="N222" s="17"/>
      <c r="X222" s="262" t="s">
        <v>1076</v>
      </c>
      <c r="AK222" s="271" t="s">
        <v>1094</v>
      </c>
      <c r="AL222" s="271">
        <v>270.62</v>
      </c>
      <c r="AM222" s="271"/>
    </row>
    <row r="223" spans="1:46">
      <c r="A223" s="17"/>
      <c r="B223" s="20" t="s">
        <v>91</v>
      </c>
      <c r="C223" s="20">
        <v>4</v>
      </c>
      <c r="D223" s="20">
        <v>6</v>
      </c>
      <c r="E223" s="20"/>
      <c r="F223" s="20"/>
      <c r="G223" s="21">
        <f>C223*D223*7*4</f>
        <v>672</v>
      </c>
      <c r="H223" s="20">
        <v>672</v>
      </c>
      <c r="I223" s="20">
        <v>21</v>
      </c>
      <c r="J223" s="22">
        <f>I223/H223</f>
        <v>3.125E-2</v>
      </c>
      <c r="K223" s="22">
        <f>G223*J223</f>
        <v>21</v>
      </c>
      <c r="L223" s="22">
        <f t="shared" si="2"/>
        <v>138.6</v>
      </c>
      <c r="M223" s="17"/>
      <c r="N223" s="17"/>
      <c r="X223" s="262" t="s">
        <v>1077</v>
      </c>
      <c r="AK223" s="271" t="s">
        <v>1093</v>
      </c>
      <c r="AL223" s="271">
        <v>161.12</v>
      </c>
      <c r="AM223" s="271"/>
    </row>
    <row r="224" spans="1:46">
      <c r="A224" s="17"/>
      <c r="B224" s="31" t="s">
        <v>92</v>
      </c>
      <c r="C224" s="17"/>
      <c r="D224" s="17"/>
      <c r="E224" s="17"/>
      <c r="F224" s="17"/>
      <c r="G224" s="17"/>
      <c r="H224" s="17"/>
      <c r="I224" s="17"/>
      <c r="J224" s="18"/>
      <c r="K224" s="18"/>
      <c r="L224" s="22">
        <f t="shared" si="2"/>
        <v>0</v>
      </c>
      <c r="M224" s="17"/>
      <c r="N224" s="17"/>
      <c r="AK224" s="271" t="s">
        <v>1092</v>
      </c>
      <c r="AL224" s="271">
        <v>7.8</v>
      </c>
      <c r="AM224" s="271"/>
    </row>
    <row r="225" spans="1:40">
      <c r="A225" s="17"/>
      <c r="B225" s="20" t="s">
        <v>87</v>
      </c>
      <c r="C225" s="20">
        <v>3</v>
      </c>
      <c r="D225" s="20">
        <v>18</v>
      </c>
      <c r="E225" s="20"/>
      <c r="F225" s="20"/>
      <c r="G225" s="21">
        <f>C225*D225*7*4</f>
        <v>1512</v>
      </c>
      <c r="H225" s="20">
        <v>100</v>
      </c>
      <c r="I225" s="20">
        <v>18.25</v>
      </c>
      <c r="J225" s="22">
        <f>I225/H225</f>
        <v>0.1825</v>
      </c>
      <c r="K225" s="22">
        <f>G225*J225</f>
        <v>275.94</v>
      </c>
      <c r="L225" s="22">
        <f t="shared" si="2"/>
        <v>1821.204</v>
      </c>
      <c r="M225" s="17"/>
      <c r="N225" s="17"/>
      <c r="AK225" s="271" t="s">
        <v>1091</v>
      </c>
      <c r="AL225" s="271">
        <v>2.88</v>
      </c>
      <c r="AM225" s="271"/>
      <c r="AN225">
        <f>AL225*24*30</f>
        <v>2073.6000000000004</v>
      </c>
    </row>
    <row r="226" spans="1:40">
      <c r="A226" s="17"/>
      <c r="B226" s="20" t="s">
        <v>99</v>
      </c>
      <c r="C226" s="20">
        <v>3</v>
      </c>
      <c r="D226" s="20">
        <v>18</v>
      </c>
      <c r="E226" s="20"/>
      <c r="F226" s="20"/>
      <c r="G226" s="21">
        <f>C226*D226*7*4</f>
        <v>1512</v>
      </c>
      <c r="H226" s="20">
        <v>100</v>
      </c>
      <c r="I226" s="20">
        <v>28.8</v>
      </c>
      <c r="J226" s="22">
        <f>I226/H226</f>
        <v>0.28800000000000003</v>
      </c>
      <c r="K226" s="22">
        <f>G226*J226</f>
        <v>435.45600000000007</v>
      </c>
      <c r="L226" s="22">
        <f t="shared" si="2"/>
        <v>2874.0096000000003</v>
      </c>
      <c r="M226" s="17"/>
      <c r="N226" s="17"/>
      <c r="AK226" s="271" t="s">
        <v>1090</v>
      </c>
      <c r="AL226" s="271">
        <v>65</v>
      </c>
      <c r="AM226" s="271"/>
    </row>
    <row r="227" spans="1:40">
      <c r="A227" s="17"/>
      <c r="B227" s="20" t="s">
        <v>101</v>
      </c>
      <c r="C227" s="20">
        <v>2</v>
      </c>
      <c r="D227" s="20">
        <v>18</v>
      </c>
      <c r="E227" s="20"/>
      <c r="F227" s="20"/>
      <c r="G227" s="21">
        <f>C227*D227*7*4</f>
        <v>1008</v>
      </c>
      <c r="H227" s="20">
        <v>100</v>
      </c>
      <c r="I227" s="20">
        <v>4.91</v>
      </c>
      <c r="J227" s="22">
        <f>I227/H227</f>
        <v>4.9100000000000005E-2</v>
      </c>
      <c r="K227" s="22">
        <f>G227*J227</f>
        <v>49.492800000000003</v>
      </c>
      <c r="L227" s="22">
        <f t="shared" si="2"/>
        <v>326.65248000000003</v>
      </c>
      <c r="M227" s="17"/>
      <c r="N227" s="17"/>
      <c r="AK227" s="271" t="s">
        <v>1089</v>
      </c>
      <c r="AL227" s="271">
        <v>30</v>
      </c>
      <c r="AM227" s="271"/>
      <c r="AN227">
        <f>AL227*30*6</f>
        <v>5400</v>
      </c>
    </row>
    <row r="228" spans="1:40">
      <c r="A228" s="17"/>
      <c r="B228" s="20" t="s">
        <v>91</v>
      </c>
      <c r="C228" s="20">
        <v>4</v>
      </c>
      <c r="D228" s="20">
        <v>18</v>
      </c>
      <c r="E228" s="20"/>
      <c r="F228" s="20"/>
      <c r="G228" s="21">
        <f>C228*D228*7*4</f>
        <v>2016</v>
      </c>
      <c r="H228" s="20">
        <v>672</v>
      </c>
      <c r="I228" s="20">
        <v>21</v>
      </c>
      <c r="J228" s="22">
        <f>I228/H228</f>
        <v>3.125E-2</v>
      </c>
      <c r="K228" s="22">
        <f>G228*J228</f>
        <v>63</v>
      </c>
      <c r="L228" s="22">
        <f t="shared" si="2"/>
        <v>415.79999999999995</v>
      </c>
      <c r="M228" s="17"/>
      <c r="N228" s="17"/>
      <c r="AK228" s="271" t="s">
        <v>1088</v>
      </c>
      <c r="AL228" s="271">
        <v>2</v>
      </c>
      <c r="AM228" s="271"/>
    </row>
    <row r="229" spans="1:40">
      <c r="A229" s="226"/>
      <c r="B229" s="24" t="s">
        <v>63</v>
      </c>
      <c r="C229" s="227"/>
      <c r="D229" s="228"/>
      <c r="E229" s="228"/>
      <c r="F229" s="228"/>
      <c r="G229" s="228"/>
      <c r="H229" s="227"/>
      <c r="I229" s="227"/>
      <c r="J229" s="229"/>
      <c r="K229" s="22">
        <f>SUM(K219:K228)</f>
        <v>1888.1184000000003</v>
      </c>
      <c r="L229" s="22">
        <f t="shared" si="2"/>
        <v>12461.581440000002</v>
      </c>
      <c r="M229" s="280">
        <f>K229/4</f>
        <v>472.02960000000007</v>
      </c>
      <c r="N229" s="226" t="s">
        <v>1119</v>
      </c>
      <c r="O229" s="281">
        <f>M229*24</f>
        <v>11328.710400000002</v>
      </c>
      <c r="P229" t="s">
        <v>1120</v>
      </c>
      <c r="AK229" s="271"/>
      <c r="AM229" s="271"/>
      <c r="AN229" s="271"/>
    </row>
    <row r="230" spans="1:40">
      <c r="A230" s="226"/>
      <c r="B230" s="230"/>
      <c r="C230" s="230"/>
      <c r="D230" s="231"/>
      <c r="E230" s="231"/>
      <c r="F230" s="231"/>
      <c r="G230" s="231"/>
      <c r="H230" s="230"/>
      <c r="I230" s="230"/>
      <c r="J230" s="232"/>
      <c r="K230" s="232"/>
      <c r="L230" s="22"/>
      <c r="M230" s="282">
        <f>O230/24</f>
        <v>1136.3636363636365</v>
      </c>
      <c r="N230" s="226"/>
      <c r="O230" s="281">
        <f>180000/6.6</f>
        <v>27272.727272727276</v>
      </c>
      <c r="P230" t="s">
        <v>1121</v>
      </c>
      <c r="AM230" s="272"/>
      <c r="AN230" s="272"/>
    </row>
    <row r="231" spans="1:40">
      <c r="A231" s="19" t="s">
        <v>82</v>
      </c>
      <c r="B231" s="31" t="s">
        <v>83</v>
      </c>
      <c r="C231" s="17"/>
      <c r="D231" s="17"/>
      <c r="E231" s="17"/>
      <c r="F231" s="17"/>
      <c r="G231" s="17"/>
      <c r="H231" s="17"/>
      <c r="I231" s="17"/>
      <c r="J231" s="18"/>
      <c r="K231" s="18"/>
      <c r="L231" s="22"/>
      <c r="M231" s="36" t="s">
        <v>843</v>
      </c>
      <c r="N231" s="17"/>
    </row>
    <row r="232" spans="1:40">
      <c r="A232" s="17" t="s">
        <v>84</v>
      </c>
      <c r="B232" s="20" t="s">
        <v>85</v>
      </c>
      <c r="C232" s="20">
        <v>1</v>
      </c>
      <c r="D232" s="20">
        <v>4</v>
      </c>
      <c r="E232" s="20"/>
      <c r="F232" s="20"/>
      <c r="G232" s="21">
        <f t="shared" ref="G232:G238" si="3">C232*D232*7*4</f>
        <v>112</v>
      </c>
      <c r="H232" s="20">
        <v>10</v>
      </c>
      <c r="I232" s="20">
        <v>23.6</v>
      </c>
      <c r="J232" s="22">
        <f t="shared" ref="J232:J238" si="4">I232/H232</f>
        <v>2.3600000000000003</v>
      </c>
      <c r="K232" s="22">
        <f t="shared" ref="K232:K238" si="5">G232*J232</f>
        <v>264.32000000000005</v>
      </c>
      <c r="L232" s="22">
        <f t="shared" ref="L232:L238" si="6">K232*$C$210</f>
        <v>1744.5120000000002</v>
      </c>
      <c r="M232" s="17"/>
      <c r="N232" s="17"/>
    </row>
    <row r="233" spans="1:40">
      <c r="A233" s="17"/>
      <c r="B233" s="20" t="s">
        <v>86</v>
      </c>
      <c r="C233" s="20">
        <v>2</v>
      </c>
      <c r="D233" s="20">
        <v>4</v>
      </c>
      <c r="E233" s="20"/>
      <c r="F233" s="20"/>
      <c r="G233" s="21">
        <f t="shared" si="3"/>
        <v>224</v>
      </c>
      <c r="H233" s="20">
        <v>100</v>
      </c>
      <c r="I233" s="20">
        <v>39</v>
      </c>
      <c r="J233" s="22">
        <f t="shared" si="4"/>
        <v>0.39</v>
      </c>
      <c r="K233" s="22">
        <f t="shared" si="5"/>
        <v>87.36</v>
      </c>
      <c r="L233" s="22">
        <f t="shared" si="6"/>
        <v>576.57600000000002</v>
      </c>
      <c r="M233" s="17"/>
      <c r="N233" s="17"/>
    </row>
    <row r="234" spans="1:40">
      <c r="A234" s="17"/>
      <c r="B234" s="20" t="s">
        <v>87</v>
      </c>
      <c r="C234" s="20">
        <v>3</v>
      </c>
      <c r="D234" s="20">
        <v>4</v>
      </c>
      <c r="E234" s="20"/>
      <c r="F234" s="20"/>
      <c r="G234" s="21">
        <f t="shared" si="3"/>
        <v>336</v>
      </c>
      <c r="H234" s="20">
        <v>100</v>
      </c>
      <c r="I234" s="20">
        <v>18.25</v>
      </c>
      <c r="J234" s="22">
        <f t="shared" si="4"/>
        <v>0.1825</v>
      </c>
      <c r="K234" s="22">
        <f t="shared" si="5"/>
        <v>61.32</v>
      </c>
      <c r="L234" s="22">
        <f t="shared" si="6"/>
        <v>404.71199999999999</v>
      </c>
      <c r="M234" s="17"/>
      <c r="N234" s="17"/>
    </row>
    <row r="235" spans="1:40">
      <c r="A235" s="17"/>
      <c r="B235" s="20" t="s">
        <v>88</v>
      </c>
      <c r="C235" s="20">
        <v>2</v>
      </c>
      <c r="D235" s="20">
        <v>4</v>
      </c>
      <c r="E235" s="20"/>
      <c r="F235" s="20"/>
      <c r="G235" s="21">
        <f t="shared" si="3"/>
        <v>224</v>
      </c>
      <c r="H235" s="20">
        <v>672</v>
      </c>
      <c r="I235" s="20">
        <v>12.76</v>
      </c>
      <c r="J235" s="22">
        <f t="shared" si="4"/>
        <v>1.8988095238095238E-2</v>
      </c>
      <c r="K235" s="22">
        <f t="shared" si="5"/>
        <v>4.253333333333333</v>
      </c>
      <c r="L235" s="22">
        <f t="shared" si="6"/>
        <v>28.071999999999996</v>
      </c>
      <c r="M235" s="17"/>
      <c r="N235" s="17"/>
    </row>
    <row r="236" spans="1:40">
      <c r="A236" s="17"/>
      <c r="B236" s="20" t="s">
        <v>89</v>
      </c>
      <c r="C236" s="20">
        <v>1</v>
      </c>
      <c r="D236" s="20">
        <v>4</v>
      </c>
      <c r="E236" s="20"/>
      <c r="F236" s="20"/>
      <c r="G236" s="21">
        <f t="shared" si="3"/>
        <v>112</v>
      </c>
      <c r="H236" s="20">
        <v>100</v>
      </c>
      <c r="I236" s="20">
        <v>109.48</v>
      </c>
      <c r="J236" s="22">
        <f t="shared" si="4"/>
        <v>1.0948</v>
      </c>
      <c r="K236" s="22">
        <f t="shared" si="5"/>
        <v>122.6176</v>
      </c>
      <c r="L236" s="22">
        <f t="shared" si="6"/>
        <v>809.27615999999989</v>
      </c>
      <c r="M236" s="17"/>
      <c r="N236" s="17"/>
    </row>
    <row r="237" spans="1:40">
      <c r="A237" s="17"/>
      <c r="B237" s="20" t="s">
        <v>90</v>
      </c>
      <c r="C237" s="20">
        <v>3</v>
      </c>
      <c r="D237" s="20">
        <v>4</v>
      </c>
      <c r="E237" s="20"/>
      <c r="F237" s="20"/>
      <c r="G237" s="21">
        <f t="shared" si="3"/>
        <v>336</v>
      </c>
      <c r="H237" s="20">
        <v>672</v>
      </c>
      <c r="I237" s="20">
        <v>20.21</v>
      </c>
      <c r="J237" s="22">
        <f t="shared" si="4"/>
        <v>3.0074404761904764E-2</v>
      </c>
      <c r="K237" s="22">
        <f t="shared" si="5"/>
        <v>10.105</v>
      </c>
      <c r="L237" s="22">
        <f t="shared" si="6"/>
        <v>66.692999999999998</v>
      </c>
      <c r="M237" s="17"/>
      <c r="N237" s="17"/>
    </row>
    <row r="238" spans="1:40">
      <c r="A238" s="17"/>
      <c r="B238" s="20" t="s">
        <v>91</v>
      </c>
      <c r="C238" s="20">
        <v>4</v>
      </c>
      <c r="D238" s="20">
        <v>4</v>
      </c>
      <c r="E238" s="20"/>
      <c r="F238" s="20"/>
      <c r="G238" s="21">
        <f t="shared" si="3"/>
        <v>448</v>
      </c>
      <c r="H238" s="20">
        <v>672</v>
      </c>
      <c r="I238" s="20">
        <v>21</v>
      </c>
      <c r="J238" s="22">
        <f t="shared" si="4"/>
        <v>3.125E-2</v>
      </c>
      <c r="K238" s="22">
        <f t="shared" si="5"/>
        <v>14</v>
      </c>
      <c r="L238" s="22">
        <f t="shared" si="6"/>
        <v>92.399999999999991</v>
      </c>
      <c r="M238" s="17"/>
      <c r="N238" s="17"/>
    </row>
    <row r="239" spans="1:40">
      <c r="A239" s="17"/>
      <c r="B239" s="31" t="s">
        <v>92</v>
      </c>
      <c r="C239" s="17"/>
      <c r="D239" s="17"/>
      <c r="E239" s="17"/>
      <c r="F239" s="17"/>
      <c r="G239" s="17"/>
      <c r="H239" s="17"/>
      <c r="I239" s="17"/>
      <c r="J239" s="18"/>
      <c r="K239" s="18"/>
      <c r="L239" s="22"/>
      <c r="M239" s="17"/>
      <c r="N239" s="17"/>
    </row>
    <row r="240" spans="1:40">
      <c r="A240" s="17"/>
      <c r="B240" s="20" t="s">
        <v>86</v>
      </c>
      <c r="C240" s="20">
        <v>2</v>
      </c>
      <c r="D240" s="20">
        <v>5</v>
      </c>
      <c r="E240" s="20"/>
      <c r="F240" s="20"/>
      <c r="G240" s="21">
        <f t="shared" ref="G240:G245" si="7">C240*D240*7*4</f>
        <v>280</v>
      </c>
      <c r="H240" s="20">
        <v>100</v>
      </c>
      <c r="I240" s="20">
        <v>39</v>
      </c>
      <c r="J240" s="22">
        <f t="shared" ref="J240:J245" si="8">I240/H240</f>
        <v>0.39</v>
      </c>
      <c r="K240" s="22">
        <f t="shared" ref="K240:K245" si="9">G240*J240</f>
        <v>109.2</v>
      </c>
      <c r="L240" s="22">
        <f t="shared" ref="L240:L246" si="10">K240*$C$210</f>
        <v>720.72</v>
      </c>
      <c r="M240" s="17"/>
      <c r="N240" s="17"/>
    </row>
    <row r="241" spans="1:15">
      <c r="A241" s="17"/>
      <c r="B241" s="20" t="s">
        <v>87</v>
      </c>
      <c r="C241" s="20">
        <v>3</v>
      </c>
      <c r="D241" s="20">
        <v>5</v>
      </c>
      <c r="E241" s="20"/>
      <c r="F241" s="20"/>
      <c r="G241" s="21">
        <f t="shared" si="7"/>
        <v>420</v>
      </c>
      <c r="H241" s="20">
        <v>100</v>
      </c>
      <c r="I241" s="20">
        <v>18.25</v>
      </c>
      <c r="J241" s="22">
        <f t="shared" si="8"/>
        <v>0.1825</v>
      </c>
      <c r="K241" s="22">
        <f t="shared" si="9"/>
        <v>76.649999999999991</v>
      </c>
      <c r="L241" s="22">
        <f t="shared" si="10"/>
        <v>505.88999999999993</v>
      </c>
      <c r="M241" s="17"/>
      <c r="N241" s="17"/>
    </row>
    <row r="242" spans="1:15">
      <c r="A242" s="17"/>
      <c r="B242" s="20" t="s">
        <v>88</v>
      </c>
      <c r="C242" s="20">
        <v>2</v>
      </c>
      <c r="D242" s="20">
        <v>5</v>
      </c>
      <c r="E242" s="20"/>
      <c r="F242" s="20"/>
      <c r="G242" s="21">
        <f t="shared" si="7"/>
        <v>280</v>
      </c>
      <c r="H242" s="20">
        <v>672</v>
      </c>
      <c r="I242" s="20">
        <v>12.76</v>
      </c>
      <c r="J242" s="22">
        <f t="shared" si="8"/>
        <v>1.8988095238095238E-2</v>
      </c>
      <c r="K242" s="22">
        <f t="shared" si="9"/>
        <v>5.3166666666666664</v>
      </c>
      <c r="L242" s="22">
        <f t="shared" si="10"/>
        <v>35.089999999999996</v>
      </c>
      <c r="M242" s="17"/>
      <c r="N242" s="17"/>
    </row>
    <row r="243" spans="1:15">
      <c r="A243" s="17"/>
      <c r="B243" s="20" t="s">
        <v>89</v>
      </c>
      <c r="C243" s="20">
        <v>1</v>
      </c>
      <c r="D243" s="20">
        <v>5</v>
      </c>
      <c r="E243" s="20"/>
      <c r="F243" s="20"/>
      <c r="G243" s="21">
        <f t="shared" si="7"/>
        <v>140</v>
      </c>
      <c r="H243" s="20">
        <v>100</v>
      </c>
      <c r="I243" s="20">
        <v>109.48</v>
      </c>
      <c r="J243" s="22">
        <f t="shared" si="8"/>
        <v>1.0948</v>
      </c>
      <c r="K243" s="22">
        <f t="shared" si="9"/>
        <v>153.27199999999999</v>
      </c>
      <c r="L243" s="22">
        <f t="shared" si="10"/>
        <v>1011.5951999999999</v>
      </c>
      <c r="M243" s="17"/>
      <c r="N243" s="233"/>
    </row>
    <row r="244" spans="1:15">
      <c r="A244" s="17"/>
      <c r="B244" s="20" t="s">
        <v>90</v>
      </c>
      <c r="C244" s="20">
        <v>3</v>
      </c>
      <c r="D244" s="20">
        <v>5</v>
      </c>
      <c r="E244" s="20"/>
      <c r="F244" s="20"/>
      <c r="G244" s="21">
        <f t="shared" si="7"/>
        <v>420</v>
      </c>
      <c r="H244" s="20">
        <v>672</v>
      </c>
      <c r="I244" s="20">
        <v>20.21</v>
      </c>
      <c r="J244" s="22">
        <f t="shared" si="8"/>
        <v>3.0074404761904764E-2</v>
      </c>
      <c r="K244" s="22">
        <f t="shared" si="9"/>
        <v>12.631250000000001</v>
      </c>
      <c r="L244" s="22">
        <f t="shared" si="10"/>
        <v>83.366250000000008</v>
      </c>
      <c r="M244" s="17"/>
      <c r="N244" s="17"/>
    </row>
    <row r="245" spans="1:15">
      <c r="A245" s="17"/>
      <c r="B245" s="20" t="s">
        <v>91</v>
      </c>
      <c r="C245" s="20">
        <v>4</v>
      </c>
      <c r="D245" s="20">
        <v>5</v>
      </c>
      <c r="E245" s="20"/>
      <c r="F245" s="20"/>
      <c r="G245" s="21">
        <f t="shared" si="7"/>
        <v>560</v>
      </c>
      <c r="H245" s="20">
        <v>672</v>
      </c>
      <c r="I245" s="20">
        <v>21</v>
      </c>
      <c r="J245" s="22">
        <f t="shared" si="8"/>
        <v>3.125E-2</v>
      </c>
      <c r="K245" s="22">
        <f t="shared" si="9"/>
        <v>17.5</v>
      </c>
      <c r="L245" s="22">
        <f t="shared" si="10"/>
        <v>115.5</v>
      </c>
      <c r="M245" s="17"/>
      <c r="N245" s="17"/>
    </row>
    <row r="246" spans="1:15">
      <c r="A246" s="17"/>
      <c r="B246" s="24" t="s">
        <v>63</v>
      </c>
      <c r="K246" s="32">
        <f>SUM(K232:K245)</f>
        <v>938.54585000000009</v>
      </c>
      <c r="L246" s="22">
        <f t="shared" si="10"/>
        <v>6194.4026100000001</v>
      </c>
      <c r="M246" s="235">
        <f>K246/20</f>
        <v>46.927292500000007</v>
      </c>
      <c r="N246" s="17"/>
    </row>
    <row r="247" spans="1:15">
      <c r="A247" s="17"/>
      <c r="B247" s="17"/>
      <c r="C247" s="17"/>
      <c r="D247" s="17"/>
      <c r="E247" s="17"/>
      <c r="F247" s="17"/>
      <c r="G247" s="17"/>
      <c r="H247" s="17"/>
      <c r="I247" s="17"/>
      <c r="J247" s="18"/>
      <c r="K247" s="18"/>
      <c r="L247" s="22"/>
      <c r="M247" s="17"/>
      <c r="N247" s="17" t="s">
        <v>844</v>
      </c>
    </row>
    <row r="248" spans="1:15">
      <c r="A248" s="19" t="s">
        <v>845</v>
      </c>
      <c r="B248" s="20" t="s">
        <v>93</v>
      </c>
      <c r="C248" s="20">
        <v>4</v>
      </c>
      <c r="D248" s="20">
        <v>0.5</v>
      </c>
      <c r="E248" s="20"/>
      <c r="F248" s="20"/>
      <c r="G248" s="21">
        <f t="shared" ref="G248:G253" si="11">C248*D248*7*4</f>
        <v>56</v>
      </c>
      <c r="H248" s="20">
        <v>188</v>
      </c>
      <c r="I248" s="20"/>
      <c r="J248" s="234">
        <f>7.83/30</f>
        <v>0.26100000000000001</v>
      </c>
      <c r="K248" s="22">
        <f>G248*J248</f>
        <v>14.616</v>
      </c>
      <c r="L248" s="22">
        <f t="shared" ref="L248:L254" si="12">K248*$C$210</f>
        <v>96.465599999999995</v>
      </c>
      <c r="M248" s="26">
        <f>G248*17.22/30</f>
        <v>32.143999999999998</v>
      </c>
      <c r="N248" s="17" t="s">
        <v>94</v>
      </c>
      <c r="O248" s="17" t="s">
        <v>846</v>
      </c>
    </row>
    <row r="249" spans="1:15">
      <c r="A249" s="19"/>
      <c r="B249" s="20" t="s">
        <v>95</v>
      </c>
      <c r="C249" s="33">
        <f>6/7</f>
        <v>0.8571428571428571</v>
      </c>
      <c r="D249" s="20">
        <v>5.5</v>
      </c>
      <c r="E249" s="20"/>
      <c r="F249" s="20"/>
      <c r="G249" s="21">
        <f t="shared" si="11"/>
        <v>132</v>
      </c>
      <c r="H249" s="20">
        <v>188</v>
      </c>
      <c r="I249" s="20"/>
      <c r="J249" s="234">
        <f>J248</f>
        <v>0.26100000000000001</v>
      </c>
      <c r="K249" s="22">
        <f>G249*J249</f>
        <v>34.451999999999998</v>
      </c>
      <c r="L249" s="22">
        <f t="shared" si="12"/>
        <v>227.38319999999999</v>
      </c>
      <c r="M249" s="26">
        <f>G249*17.22/30</f>
        <v>75.768000000000001</v>
      </c>
      <c r="N249" s="17" t="s">
        <v>96</v>
      </c>
      <c r="O249" s="17"/>
    </row>
    <row r="250" spans="1:15">
      <c r="A250" s="19"/>
      <c r="B250" s="20" t="s">
        <v>97</v>
      </c>
      <c r="C250" s="34">
        <v>1</v>
      </c>
      <c r="D250" s="20">
        <v>6</v>
      </c>
      <c r="E250" s="20"/>
      <c r="F250" s="20"/>
      <c r="G250" s="21">
        <f t="shared" si="11"/>
        <v>168</v>
      </c>
      <c r="H250" s="20">
        <v>100</v>
      </c>
      <c r="I250" s="20">
        <v>118.5</v>
      </c>
      <c r="J250" s="22">
        <f>I250/H250</f>
        <v>1.1850000000000001</v>
      </c>
      <c r="K250" s="22">
        <f t="shared" ref="K250:K253" si="13">G250*J250</f>
        <v>199.08</v>
      </c>
      <c r="L250" s="22">
        <f t="shared" si="12"/>
        <v>1313.9280000000001</v>
      </c>
      <c r="M250" s="26">
        <f>K250</f>
        <v>199.08</v>
      </c>
      <c r="N250" s="17" t="s">
        <v>98</v>
      </c>
      <c r="O250" s="17"/>
    </row>
    <row r="251" spans="1:15">
      <c r="A251" s="19"/>
      <c r="B251" s="20" t="s">
        <v>99</v>
      </c>
      <c r="C251" s="34">
        <v>3</v>
      </c>
      <c r="D251" s="20">
        <v>20</v>
      </c>
      <c r="E251" s="20"/>
      <c r="F251" s="20"/>
      <c r="G251" s="21">
        <f t="shared" si="11"/>
        <v>1680</v>
      </c>
      <c r="H251" s="20">
        <v>100</v>
      </c>
      <c r="I251" s="20">
        <v>28.8</v>
      </c>
      <c r="J251" s="22">
        <f>I251/H251</f>
        <v>0.28800000000000003</v>
      </c>
      <c r="K251" s="22">
        <f t="shared" si="13"/>
        <v>483.84000000000003</v>
      </c>
      <c r="L251" s="22">
        <f t="shared" si="12"/>
        <v>3193.3440000000001</v>
      </c>
      <c r="M251" s="26">
        <f t="shared" ref="M251:M253" si="14">K251</f>
        <v>483.84000000000003</v>
      </c>
      <c r="N251" s="17" t="s">
        <v>100</v>
      </c>
      <c r="O251" s="17"/>
    </row>
    <row r="252" spans="1:15">
      <c r="A252" s="19"/>
      <c r="B252" s="20" t="s">
        <v>89</v>
      </c>
      <c r="C252" s="34">
        <v>1</v>
      </c>
      <c r="D252" s="20">
        <v>20</v>
      </c>
      <c r="E252" s="20"/>
      <c r="F252" s="20"/>
      <c r="G252" s="21">
        <f t="shared" si="11"/>
        <v>560</v>
      </c>
      <c r="H252" s="20">
        <v>100</v>
      </c>
      <c r="I252" s="20">
        <v>109.48</v>
      </c>
      <c r="J252" s="22">
        <f>I252/H252</f>
        <v>1.0948</v>
      </c>
      <c r="K252" s="22">
        <f t="shared" si="13"/>
        <v>613.08799999999997</v>
      </c>
      <c r="L252" s="22">
        <f t="shared" si="12"/>
        <v>4046.3807999999995</v>
      </c>
      <c r="M252" s="26">
        <f t="shared" si="14"/>
        <v>613.08799999999997</v>
      </c>
      <c r="N252" s="17"/>
    </row>
    <row r="253" spans="1:15">
      <c r="A253" s="19"/>
      <c r="B253" s="20" t="s">
        <v>101</v>
      </c>
      <c r="C253" s="20">
        <v>2</v>
      </c>
      <c r="D253" s="20">
        <v>20</v>
      </c>
      <c r="E253" s="20"/>
      <c r="F253" s="20"/>
      <c r="G253" s="21">
        <f t="shared" si="11"/>
        <v>1120</v>
      </c>
      <c r="H253" s="20">
        <v>100</v>
      </c>
      <c r="I253" s="20">
        <v>4.91</v>
      </c>
      <c r="J253" s="22">
        <f>I253/H253</f>
        <v>4.9100000000000005E-2</v>
      </c>
      <c r="K253" s="22">
        <f t="shared" si="13"/>
        <v>54.992000000000004</v>
      </c>
      <c r="L253" s="22">
        <f t="shared" si="12"/>
        <v>362.94720000000001</v>
      </c>
      <c r="M253" s="26">
        <f t="shared" si="14"/>
        <v>54.992000000000004</v>
      </c>
      <c r="N253" s="17"/>
    </row>
    <row r="254" spans="1:15">
      <c r="A254" s="19"/>
      <c r="B254" s="24" t="s">
        <v>63</v>
      </c>
      <c r="K254" s="22">
        <f>SUM(K248:K253)</f>
        <v>1400.068</v>
      </c>
      <c r="L254" s="22">
        <f t="shared" si="12"/>
        <v>9240.4488000000001</v>
      </c>
      <c r="M254" s="235">
        <f>SUM(M248:M253)</f>
        <v>1458.912</v>
      </c>
      <c r="N254" s="17"/>
    </row>
    <row r="255" spans="1:15">
      <c r="K255">
        <f>K254/20</f>
        <v>70.003399999999999</v>
      </c>
      <c r="M255">
        <f>M254/20</f>
        <v>72.945599999999999</v>
      </c>
    </row>
    <row r="256" spans="1:15" s="37" customFormat="1">
      <c r="A256" s="37" t="s">
        <v>982</v>
      </c>
    </row>
    <row r="257" spans="2:84" s="240" customFormat="1">
      <c r="B257" s="241" t="s">
        <v>25</v>
      </c>
      <c r="C257" s="241" t="s">
        <v>855</v>
      </c>
      <c r="D257" s="241" t="s">
        <v>856</v>
      </c>
      <c r="E257" s="241"/>
      <c r="F257" s="241"/>
      <c r="G257" s="241" t="s">
        <v>857</v>
      </c>
      <c r="H257" s="241" t="s">
        <v>858</v>
      </c>
      <c r="I257" s="241" t="s">
        <v>859</v>
      </c>
      <c r="J257" s="241" t="s">
        <v>860</v>
      </c>
      <c r="K257" s="241" t="s">
        <v>861</v>
      </c>
      <c r="L257" s="241" t="s">
        <v>862</v>
      </c>
      <c r="M257" s="241" t="s">
        <v>863</v>
      </c>
      <c r="N257" s="241" t="s">
        <v>864</v>
      </c>
      <c r="O257" s="241" t="s">
        <v>865</v>
      </c>
      <c r="P257" s="241" t="s">
        <v>866</v>
      </c>
      <c r="Q257" s="241" t="s">
        <v>867</v>
      </c>
      <c r="R257" s="241" t="s">
        <v>868</v>
      </c>
      <c r="S257" s="241" t="s">
        <v>869</v>
      </c>
      <c r="T257" s="241" t="s">
        <v>870</v>
      </c>
      <c r="U257" s="241" t="s">
        <v>871</v>
      </c>
      <c r="V257" s="241" t="s">
        <v>465</v>
      </c>
      <c r="W257" s="241" t="s">
        <v>872</v>
      </c>
      <c r="X257" s="241" t="s">
        <v>873</v>
      </c>
      <c r="Y257" s="241" t="s">
        <v>874</v>
      </c>
      <c r="Z257" s="241" t="s">
        <v>875</v>
      </c>
      <c r="AA257" s="241" t="s">
        <v>876</v>
      </c>
      <c r="AB257" s="241" t="s">
        <v>877</v>
      </c>
      <c r="AC257" s="241" t="s">
        <v>878</v>
      </c>
      <c r="AD257" s="241" t="s">
        <v>879</v>
      </c>
      <c r="AE257" s="241" t="s">
        <v>880</v>
      </c>
      <c r="AF257" s="241" t="s">
        <v>881</v>
      </c>
      <c r="AG257" s="241" t="s">
        <v>882</v>
      </c>
      <c r="AH257" s="241" t="s">
        <v>883</v>
      </c>
      <c r="AI257" s="241" t="s">
        <v>884</v>
      </c>
      <c r="AJ257" s="241" t="s">
        <v>885</v>
      </c>
      <c r="AK257" s="241" t="s">
        <v>886</v>
      </c>
      <c r="AL257" s="241" t="s">
        <v>887</v>
      </c>
      <c r="AM257" s="241" t="s">
        <v>888</v>
      </c>
      <c r="AN257" s="241" t="s">
        <v>889</v>
      </c>
      <c r="AO257" s="241" t="s">
        <v>890</v>
      </c>
      <c r="AP257" s="241" t="s">
        <v>891</v>
      </c>
      <c r="AQ257" s="241" t="s">
        <v>892</v>
      </c>
      <c r="AR257" s="241" t="s">
        <v>893</v>
      </c>
      <c r="AS257" s="241" t="s">
        <v>894</v>
      </c>
      <c r="AT257" s="241" t="s">
        <v>895</v>
      </c>
      <c r="AU257" s="241" t="s">
        <v>896</v>
      </c>
      <c r="AV257" s="241" t="s">
        <v>897</v>
      </c>
      <c r="AW257" s="241" t="s">
        <v>898</v>
      </c>
      <c r="AX257" s="241" t="s">
        <v>899</v>
      </c>
      <c r="AY257" s="241" t="s">
        <v>900</v>
      </c>
      <c r="AZ257" s="241" t="s">
        <v>901</v>
      </c>
      <c r="BA257" s="241" t="s">
        <v>902</v>
      </c>
      <c r="BB257" s="241" t="s">
        <v>903</v>
      </c>
      <c r="BC257" s="241" t="s">
        <v>904</v>
      </c>
      <c r="BD257" s="241" t="s">
        <v>905</v>
      </c>
      <c r="BE257" s="241" t="s">
        <v>906</v>
      </c>
      <c r="BF257" s="241" t="s">
        <v>907</v>
      </c>
      <c r="BG257" s="241" t="s">
        <v>908</v>
      </c>
      <c r="BH257" s="241" t="s">
        <v>909</v>
      </c>
      <c r="BI257" s="241" t="s">
        <v>910</v>
      </c>
      <c r="BJ257" s="241" t="s">
        <v>911</v>
      </c>
      <c r="BK257" s="241" t="s">
        <v>912</v>
      </c>
      <c r="BL257" s="241" t="s">
        <v>913</v>
      </c>
      <c r="BM257" s="241" t="s">
        <v>914</v>
      </c>
      <c r="BN257" s="241" t="s">
        <v>915</v>
      </c>
      <c r="BO257" s="241" t="s">
        <v>916</v>
      </c>
      <c r="BP257" s="241" t="s">
        <v>917</v>
      </c>
      <c r="BQ257" s="241" t="s">
        <v>918</v>
      </c>
      <c r="BR257" s="241" t="s">
        <v>919</v>
      </c>
      <c r="BS257" s="241" t="s">
        <v>920</v>
      </c>
      <c r="BT257" s="241" t="s">
        <v>921</v>
      </c>
      <c r="BU257" s="241" t="s">
        <v>922</v>
      </c>
      <c r="BV257" s="241" t="s">
        <v>923</v>
      </c>
      <c r="BW257" s="241" t="s">
        <v>924</v>
      </c>
      <c r="BX257" s="241" t="s">
        <v>925</v>
      </c>
      <c r="BY257" s="241" t="s">
        <v>926</v>
      </c>
      <c r="BZ257" s="241" t="s">
        <v>927</v>
      </c>
      <c r="CA257" s="241" t="s">
        <v>928</v>
      </c>
      <c r="CB257" s="241" t="s">
        <v>929</v>
      </c>
      <c r="CC257" s="241" t="s">
        <v>930</v>
      </c>
      <c r="CD257" s="241" t="s">
        <v>931</v>
      </c>
      <c r="CE257" s="241" t="s">
        <v>932</v>
      </c>
      <c r="CF257" s="241" t="s">
        <v>933</v>
      </c>
    </row>
    <row r="258" spans="2:84" s="240" customFormat="1">
      <c r="B258" s="240" t="s">
        <v>26</v>
      </c>
      <c r="C258" s="240" t="s">
        <v>934</v>
      </c>
      <c r="D258" s="240" t="s">
        <v>935</v>
      </c>
      <c r="G258" s="240" t="s">
        <v>936</v>
      </c>
      <c r="H258" s="240" t="s">
        <v>937</v>
      </c>
      <c r="I258" s="240" t="s">
        <v>937</v>
      </c>
      <c r="J258" s="240" t="s">
        <v>328</v>
      </c>
      <c r="K258" s="240" t="s">
        <v>938</v>
      </c>
      <c r="L258" s="240" t="s">
        <v>939</v>
      </c>
      <c r="M258" s="240" t="s">
        <v>626</v>
      </c>
      <c r="N258" s="273">
        <v>1.58</v>
      </c>
      <c r="O258" s="240" t="s">
        <v>626</v>
      </c>
      <c r="P258" s="240" t="s">
        <v>626</v>
      </c>
      <c r="Q258" s="240" t="s">
        <v>940</v>
      </c>
      <c r="R258" s="240" t="s">
        <v>941</v>
      </c>
      <c r="S258" s="243">
        <v>1331260000</v>
      </c>
      <c r="T258" s="240" t="s">
        <v>942</v>
      </c>
      <c r="U258" s="240" t="s">
        <v>943</v>
      </c>
      <c r="V258" s="240" t="s">
        <v>944</v>
      </c>
      <c r="W258" s="240" t="s">
        <v>937</v>
      </c>
      <c r="X258" s="240" t="s">
        <v>937</v>
      </c>
      <c r="Y258" s="240" t="s">
        <v>945</v>
      </c>
      <c r="Z258" s="244">
        <v>2009</v>
      </c>
      <c r="AA258" s="244">
        <v>2</v>
      </c>
      <c r="AB258" s="240" t="s">
        <v>946</v>
      </c>
      <c r="AC258" s="240" t="s">
        <v>323</v>
      </c>
      <c r="AD258" s="240" t="s">
        <v>326</v>
      </c>
      <c r="AE258" s="240" t="s">
        <v>947</v>
      </c>
      <c r="AF258" s="240" t="s">
        <v>937</v>
      </c>
      <c r="AG258" s="240" t="s">
        <v>326</v>
      </c>
      <c r="AH258" s="240" t="s">
        <v>626</v>
      </c>
      <c r="AI258" s="242">
        <v>1.58</v>
      </c>
      <c r="AJ258" s="240" t="s">
        <v>626</v>
      </c>
      <c r="AK258" s="240" t="s">
        <v>626</v>
      </c>
      <c r="AL258" s="240" t="s">
        <v>626</v>
      </c>
      <c r="AM258" s="242">
        <v>3</v>
      </c>
      <c r="AN258" s="240" t="s">
        <v>626</v>
      </c>
      <c r="AO258" s="240" t="s">
        <v>626</v>
      </c>
      <c r="AP258" s="240" t="s">
        <v>326</v>
      </c>
      <c r="AQ258" s="240" t="s">
        <v>326</v>
      </c>
      <c r="AR258" s="240" t="s">
        <v>326</v>
      </c>
      <c r="AS258" s="240" t="s">
        <v>937</v>
      </c>
      <c r="AT258" s="240" t="s">
        <v>326</v>
      </c>
      <c r="AU258" s="240" t="s">
        <v>937</v>
      </c>
      <c r="AV258" s="242">
        <v>271585833.38</v>
      </c>
      <c r="AW258" s="240" t="s">
        <v>937</v>
      </c>
      <c r="AX258" s="240" t="s">
        <v>948</v>
      </c>
      <c r="AY258" s="240" t="s">
        <v>324</v>
      </c>
      <c r="AZ258" s="245">
        <v>0.3</v>
      </c>
      <c r="BA258" s="240" t="s">
        <v>323</v>
      </c>
      <c r="BB258" s="240" t="s">
        <v>949</v>
      </c>
      <c r="BC258" s="240" t="s">
        <v>937</v>
      </c>
      <c r="BD258" s="240" t="s">
        <v>949</v>
      </c>
      <c r="BE258" s="240" t="s">
        <v>937</v>
      </c>
      <c r="BF258" s="240" t="s">
        <v>949</v>
      </c>
      <c r="BG258" s="240" t="s">
        <v>937</v>
      </c>
      <c r="BH258" s="245">
        <v>0.1</v>
      </c>
      <c r="BI258" s="240" t="s">
        <v>323</v>
      </c>
      <c r="BJ258" s="240" t="s">
        <v>949</v>
      </c>
      <c r="BK258" s="240" t="s">
        <v>937</v>
      </c>
      <c r="BL258" s="245">
        <v>0</v>
      </c>
      <c r="BM258" s="240" t="s">
        <v>323</v>
      </c>
      <c r="BN258" s="245">
        <v>0</v>
      </c>
      <c r="BO258" s="240" t="s">
        <v>323</v>
      </c>
      <c r="BP258" s="240" t="s">
        <v>949</v>
      </c>
      <c r="BQ258" s="240" t="s">
        <v>323</v>
      </c>
      <c r="BR258" s="240" t="s">
        <v>949</v>
      </c>
      <c r="BS258" s="240" t="s">
        <v>937</v>
      </c>
      <c r="BT258" s="245">
        <v>0.5</v>
      </c>
      <c r="BU258" s="240" t="s">
        <v>323</v>
      </c>
      <c r="BV258" s="240" t="s">
        <v>949</v>
      </c>
      <c r="BW258" s="240" t="s">
        <v>323</v>
      </c>
      <c r="BX258" s="240" t="s">
        <v>949</v>
      </c>
      <c r="BY258" s="240" t="s">
        <v>937</v>
      </c>
      <c r="BZ258" s="240" t="s">
        <v>949</v>
      </c>
      <c r="CA258" s="240" t="s">
        <v>937</v>
      </c>
      <c r="CB258" s="245">
        <v>0.1</v>
      </c>
      <c r="CC258" s="240" t="s">
        <v>950</v>
      </c>
      <c r="CD258" s="240">
        <v>2</v>
      </c>
      <c r="CE258" s="240" t="s">
        <v>951</v>
      </c>
      <c r="CF258" s="240" t="s">
        <v>952</v>
      </c>
    </row>
    <row r="259" spans="2:84" s="246" customFormat="1">
      <c r="B259" s="246" t="s">
        <v>26</v>
      </c>
      <c r="C259" s="246" t="s">
        <v>934</v>
      </c>
      <c r="D259" s="246" t="s">
        <v>953</v>
      </c>
      <c r="G259" s="246" t="s">
        <v>954</v>
      </c>
      <c r="H259" s="246" t="s">
        <v>955</v>
      </c>
      <c r="I259" s="246" t="s">
        <v>956</v>
      </c>
      <c r="J259" s="246" t="s">
        <v>328</v>
      </c>
      <c r="K259" s="246" t="s">
        <v>938</v>
      </c>
      <c r="L259" s="246" t="s">
        <v>957</v>
      </c>
      <c r="M259" s="246" t="s">
        <v>626</v>
      </c>
      <c r="N259" s="274">
        <v>2.77</v>
      </c>
      <c r="O259" s="246" t="s">
        <v>626</v>
      </c>
      <c r="P259" s="247">
        <v>61.04</v>
      </c>
      <c r="Q259" s="246" t="s">
        <v>958</v>
      </c>
      <c r="R259" s="246" t="s">
        <v>959</v>
      </c>
      <c r="S259" s="248">
        <v>1371220000</v>
      </c>
      <c r="T259" s="246" t="s">
        <v>326</v>
      </c>
      <c r="U259" s="246" t="s">
        <v>960</v>
      </c>
      <c r="V259" s="246" t="s">
        <v>961</v>
      </c>
      <c r="W259" s="246" t="s">
        <v>962</v>
      </c>
      <c r="X259" s="246" t="s">
        <v>937</v>
      </c>
      <c r="Y259" s="246" t="s">
        <v>963</v>
      </c>
      <c r="Z259" s="246" t="s">
        <v>964</v>
      </c>
      <c r="AA259" s="249">
        <v>22</v>
      </c>
      <c r="AB259" s="246" t="s">
        <v>965</v>
      </c>
      <c r="AC259" s="246" t="s">
        <v>324</v>
      </c>
      <c r="AD259" s="246" t="s">
        <v>966</v>
      </c>
      <c r="AE259" s="246" t="s">
        <v>947</v>
      </c>
      <c r="AF259" s="246" t="s">
        <v>967</v>
      </c>
      <c r="AG259" s="246" t="s">
        <v>326</v>
      </c>
      <c r="AH259" s="246" t="s">
        <v>626</v>
      </c>
      <c r="AI259" s="247">
        <v>2.77</v>
      </c>
      <c r="AJ259" s="246" t="s">
        <v>626</v>
      </c>
      <c r="AK259" s="247">
        <v>61.04</v>
      </c>
      <c r="AL259" s="246" t="s">
        <v>626</v>
      </c>
      <c r="AM259" s="247">
        <v>3.5</v>
      </c>
      <c r="AN259" s="246" t="s">
        <v>626</v>
      </c>
      <c r="AO259" s="247">
        <v>76.92</v>
      </c>
      <c r="AP259" s="246" t="s">
        <v>326</v>
      </c>
      <c r="AQ259" s="246" t="s">
        <v>968</v>
      </c>
      <c r="AR259" s="246" t="s">
        <v>326</v>
      </c>
      <c r="AS259" s="246" t="s">
        <v>937</v>
      </c>
      <c r="AT259" s="246" t="s">
        <v>968</v>
      </c>
      <c r="AU259" s="246" t="s">
        <v>969</v>
      </c>
      <c r="AV259" s="246" t="s">
        <v>626</v>
      </c>
      <c r="AW259" s="246" t="s">
        <v>250</v>
      </c>
      <c r="AX259" s="246" t="s">
        <v>970</v>
      </c>
      <c r="AY259" s="246" t="s">
        <v>324</v>
      </c>
      <c r="AZ259" s="246" t="s">
        <v>626</v>
      </c>
      <c r="BA259" s="246" t="s">
        <v>971</v>
      </c>
      <c r="BB259" s="246" t="s">
        <v>626</v>
      </c>
      <c r="BC259" s="246" t="s">
        <v>626</v>
      </c>
      <c r="BD259" s="246" t="s">
        <v>626</v>
      </c>
      <c r="BE259" s="246" t="s">
        <v>972</v>
      </c>
      <c r="BF259" s="246" t="s">
        <v>626</v>
      </c>
      <c r="BG259" s="246" t="s">
        <v>973</v>
      </c>
      <c r="BH259" s="246" t="s">
        <v>626</v>
      </c>
      <c r="BI259" s="246" t="s">
        <v>974</v>
      </c>
      <c r="BJ259" s="246" t="s">
        <v>626</v>
      </c>
      <c r="BK259" s="246" t="s">
        <v>975</v>
      </c>
      <c r="BL259" s="246" t="s">
        <v>626</v>
      </c>
      <c r="BM259" s="246" t="s">
        <v>976</v>
      </c>
      <c r="BN259" s="246" t="s">
        <v>626</v>
      </c>
      <c r="BO259" s="246" t="s">
        <v>977</v>
      </c>
      <c r="BP259" s="246" t="s">
        <v>626</v>
      </c>
      <c r="BQ259" s="246" t="s">
        <v>978</v>
      </c>
      <c r="BR259" s="246" t="s">
        <v>626</v>
      </c>
      <c r="BS259" s="246" t="s">
        <v>979</v>
      </c>
      <c r="BT259" s="246" t="s">
        <v>626</v>
      </c>
      <c r="BU259" s="246" t="s">
        <v>323</v>
      </c>
      <c r="BV259" s="246" t="s">
        <v>626</v>
      </c>
      <c r="BW259" s="246" t="s">
        <v>980</v>
      </c>
      <c r="BX259" s="246" t="s">
        <v>626</v>
      </c>
      <c r="BY259" s="246" t="s">
        <v>626</v>
      </c>
      <c r="BZ259" s="246" t="s">
        <v>626</v>
      </c>
      <c r="CA259" s="246" t="s">
        <v>626</v>
      </c>
      <c r="CB259" s="246" t="s">
        <v>626</v>
      </c>
      <c r="CC259" s="246" t="s">
        <v>626</v>
      </c>
      <c r="CD259" s="246">
        <v>2.2999999999999998</v>
      </c>
      <c r="CE259" s="246" t="s">
        <v>951</v>
      </c>
      <c r="CF259" s="246" t="s">
        <v>981</v>
      </c>
    </row>
  </sheetData>
  <mergeCells count="3">
    <mergeCell ref="B36:B40"/>
    <mergeCell ref="X216:Y216"/>
    <mergeCell ref="X217:Y217"/>
  </mergeCells>
  <hyperlinks>
    <hyperlink ref="Q72" r:id="rId1" xr:uid="{6359252A-E058-4117-97E2-B3818AAFACA3}"/>
    <hyperlink ref="J125" display="http://www.reuters.com/article/2010/01/06/us-tuberculosis-china-idUSTRE60501Z20100106 : Regular TB costs 1,000 yuan to treat in China but drug-resistant TB ranges from 100,000 to 300,000 yuan per person, said Zhong Qiu of China's TB Expert Consultative Co" xr:uid="{63BE2DD6-0899-43E2-8191-16191BE103B7}"/>
    <hyperlink ref="G210" r:id="rId2" xr:uid="{2B83F3AC-8CD4-4B46-B5D7-A5B8A3ECC8CE}"/>
    <hyperlink ref="M231" r:id="rId3" xr:uid="{7B6DF1DD-DA89-4813-8AE1-11768670546B}"/>
    <hyperlink ref="G4" r:id="rId4" xr:uid="{49E5240D-8029-47B4-9E94-A75C8BB830CE}"/>
  </hyperlinks>
  <pageMargins left="0.7" right="0.7" top="0.75" bottom="0.75" header="0.3" footer="0.3"/>
  <pageSetup paperSize="9" orientation="portrait" r:id="rId5"/>
  <legacy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4B246-ED2C-4AB9-A07E-664F9810B108}">
  <dimension ref="A2:Q75"/>
  <sheetViews>
    <sheetView topLeftCell="A52" workbookViewId="0">
      <selection activeCell="C68" sqref="C68"/>
    </sheetView>
  </sheetViews>
  <sheetFormatPr defaultRowHeight="14.4"/>
  <cols>
    <col min="2" max="2" width="31.21875" customWidth="1"/>
    <col min="3" max="3" width="13.21875" customWidth="1"/>
  </cols>
  <sheetData>
    <row r="2" spans="1:17">
      <c r="A2" t="s">
        <v>983</v>
      </c>
      <c r="D2" t="s">
        <v>984</v>
      </c>
      <c r="H2" t="s">
        <v>985</v>
      </c>
      <c r="Q2" t="s">
        <v>986</v>
      </c>
    </row>
    <row r="3" spans="1:17">
      <c r="B3" t="s">
        <v>987</v>
      </c>
      <c r="C3" t="s">
        <v>988</v>
      </c>
      <c r="D3">
        <v>321</v>
      </c>
      <c r="F3" t="s">
        <v>989</v>
      </c>
      <c r="H3">
        <f>D3</f>
        <v>321</v>
      </c>
      <c r="P3">
        <v>2000</v>
      </c>
      <c r="Q3">
        <v>30.759553654007401</v>
      </c>
    </row>
    <row r="4" spans="1:17">
      <c r="C4" t="s">
        <v>990</v>
      </c>
      <c r="D4">
        <v>9.3049999999999997</v>
      </c>
      <c r="F4" t="s">
        <v>989</v>
      </c>
      <c r="H4">
        <f t="shared" ref="H4:H28" si="0">$Q$20*D4/$Q$15</f>
        <v>13.733444962691676</v>
      </c>
      <c r="P4">
        <v>2001</v>
      </c>
      <c r="Q4">
        <v>37.365785210570202</v>
      </c>
    </row>
    <row r="5" spans="1:17">
      <c r="C5" t="s">
        <v>991</v>
      </c>
      <c r="D5" s="250">
        <f>D4*D3</f>
        <v>2986.9049999999997</v>
      </c>
      <c r="F5" t="s">
        <v>989</v>
      </c>
      <c r="H5" s="27">
        <f t="shared" si="0"/>
        <v>4408.4358330240284</v>
      </c>
      <c r="P5">
        <v>2002</v>
      </c>
      <c r="Q5">
        <v>43.265368445577202</v>
      </c>
    </row>
    <row r="6" spans="1:17">
      <c r="B6" t="s">
        <v>48</v>
      </c>
      <c r="D6">
        <v>3718</v>
      </c>
      <c r="E6" t="s">
        <v>992</v>
      </c>
      <c r="F6" t="s">
        <v>989</v>
      </c>
      <c r="H6" s="27">
        <f t="shared" si="0"/>
        <v>5487.4743010518696</v>
      </c>
      <c r="P6">
        <v>2003</v>
      </c>
      <c r="Q6">
        <v>49.176842513719301</v>
      </c>
    </row>
    <row r="7" spans="1:17">
      <c r="B7" t="s">
        <v>993</v>
      </c>
      <c r="C7" t="s">
        <v>108</v>
      </c>
      <c r="D7">
        <v>250</v>
      </c>
      <c r="F7" t="s">
        <v>989</v>
      </c>
      <c r="H7">
        <f>D7</f>
        <v>250</v>
      </c>
      <c r="P7">
        <v>2004</v>
      </c>
      <c r="Q7">
        <v>54.531519924474701</v>
      </c>
    </row>
    <row r="8" spans="1:17">
      <c r="C8" t="s">
        <v>994</v>
      </c>
      <c r="D8" s="221">
        <v>3.133</v>
      </c>
      <c r="F8" t="s">
        <v>989</v>
      </c>
      <c r="H8">
        <f t="shared" si="0"/>
        <v>4.624060512424828</v>
      </c>
      <c r="P8">
        <v>2005</v>
      </c>
      <c r="Q8">
        <v>61.4490089758499</v>
      </c>
    </row>
    <row r="9" spans="1:17">
      <c r="C9" t="s">
        <v>991</v>
      </c>
      <c r="D9" s="250">
        <f>D8*D7</f>
        <v>783.25</v>
      </c>
      <c r="F9" t="s">
        <v>989</v>
      </c>
      <c r="H9" s="27">
        <f t="shared" si="0"/>
        <v>1156.0151281062069</v>
      </c>
      <c r="P9">
        <v>2006</v>
      </c>
      <c r="Q9">
        <v>67.390301376828305</v>
      </c>
    </row>
    <row r="10" spans="1:17">
      <c r="B10" t="s">
        <v>995</v>
      </c>
      <c r="C10" t="s">
        <v>108</v>
      </c>
      <c r="D10">
        <v>1.43</v>
      </c>
      <c r="F10" t="s">
        <v>989</v>
      </c>
      <c r="H10">
        <f>D10</f>
        <v>1.43</v>
      </c>
      <c r="P10">
        <v>2007</v>
      </c>
      <c r="Q10">
        <v>73.460347108994199</v>
      </c>
    </row>
    <row r="11" spans="1:17">
      <c r="C11" t="s">
        <v>994</v>
      </c>
      <c r="D11">
        <v>85</v>
      </c>
      <c r="F11" t="s">
        <v>989</v>
      </c>
      <c r="H11">
        <f>$Q$20*D11/$Q$15</f>
        <v>125.45328552700617</v>
      </c>
      <c r="P11">
        <v>2008</v>
      </c>
      <c r="Q11">
        <v>83.826166102897204</v>
      </c>
    </row>
    <row r="12" spans="1:17">
      <c r="C12" t="s">
        <v>996</v>
      </c>
      <c r="D12">
        <v>130</v>
      </c>
      <c r="F12" t="s">
        <v>989</v>
      </c>
      <c r="H12">
        <f t="shared" si="0"/>
        <v>191.86973080600947</v>
      </c>
      <c r="P12">
        <v>2009</v>
      </c>
      <c r="Q12">
        <v>93.5896759401721</v>
      </c>
    </row>
    <row r="13" spans="1:17">
      <c r="C13" t="s">
        <v>991</v>
      </c>
      <c r="D13" s="250">
        <f>D11*D10+D12</f>
        <v>251.55</v>
      </c>
      <c r="F13" t="s">
        <v>989</v>
      </c>
      <c r="H13" s="27">
        <f t="shared" si="0"/>
        <v>371.26792910962837</v>
      </c>
      <c r="P13">
        <v>2010</v>
      </c>
      <c r="Q13">
        <v>100</v>
      </c>
    </row>
    <row r="14" spans="1:17">
      <c r="B14" t="s">
        <v>997</v>
      </c>
      <c r="D14">
        <v>416</v>
      </c>
      <c r="F14" t="s">
        <v>989</v>
      </c>
      <c r="H14" s="27">
        <f t="shared" si="0"/>
        <v>613.98313857923029</v>
      </c>
      <c r="P14">
        <v>2011</v>
      </c>
      <c r="Q14">
        <v>108.440464859326</v>
      </c>
    </row>
    <row r="15" spans="1:17">
      <c r="B15" t="s">
        <v>998</v>
      </c>
      <c r="D15">
        <v>370</v>
      </c>
      <c r="F15" t="s">
        <v>989</v>
      </c>
      <c r="H15" s="27">
        <f t="shared" si="0"/>
        <v>546.09077229402692</v>
      </c>
      <c r="P15">
        <v>2012</v>
      </c>
      <c r="Q15">
        <v>113.943539767608</v>
      </c>
    </row>
    <row r="16" spans="1:17">
      <c r="B16" t="s">
        <v>999</v>
      </c>
      <c r="D16">
        <v>200</v>
      </c>
      <c r="F16" t="s">
        <v>989</v>
      </c>
      <c r="H16" s="27">
        <f t="shared" si="0"/>
        <v>295.18420124001454</v>
      </c>
      <c r="P16">
        <v>2013</v>
      </c>
      <c r="Q16">
        <v>121.640047972666</v>
      </c>
    </row>
    <row r="17" spans="2:17">
      <c r="B17" t="s">
        <v>1000</v>
      </c>
      <c r="C17" t="s">
        <v>1001</v>
      </c>
      <c r="D17" s="221">
        <v>46.54</v>
      </c>
      <c r="F17" t="s">
        <v>989</v>
      </c>
      <c r="H17">
        <f>D17</f>
        <v>46.54</v>
      </c>
      <c r="P17">
        <v>2014</v>
      </c>
      <c r="Q17">
        <v>131.15250614745801</v>
      </c>
    </row>
    <row r="18" spans="2:17">
      <c r="C18" t="s">
        <v>1002</v>
      </c>
      <c r="D18" s="221">
        <v>2.54</v>
      </c>
      <c r="F18" t="s">
        <v>989</v>
      </c>
      <c r="H18">
        <f t="shared" si="0"/>
        <v>3.7488393557481849</v>
      </c>
      <c r="P18">
        <v>2015</v>
      </c>
      <c r="Q18">
        <v>151.52625580789601</v>
      </c>
    </row>
    <row r="19" spans="2:17">
      <c r="C19" t="s">
        <v>159</v>
      </c>
      <c r="D19" s="221">
        <v>3.94</v>
      </c>
      <c r="F19" t="s">
        <v>989</v>
      </c>
      <c r="H19">
        <f>D19</f>
        <v>3.94</v>
      </c>
      <c r="P19">
        <v>2016</v>
      </c>
      <c r="Q19">
        <v>162.19739729670999</v>
      </c>
    </row>
    <row r="20" spans="2:17">
      <c r="C20" t="s">
        <v>1003</v>
      </c>
      <c r="D20" s="250">
        <v>4.4000000000000004</v>
      </c>
      <c r="F20" t="s">
        <v>989</v>
      </c>
      <c r="H20">
        <f t="shared" si="0"/>
        <v>6.4940524272803204</v>
      </c>
      <c r="P20">
        <v>2017</v>
      </c>
      <c r="Q20">
        <v>168.171663863806</v>
      </c>
    </row>
    <row r="21" spans="2:17">
      <c r="C21" t="s">
        <v>563</v>
      </c>
      <c r="D21" s="250">
        <v>48.4</v>
      </c>
      <c r="F21" t="s">
        <v>989</v>
      </c>
      <c r="H21">
        <f>D21</f>
        <v>48.4</v>
      </c>
    </row>
    <row r="22" spans="2:17">
      <c r="C22" t="s">
        <v>1004</v>
      </c>
      <c r="D22" s="221">
        <v>0.54</v>
      </c>
      <c r="F22" t="s">
        <v>989</v>
      </c>
      <c r="H22">
        <f t="shared" si="0"/>
        <v>0.79699734334803929</v>
      </c>
    </row>
    <row r="23" spans="2:17">
      <c r="C23" t="s">
        <v>991</v>
      </c>
      <c r="D23" s="250">
        <v>166</v>
      </c>
      <c r="F23" t="s">
        <v>989</v>
      </c>
      <c r="H23" s="27">
        <f t="shared" si="0"/>
        <v>245.00288702921208</v>
      </c>
    </row>
    <row r="24" spans="2:17">
      <c r="B24" t="s">
        <v>1005</v>
      </c>
      <c r="D24" s="250">
        <v>302</v>
      </c>
      <c r="F24" t="s">
        <v>989</v>
      </c>
      <c r="H24" s="27">
        <f t="shared" si="0"/>
        <v>445.72814387242198</v>
      </c>
    </row>
    <row r="25" spans="2:17">
      <c r="B25" t="s">
        <v>1006</v>
      </c>
      <c r="D25" s="250">
        <v>288</v>
      </c>
      <c r="F25" t="s">
        <v>989</v>
      </c>
      <c r="H25" s="27">
        <f t="shared" si="0"/>
        <v>425.06524978562095</v>
      </c>
    </row>
    <row r="26" spans="2:17">
      <c r="B26" t="s">
        <v>1007</v>
      </c>
      <c r="D26" s="250">
        <v>91</v>
      </c>
      <c r="F26" t="s">
        <v>989</v>
      </c>
      <c r="H26" s="27">
        <f t="shared" si="0"/>
        <v>134.30881156420662</v>
      </c>
    </row>
    <row r="27" spans="2:17">
      <c r="B27" t="s">
        <v>1008</v>
      </c>
      <c r="D27" s="250">
        <v>54.4</v>
      </c>
      <c r="F27" t="s">
        <v>989</v>
      </c>
      <c r="H27" s="27">
        <f t="shared" si="0"/>
        <v>80.290102737283959</v>
      </c>
    </row>
    <row r="28" spans="2:17">
      <c r="B28" t="s">
        <v>798</v>
      </c>
      <c r="D28" s="250">
        <v>460.4</v>
      </c>
      <c r="F28" t="s">
        <v>989</v>
      </c>
      <c r="H28" s="27">
        <f t="shared" si="0"/>
        <v>679.51403125451338</v>
      </c>
    </row>
    <row r="29" spans="2:17">
      <c r="B29" t="s">
        <v>991</v>
      </c>
      <c r="D29" s="250">
        <f>D28+D27+D26+D25+D24+D23+D16+D15+D14+D13+D9+D6+D5</f>
        <v>10087.505000000001</v>
      </c>
      <c r="F29" t="s">
        <v>989</v>
      </c>
      <c r="H29" s="250">
        <f>H28+H27+H26+H24+H23+H16+H15+H14+H13+H9+H6+H5</f>
        <v>14463.295279862643</v>
      </c>
    </row>
    <row r="30" spans="2:17">
      <c r="D30" t="s">
        <v>985</v>
      </c>
    </row>
    <row r="31" spans="2:17">
      <c r="B31" t="s">
        <v>640</v>
      </c>
      <c r="C31" t="s">
        <v>174</v>
      </c>
      <c r="D31">
        <f>24.09*Q20/Q12</f>
        <v>43.28741756803263</v>
      </c>
      <c r="E31">
        <f>18.06*Q20/Q12</f>
        <v>32.452086395959704</v>
      </c>
      <c r="F31">
        <f>30.09*Q20/Q12</f>
        <v>54.068841619846488</v>
      </c>
      <c r="L31" s="36" t="s">
        <v>1009</v>
      </c>
    </row>
    <row r="32" spans="2:17">
      <c r="D32" t="s">
        <v>1010</v>
      </c>
    </row>
    <row r="33" spans="1:12">
      <c r="A33" t="s">
        <v>1011</v>
      </c>
      <c r="B33" t="s">
        <v>616</v>
      </c>
      <c r="D33">
        <v>2512</v>
      </c>
      <c r="H33">
        <f>D33*$Q$20/(2*$Q$17)</f>
        <v>1610.5190515799707</v>
      </c>
    </row>
    <row r="34" spans="1:12">
      <c r="B34" t="s">
        <v>1012</v>
      </c>
      <c r="D34">
        <f>1044-D36</f>
        <v>830.81012796430605</v>
      </c>
      <c r="H34">
        <f>D34*$Q$20/(2*$Q$17)</f>
        <v>532.65745992520237</v>
      </c>
    </row>
    <row r="35" spans="1:12">
      <c r="B35" t="s">
        <v>1013</v>
      </c>
      <c r="D35">
        <v>277</v>
      </c>
      <c r="H35">
        <f>D35*$Q$20/$Q$17</f>
        <v>355.18612841373556</v>
      </c>
    </row>
    <row r="36" spans="1:12">
      <c r="B36" t="s">
        <v>1014</v>
      </c>
      <c r="D36">
        <f>50*Q17/Q3</f>
        <v>213.18987203569395</v>
      </c>
      <c r="H36">
        <f>D36*$Q$20/$Q$17</f>
        <v>273.36492875587669</v>
      </c>
    </row>
    <row r="37" spans="1:12">
      <c r="B37" t="s">
        <v>991</v>
      </c>
      <c r="D37">
        <f>SUM(D33:D36)</f>
        <v>3833</v>
      </c>
      <c r="H37" s="27">
        <f>SUM(H33:H36)</f>
        <v>2771.7275686747853</v>
      </c>
      <c r="L37" s="36" t="s">
        <v>1015</v>
      </c>
    </row>
    <row r="39" spans="1:12">
      <c r="B39" t="s">
        <v>1016</v>
      </c>
      <c r="C39" t="s">
        <v>1017</v>
      </c>
      <c r="H39">
        <v>76.64</v>
      </c>
      <c r="K39" t="s">
        <v>1018</v>
      </c>
      <c r="L39" s="36" t="s">
        <v>1019</v>
      </c>
    </row>
    <row r="40" spans="1:12">
      <c r="B40" t="s">
        <v>1020</v>
      </c>
      <c r="C40" t="s">
        <v>1017</v>
      </c>
      <c r="H40">
        <v>95.18</v>
      </c>
      <c r="K40" t="s">
        <v>1021</v>
      </c>
    </row>
    <row r="42" spans="1:12">
      <c r="A42" t="s">
        <v>1022</v>
      </c>
      <c r="B42" t="s">
        <v>1023</v>
      </c>
      <c r="H42">
        <v>98245</v>
      </c>
      <c r="K42" t="s">
        <v>1024</v>
      </c>
    </row>
    <row r="43" spans="1:12">
      <c r="B43" t="s">
        <v>1025</v>
      </c>
      <c r="H43" s="56" t="s">
        <v>1026</v>
      </c>
      <c r="K43" t="s">
        <v>1024</v>
      </c>
      <c r="L43" s="36" t="s">
        <v>1027</v>
      </c>
    </row>
    <row r="47" spans="1:12">
      <c r="B47" t="s">
        <v>640</v>
      </c>
      <c r="C47" t="s">
        <v>1028</v>
      </c>
      <c r="D47">
        <f>H18+2*H22+H18+2*H8</f>
        <v>18.339794423042104</v>
      </c>
      <c r="E47">
        <f>2*H22+H8+H18</f>
        <v>9.966894554869091</v>
      </c>
      <c r="K47" t="s">
        <v>1058</v>
      </c>
      <c r="L47" s="36" t="s">
        <v>1029</v>
      </c>
    </row>
    <row r="48" spans="1:12">
      <c r="B48" t="s">
        <v>640</v>
      </c>
      <c r="C48" t="s">
        <v>1030</v>
      </c>
      <c r="D48">
        <f>2*H22+H18+H8</f>
        <v>9.966894554869091</v>
      </c>
      <c r="K48" t="s">
        <v>1031</v>
      </c>
    </row>
    <row r="49" spans="1:12">
      <c r="B49" t="s">
        <v>640</v>
      </c>
      <c r="C49" t="s">
        <v>174</v>
      </c>
      <c r="D49">
        <f>D31</f>
        <v>43.28741756803263</v>
      </c>
      <c r="E49">
        <f>E31</f>
        <v>32.452086395959704</v>
      </c>
      <c r="F49">
        <f>F31</f>
        <v>54.068841619846488</v>
      </c>
      <c r="L49" t="str">
        <f>L31</f>
        <v>https://journals.plos.org/plosmedicine/article?id=10.1371/journal.pmed.1001348</v>
      </c>
    </row>
    <row r="50" spans="1:12">
      <c r="B50" t="s">
        <v>1032</v>
      </c>
      <c r="C50" t="s">
        <v>1017</v>
      </c>
      <c r="D50">
        <f>H37/6</f>
        <v>461.9545947791309</v>
      </c>
      <c r="E50">
        <f>D50*0.8</f>
        <v>369.56367582330472</v>
      </c>
      <c r="F50">
        <f>D50*1.2</f>
        <v>554.34551373495708</v>
      </c>
    </row>
    <row r="51" spans="1:12">
      <c r="B51" t="s">
        <v>1033</v>
      </c>
      <c r="C51" t="s">
        <v>1017</v>
      </c>
      <c r="D51">
        <f>H29/24</f>
        <v>602.63730332761008</v>
      </c>
      <c r="E51">
        <f>D51*0.8</f>
        <v>482.10984266208811</v>
      </c>
      <c r="F51">
        <f>D51*1.2</f>
        <v>723.16476399313206</v>
      </c>
    </row>
    <row r="52" spans="1:12">
      <c r="B52" t="s">
        <v>1034</v>
      </c>
      <c r="D52">
        <f>H40+(H29-H6)/24</f>
        <v>469.17254078378227</v>
      </c>
      <c r="K52" t="s">
        <v>1021</v>
      </c>
    </row>
    <row r="56" spans="1:12">
      <c r="B56" t="s">
        <v>1035</v>
      </c>
      <c r="D56">
        <f>(450*Q20/Q17)/6</f>
        <v>96.16952935389952</v>
      </c>
      <c r="K56" s="36" t="s">
        <v>1036</v>
      </c>
    </row>
    <row r="60" spans="1:12" s="37" customFormat="1">
      <c r="A60" s="37" t="s">
        <v>1055</v>
      </c>
      <c r="C60" s="255"/>
    </row>
    <row r="61" spans="1:12">
      <c r="C61" t="s">
        <v>1054</v>
      </c>
      <c r="D61" t="s">
        <v>1056</v>
      </c>
    </row>
    <row r="62" spans="1:12">
      <c r="A62" t="s">
        <v>1053</v>
      </c>
      <c r="B62" t="s">
        <v>1052</v>
      </c>
      <c r="C62" s="179">
        <f>D62*$Q$20/$Q$11</f>
        <v>29.912372529735499</v>
      </c>
      <c r="D62">
        <v>14.91</v>
      </c>
      <c r="E62" t="s">
        <v>671</v>
      </c>
      <c r="F62" s="36" t="s">
        <v>1051</v>
      </c>
    </row>
    <row r="63" spans="1:12">
      <c r="B63" t="s">
        <v>1050</v>
      </c>
      <c r="C63" s="179">
        <f>D63*$Q$20/$Q$11</f>
        <v>36.934056222161672</v>
      </c>
      <c r="D63">
        <v>18.41</v>
      </c>
    </row>
    <row r="64" spans="1:12">
      <c r="B64" t="s">
        <v>1049</v>
      </c>
      <c r="C64" s="179">
        <f>D64*$Q$20/$Q$11</f>
        <v>42.089978247743183</v>
      </c>
      <c r="D64">
        <v>20.98</v>
      </c>
    </row>
    <row r="65" spans="1:6">
      <c r="B65" t="s">
        <v>1048</v>
      </c>
      <c r="C65" s="179">
        <f>D65*$Q$20/$Q$11</f>
        <v>43.875492100960123</v>
      </c>
      <c r="D65">
        <v>21.87</v>
      </c>
    </row>
    <row r="66" spans="1:6">
      <c r="C66" s="254">
        <f>AVERAGE(C62:C65)</f>
        <v>38.202974775150118</v>
      </c>
    </row>
    <row r="68" spans="1:6">
      <c r="A68" t="s">
        <v>1047</v>
      </c>
      <c r="B68" t="s">
        <v>16</v>
      </c>
      <c r="C68" s="179">
        <f>D68*$Q$20/$Q$9</f>
        <v>1.247743817937804</v>
      </c>
      <c r="D68">
        <f>(22-(5*4))/4</f>
        <v>0.5</v>
      </c>
      <c r="E68" t="s">
        <v>1046</v>
      </c>
      <c r="F68" s="36" t="s">
        <v>38</v>
      </c>
    </row>
    <row r="70" spans="1:6">
      <c r="A70" t="s">
        <v>1045</v>
      </c>
      <c r="B70" t="s">
        <v>1044</v>
      </c>
      <c r="C70" s="26">
        <f>'Cost model'!G4</f>
        <v>0</v>
      </c>
      <c r="E70" t="s">
        <v>1043</v>
      </c>
      <c r="F70" t="s">
        <v>1042</v>
      </c>
    </row>
    <row r="71" spans="1:6">
      <c r="B71" t="s">
        <v>1041</v>
      </c>
      <c r="C71" s="252">
        <v>144495044</v>
      </c>
    </row>
    <row r="72" spans="1:6">
      <c r="B72" t="s">
        <v>1040</v>
      </c>
      <c r="C72" s="253">
        <f>C71*4.1%+C71*5%</f>
        <v>13149049.004000001</v>
      </c>
    </row>
    <row r="73" spans="1:6">
      <c r="B73" t="s">
        <v>1039</v>
      </c>
      <c r="C73" s="252">
        <v>9597000</v>
      </c>
    </row>
    <row r="74" spans="1:6">
      <c r="B74" t="s">
        <v>1038</v>
      </c>
      <c r="C74" s="252">
        <v>17100000</v>
      </c>
      <c r="D74" s="26">
        <f>C74/(C73+C74)</f>
        <v>0.64052140689965165</v>
      </c>
      <c r="E74" s="154" t="s">
        <v>1037</v>
      </c>
    </row>
    <row r="75" spans="1:6">
      <c r="C75" s="251">
        <f>C70+C70*D74</f>
        <v>0</v>
      </c>
    </row>
  </sheetData>
  <hyperlinks>
    <hyperlink ref="L31" r:id="rId1" xr:uid="{B1D7205E-D1B8-438E-9B98-E7E82ACE12CC}"/>
    <hyperlink ref="L37" r:id="rId2" xr:uid="{6E33918E-219D-4C7F-91E9-B66C00050B71}"/>
    <hyperlink ref="L43" r:id="rId3" xr:uid="{06D27E5A-A202-49A1-BF2B-BAC1EA783BA3}"/>
    <hyperlink ref="K56" r:id="rId4" xr:uid="{29BAF1D1-5813-451F-A7E0-505A2634FF3A}"/>
    <hyperlink ref="L39" r:id="rId5" xr:uid="{84823641-7D78-4B8B-B344-D8AA325DA84C}"/>
    <hyperlink ref="L47" r:id="rId6" xr:uid="{BD0266B9-9AE4-466A-AA08-8B8041929683}"/>
    <hyperlink ref="F62" r:id="rId7" xr:uid="{418101D4-5C67-4221-BFA9-AEF09AB20F26}"/>
    <hyperlink ref="F68" r:id="rId8" xr:uid="{C6CC2278-85C4-4F85-97EF-3BFCF64B9AF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Cost model</vt:lpstr>
      <vt:lpstr>Budget</vt:lpstr>
      <vt:lpstr>India - TB</vt:lpstr>
      <vt:lpstr>India - vacc</vt:lpstr>
      <vt:lpstr>China - TB&amp;vacc</vt:lpstr>
      <vt:lpstr>Russia - TB&amp;Vacc</vt:lpstr>
      <vt:lpstr>districts</vt:lpstr>
      <vt:lpstr>exch_rate_CH</vt:lpstr>
      <vt:lpstr>states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Fiammetta Bozzani</dc:creator>
  <cp:lastModifiedBy>Gabriela Gomez</cp:lastModifiedBy>
  <dcterms:created xsi:type="dcterms:W3CDTF">2018-12-04T08:04:44Z</dcterms:created>
  <dcterms:modified xsi:type="dcterms:W3CDTF">2019-05-03T14:54:26Z</dcterms:modified>
</cp:coreProperties>
</file>