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ihao Zeng\Downloads\"/>
    </mc:Choice>
  </mc:AlternateContent>
  <xr:revisionPtr revIDLastSave="0" documentId="13_ncr:1_{3439A9EE-2BF3-40B9-A72E-EEF211285D8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ummary" sheetId="37" state="hidden" r:id="rId1"/>
    <sheet name="Sheet1" sheetId="38" r:id="rId2"/>
  </sheets>
  <definedNames>
    <definedName name="_1__123Graph_ACHART_1" hidden="1">#REF!</definedName>
    <definedName name="_2__123Graph_BCHART_1" hidden="1">#REF!</definedName>
    <definedName name="_3__123Graph_CCHART_1" hidden="1">#REF!</definedName>
    <definedName name="_4__123Graph_DCHART_1" hidden="1">#REF!</definedName>
    <definedName name="_5__123Graph_ECHART_1" hidden="1">#REF!</definedName>
    <definedName name="_6__123Graph_XCHART_1" hidden="1">#REF!</definedName>
    <definedName name="Blacnk" hidden="1">#REF!</definedName>
    <definedName name="Blank" hidden="1">#REF!</definedName>
    <definedName name="Example" hidden="1">#REF!</definedName>
    <definedName name="one" hidden="1">#REF!</definedName>
    <definedName name="three" hidden="1">#REF!</definedName>
    <definedName name="two" hidden="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2" i="38" l="1"/>
  <c r="AC41" i="38"/>
  <c r="AC37" i="38"/>
  <c r="AA32" i="38"/>
  <c r="X31" i="38"/>
  <c r="AN22" i="38"/>
  <c r="AM22" i="38"/>
  <c r="T22" i="38" s="1"/>
  <c r="AL22" i="38"/>
  <c r="AK22" i="38"/>
  <c r="AJ22" i="38"/>
  <c r="AI22" i="38"/>
  <c r="H22" i="38" s="1"/>
  <c r="AH22" i="38"/>
  <c r="AG22" i="38"/>
  <c r="S22" i="38" s="1"/>
  <c r="AF22" i="38"/>
  <c r="AE22" i="38"/>
  <c r="AD22" i="38"/>
  <c r="AC22" i="38"/>
  <c r="G22" i="38" s="1"/>
  <c r="V22" i="38"/>
  <c r="Z22" i="38" s="1"/>
  <c r="N22" i="38"/>
  <c r="M22" i="38"/>
  <c r="AN21" i="38"/>
  <c r="AM21" i="38"/>
  <c r="T21" i="38" s="1"/>
  <c r="AL21" i="38"/>
  <c r="AK21" i="38"/>
  <c r="AJ21" i="38"/>
  <c r="AI21" i="38"/>
  <c r="H21" i="38" s="1"/>
  <c r="AH21" i="38"/>
  <c r="AG21" i="38"/>
  <c r="AF21" i="38"/>
  <c r="AE21" i="38"/>
  <c r="M21" i="38" s="1"/>
  <c r="AD21" i="38"/>
  <c r="AC21" i="38"/>
  <c r="G21" i="38" s="1"/>
  <c r="V21" i="38"/>
  <c r="Z21" i="38" s="1"/>
  <c r="S21" i="38"/>
  <c r="N21" i="38"/>
  <c r="AN20" i="38"/>
  <c r="AM20" i="38"/>
  <c r="T20" i="38" s="1"/>
  <c r="AL20" i="38"/>
  <c r="AK20" i="38"/>
  <c r="N20" i="38" s="1"/>
  <c r="AJ20" i="38"/>
  <c r="AI20" i="38"/>
  <c r="AH20" i="38"/>
  <c r="AG20" i="38"/>
  <c r="AF20" i="38"/>
  <c r="AE20" i="38"/>
  <c r="M20" i="38" s="1"/>
  <c r="AD20" i="38"/>
  <c r="AC20" i="38"/>
  <c r="V20" i="38"/>
  <c r="Z20" i="38" s="1"/>
  <c r="S20" i="38"/>
  <c r="H20" i="38"/>
  <c r="G20" i="38"/>
  <c r="AN19" i="38"/>
  <c r="AM19" i="38"/>
  <c r="T19" i="38" s="1"/>
  <c r="AL19" i="38"/>
  <c r="AK19" i="38"/>
  <c r="N19" i="38" s="1"/>
  <c r="AJ19" i="38"/>
  <c r="AI19" i="38"/>
  <c r="AH19" i="38"/>
  <c r="AG19" i="38"/>
  <c r="AF19" i="38"/>
  <c r="AE19" i="38"/>
  <c r="AD19" i="38"/>
  <c r="AC19" i="38"/>
  <c r="G19" i="38" s="1"/>
  <c r="Z19" i="38"/>
  <c r="V19" i="38"/>
  <c r="S19" i="38"/>
  <c r="M19" i="38"/>
  <c r="H19" i="38"/>
  <c r="AN18" i="38"/>
  <c r="AM18" i="38"/>
  <c r="T18" i="38" s="1"/>
  <c r="AL18" i="38"/>
  <c r="AK18" i="38"/>
  <c r="N18" i="38" s="1"/>
  <c r="AJ18" i="38"/>
  <c r="AI18" i="38"/>
  <c r="H18" i="38" s="1"/>
  <c r="AH18" i="38"/>
  <c r="AG18" i="38"/>
  <c r="AF18" i="38"/>
  <c r="AE18" i="38"/>
  <c r="AD18" i="38"/>
  <c r="AC18" i="38"/>
  <c r="G18" i="38" s="1"/>
  <c r="Z18" i="38"/>
  <c r="V18" i="38"/>
  <c r="S18" i="38"/>
  <c r="M18" i="38"/>
  <c r="AN17" i="38"/>
  <c r="AM17" i="38"/>
  <c r="AL17" i="38"/>
  <c r="AK17" i="38"/>
  <c r="AJ17" i="38"/>
  <c r="AI17" i="38"/>
  <c r="H17" i="38" s="1"/>
  <c r="AH17" i="38"/>
  <c r="AG17" i="38"/>
  <c r="AF17" i="38"/>
  <c r="AE17" i="38"/>
  <c r="M17" i="38" s="1"/>
  <c r="AD17" i="38"/>
  <c r="AC17" i="38"/>
  <c r="G17" i="38" s="1"/>
  <c r="AC23" i="38" s="1"/>
  <c r="V17" i="38"/>
  <c r="Z17" i="38" s="1"/>
  <c r="T17" i="38"/>
  <c r="S17" i="38"/>
  <c r="N17" i="38"/>
  <c r="AN16" i="38"/>
  <c r="AM16" i="38"/>
  <c r="AL16" i="38"/>
  <c r="AK16" i="38"/>
  <c r="AJ16" i="38"/>
  <c r="AI16" i="38"/>
  <c r="H16" i="38" s="1"/>
  <c r="AH16" i="38"/>
  <c r="AG16" i="38"/>
  <c r="AF16" i="38"/>
  <c r="AE16" i="38"/>
  <c r="M16" i="38" s="1"/>
  <c r="AD16" i="38"/>
  <c r="AC16" i="38"/>
  <c r="V16" i="38"/>
  <c r="Z16" i="38" s="1"/>
  <c r="T16" i="38"/>
  <c r="S16" i="38"/>
  <c r="N16" i="38"/>
  <c r="G16" i="38"/>
  <c r="AN15" i="38"/>
  <c r="AM15" i="38"/>
  <c r="T15" i="38" s="1"/>
  <c r="AL15" i="38"/>
  <c r="AK15" i="38"/>
  <c r="N15" i="38" s="1"/>
  <c r="AJ15" i="38"/>
  <c r="AI15" i="38"/>
  <c r="AH15" i="38"/>
  <c r="AG15" i="38"/>
  <c r="AF15" i="38"/>
  <c r="AE15" i="38"/>
  <c r="M15" i="38" s="1"/>
  <c r="AD15" i="38"/>
  <c r="AC15" i="38"/>
  <c r="V15" i="38"/>
  <c r="Z15" i="38" s="1"/>
  <c r="S15" i="38"/>
  <c r="H15" i="38"/>
  <c r="G15" i="38"/>
  <c r="AN14" i="38"/>
  <c r="AM14" i="38"/>
  <c r="AL14" i="38"/>
  <c r="AK14" i="38"/>
  <c r="N14" i="38" s="1"/>
  <c r="AJ14" i="38"/>
  <c r="AI14" i="38"/>
  <c r="AH14" i="38"/>
  <c r="AG14" i="38"/>
  <c r="S14" i="38" s="1"/>
  <c r="AF14" i="38"/>
  <c r="AE14" i="38"/>
  <c r="M14" i="38" s="1"/>
  <c r="AD14" i="38"/>
  <c r="AC14" i="38"/>
  <c r="V14" i="38"/>
  <c r="Z14" i="38" s="1"/>
  <c r="T14" i="38"/>
  <c r="H14" i="38"/>
  <c r="G14" i="38"/>
  <c r="AN13" i="38"/>
  <c r="AM13" i="38"/>
  <c r="AL13" i="38"/>
  <c r="AK13" i="38"/>
  <c r="N13" i="38" s="1"/>
  <c r="AJ13" i="38"/>
  <c r="AI13" i="38"/>
  <c r="H13" i="38" s="1"/>
  <c r="AH13" i="38"/>
  <c r="AG13" i="38"/>
  <c r="S13" i="38" s="1"/>
  <c r="AF13" i="38"/>
  <c r="AE13" i="38"/>
  <c r="AD13" i="38"/>
  <c r="AC13" i="38"/>
  <c r="V13" i="38"/>
  <c r="T13" i="38"/>
  <c r="M13" i="38"/>
  <c r="G13" i="38"/>
  <c r="N24" i="38" l="1"/>
  <c r="AD24" i="38"/>
  <c r="T24" i="38"/>
  <c r="AE24" i="38"/>
  <c r="AO15" i="38"/>
  <c r="AO17" i="38"/>
  <c r="AP19" i="38"/>
  <c r="AP21" i="38"/>
  <c r="AE23" i="38"/>
  <c r="AO13" i="38"/>
  <c r="AP18" i="38"/>
  <c r="AO18" i="38" s="1"/>
  <c r="S23" i="38"/>
  <c r="AP20" i="38"/>
  <c r="AO20" i="38" s="1"/>
  <c r="AP15" i="38"/>
  <c r="AP22" i="38"/>
  <c r="AO22" i="38" s="1"/>
  <c r="AP17" i="38"/>
  <c r="AP14" i="38"/>
  <c r="AO14" i="38" s="1"/>
  <c r="AP16" i="38"/>
  <c r="AO16" i="38" s="1"/>
  <c r="H24" i="38"/>
  <c r="AC24" i="38"/>
  <c r="AP13" i="38"/>
  <c r="AO19" i="38"/>
  <c r="AO21" i="38"/>
  <c r="M23" i="38"/>
  <c r="AD23" i="38"/>
  <c r="G23" i="38"/>
  <c r="Z13" i="38"/>
  <c r="AB19" i="38"/>
  <c r="AB25" i="38"/>
  <c r="V25" i="38" s="1"/>
  <c r="AB20" i="38"/>
  <c r="AB21" i="38" s="1"/>
  <c r="AB22" i="38" s="1"/>
  <c r="AB23" i="38" s="1"/>
  <c r="AB24" i="38" s="1"/>
  <c r="V23" i="38"/>
  <c r="T39" i="38" l="1"/>
  <c r="D39" i="38"/>
  <c r="Q30" i="38"/>
  <c r="K28" i="38"/>
  <c r="V37" i="38"/>
  <c r="K27" i="38"/>
  <c r="V43" i="38"/>
  <c r="T37" i="38"/>
  <c r="V41" i="38"/>
  <c r="AA25" i="38"/>
  <c r="T41" i="38"/>
  <c r="O41" i="38"/>
  <c r="H25" i="38"/>
  <c r="AD39" i="38"/>
  <c r="N35" i="38"/>
  <c r="AC39" i="38"/>
  <c r="I53" i="38"/>
  <c r="AA33" i="38"/>
  <c r="AA34" i="38" s="1"/>
  <c r="AA35" i="38" s="1"/>
  <c r="AA36" i="38" s="1"/>
  <c r="AA37" i="38" s="1"/>
  <c r="AA38" i="38" s="1"/>
  <c r="AA39" i="38" s="1"/>
  <c r="O43" i="38" s="1"/>
  <c r="V39" i="38"/>
  <c r="T43" i="38"/>
  <c r="Z26" i="38"/>
  <c r="H26" i="38"/>
  <c r="AB30" i="38" l="1"/>
  <c r="AA27" i="38"/>
  <c r="Z44" i="38"/>
  <c r="Z43" i="38"/>
  <c r="Z47" i="38"/>
  <c r="Z46" i="38"/>
  <c r="Z50" i="38"/>
  <c r="Z53" i="38" s="1"/>
  <c r="AE35" i="38"/>
  <c r="AC35" i="38" s="1"/>
  <c r="AD35" i="38"/>
</calcChain>
</file>

<file path=xl/sharedStrings.xml><?xml version="1.0" encoding="utf-8"?>
<sst xmlns="http://schemas.openxmlformats.org/spreadsheetml/2006/main" count="237" uniqueCount="138">
  <si>
    <t>Part Number &amp; Name :</t>
  </si>
  <si>
    <t>Gage Name :</t>
  </si>
  <si>
    <t>Characteristics :</t>
  </si>
  <si>
    <t>Gage No. :</t>
  </si>
  <si>
    <t>Date :</t>
  </si>
  <si>
    <t>Specification Limits :</t>
  </si>
  <si>
    <t>Gage Type :</t>
  </si>
  <si>
    <t>Performed By :</t>
  </si>
  <si>
    <t xml:space="preserve">         Appraiser 1 (</t>
  </si>
  <si>
    <t>)</t>
  </si>
  <si>
    <t xml:space="preserve">         Appraiser 2 (</t>
  </si>
  <si>
    <t xml:space="preserve">         Appraiser 3 (</t>
  </si>
  <si>
    <t>Part</t>
  </si>
  <si>
    <t xml:space="preserve">              Measurements</t>
  </si>
  <si>
    <t>Number</t>
  </si>
  <si>
    <t xml:space="preserve">  X</t>
  </si>
  <si>
    <t>R</t>
  </si>
  <si>
    <t>Average</t>
  </si>
  <si>
    <t>X =</t>
  </si>
  <si>
    <t>Range</t>
  </si>
  <si>
    <t xml:space="preserve"> ( R1 + R2 + R3 ) / No. of Appraisers =</t>
  </si>
  <si>
    <r>
      <t>R  *  D</t>
    </r>
    <r>
      <rPr>
        <sz val="8"/>
        <rFont val="Arial"/>
        <family val="2"/>
      </rPr>
      <t>4</t>
    </r>
  </si>
  <si>
    <t>OR</t>
  </si>
  <si>
    <t xml:space="preserve"> for 2 and 3 measurements ) =</t>
  </si>
  <si>
    <t xml:space="preserve"> for up to 7 trials )   =</t>
  </si>
  <si>
    <t># of Parts</t>
  </si>
  <si>
    <t>PV</t>
  </si>
  <si>
    <t>for 2 and 3 Measurements respectively )</t>
  </si>
  <si>
    <t>% Gage R &amp; R :</t>
  </si>
  <si>
    <t xml:space="preserve">         Variation</t>
  </si>
  <si>
    <t>% of</t>
  </si>
  <si>
    <t>% of Total Process</t>
  </si>
  <si>
    <t>Tolerance</t>
  </si>
  <si>
    <t xml:space="preserve">   Variation ( TPV )</t>
  </si>
  <si>
    <t xml:space="preserve"> </t>
  </si>
  <si>
    <t>for 2 or 3 Appraisers )</t>
  </si>
  <si>
    <t>n = Number of Parts,   r = Number of Measurements</t>
  </si>
  <si>
    <t>EV =</t>
  </si>
  <si>
    <t>Parts</t>
  </si>
  <si>
    <t xml:space="preserve">   TPV =     </t>
  </si>
  <si>
    <t>Repeatability &amp; Reproducibility,</t>
  </si>
  <si>
    <t>AV =</t>
  </si>
  <si>
    <t>R &amp; R =</t>
  </si>
  <si>
    <t>PV =</t>
  </si>
  <si>
    <t xml:space="preserve">  Note 1 : Data can be entered only in the columns marked 1, 2, 3 and Cell for Tolerance </t>
  </si>
  <si>
    <t xml:space="preserve">  Note 3 : ( % R &amp; R Interpretation - Lower of % Tolerance and % Total Process Variation- TPV )</t>
  </si>
  <si>
    <t xml:space="preserve">               Range and top header section. ( All those cells which are shaded light blue )</t>
  </si>
  <si>
    <t xml:space="preserve">       Under 10% error             - Measurement system is acceptable;</t>
  </si>
  <si>
    <t xml:space="preserve">       Between 10 - 30 % error - Marginal ( May be acceptable based upon importance</t>
  </si>
  <si>
    <t xml:space="preserve">  Note 2 : Study require any combination of 2 or 3 Appraisers, 2 or 3 Measurements and</t>
  </si>
  <si>
    <t xml:space="preserve">                    of application, cost of gage, cost of repairs, etc.;</t>
  </si>
  <si>
    <t xml:space="preserve">               any parts from 5 to 10 .</t>
  </si>
  <si>
    <t xml:space="preserve">       More than 30% error      - Needs improvement. Make every effort to identify the</t>
  </si>
  <si>
    <t xml:space="preserve">                    problems and have them corrected</t>
  </si>
  <si>
    <t xml:space="preserve">       Results of this Gage R &amp; R :</t>
  </si>
  <si>
    <r>
      <t>X</t>
    </r>
    <r>
      <rPr>
        <sz val="7"/>
        <rFont val="Arial"/>
        <family val="2"/>
      </rPr>
      <t xml:space="preserve">1 </t>
    </r>
    <r>
      <rPr>
        <sz val="10"/>
        <rFont val="Arial"/>
        <family val="2"/>
      </rPr>
      <t>=</t>
    </r>
  </si>
  <si>
    <r>
      <t>X</t>
    </r>
    <r>
      <rPr>
        <sz val="7"/>
        <rFont val="Arial"/>
        <family val="2"/>
      </rPr>
      <t xml:space="preserve">2 </t>
    </r>
    <r>
      <rPr>
        <sz val="10"/>
        <rFont val="Arial"/>
        <family val="2"/>
      </rPr>
      <t>=</t>
    </r>
  </si>
  <si>
    <r>
      <t>X</t>
    </r>
    <r>
      <rPr>
        <sz val="7"/>
        <rFont val="Arial"/>
        <family val="2"/>
      </rPr>
      <t xml:space="preserve">3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</si>
  <si>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1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</si>
  <si>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2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</si>
  <si>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 xml:space="preserve">3 </t>
    </r>
    <r>
      <rPr>
        <sz val="10"/>
        <rFont val="Arial"/>
        <family val="2"/>
      </rPr>
      <t>=</t>
    </r>
  </si>
  <si>
    <r>
      <t xml:space="preserve">R </t>
    </r>
    <r>
      <rPr>
        <sz val="10"/>
        <rFont val="Arial"/>
        <family val="2"/>
      </rPr>
      <t>=</t>
    </r>
  </si>
  <si>
    <r>
      <t>R</t>
    </r>
    <r>
      <rPr>
        <sz val="7"/>
        <rFont val="Arial"/>
        <family val="2"/>
      </rPr>
      <t>p</t>
    </r>
    <r>
      <rPr>
        <sz val="10"/>
        <rFont val="Arial"/>
        <family val="2"/>
      </rPr>
      <t xml:space="preserve"> =</t>
    </r>
  </si>
  <si>
    <r>
      <t>X</t>
    </r>
    <r>
      <rPr>
        <sz val="7"/>
        <rFont val="Arial"/>
        <family val="2"/>
      </rPr>
      <t xml:space="preserve"> diff</t>
    </r>
    <r>
      <rPr>
        <sz val="11"/>
        <rFont val="Arial"/>
        <family val="2"/>
      </rPr>
      <t xml:space="preserve"> =</t>
    </r>
  </si>
  <si>
    <r>
      <t>( Max. of X</t>
    </r>
    <r>
      <rPr>
        <sz val="7"/>
        <rFont val="Arial"/>
        <family val="2"/>
      </rPr>
      <t>1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2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3</t>
    </r>
    <r>
      <rPr>
        <b/>
        <sz val="10"/>
        <rFont val="Arial"/>
        <family val="2"/>
      </rPr>
      <t xml:space="preserve"> - Min. of X</t>
    </r>
    <r>
      <rPr>
        <sz val="7"/>
        <rFont val="Arial"/>
        <family val="2"/>
      </rPr>
      <t>1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2</t>
    </r>
    <r>
      <rPr>
        <b/>
        <sz val="10"/>
        <rFont val="Arial"/>
        <family val="2"/>
      </rPr>
      <t>,X</t>
    </r>
    <r>
      <rPr>
        <sz val="7"/>
        <rFont val="Arial"/>
        <family val="2"/>
      </rPr>
      <t>3</t>
    </r>
    <r>
      <rPr>
        <b/>
        <sz val="10"/>
        <rFont val="Arial"/>
        <family val="2"/>
      </rPr>
      <t xml:space="preserve"> ) = </t>
    </r>
  </si>
  <si>
    <r>
      <t>UCL</t>
    </r>
    <r>
      <rPr>
        <sz val="6"/>
        <rFont val="Arial"/>
        <family val="2"/>
      </rPr>
      <t xml:space="preserve">R </t>
    </r>
    <r>
      <rPr>
        <sz val="10"/>
        <rFont val="Arial"/>
        <family val="2"/>
      </rPr>
      <t xml:space="preserve"> =</t>
    </r>
  </si>
  <si>
    <r>
      <t>( D</t>
    </r>
    <r>
      <rPr>
        <sz val="7"/>
        <rFont val="Arial"/>
        <family val="2"/>
      </rPr>
      <t xml:space="preserve">4   </t>
    </r>
    <r>
      <rPr>
        <sz val="10"/>
        <rFont val="Arial"/>
        <family val="2"/>
      </rPr>
      <t xml:space="preserve">= </t>
    </r>
  </si>
  <si>
    <r>
      <t>LCL</t>
    </r>
    <r>
      <rPr>
        <sz val="6"/>
        <rFont val="Arial"/>
        <family val="2"/>
      </rPr>
      <t xml:space="preserve">R </t>
    </r>
    <r>
      <rPr>
        <sz val="10"/>
        <rFont val="Arial"/>
        <family val="2"/>
      </rPr>
      <t xml:space="preserve"> =</t>
    </r>
  </si>
  <si>
    <r>
      <t>R  *  D</t>
    </r>
    <r>
      <rPr>
        <sz val="7"/>
        <rFont val="Arial"/>
        <family val="2"/>
      </rPr>
      <t>3</t>
    </r>
  </si>
  <si>
    <r>
      <t>( D</t>
    </r>
    <r>
      <rPr>
        <sz val="7"/>
        <rFont val="Arial"/>
        <family val="2"/>
      </rPr>
      <t xml:space="preserve">3   </t>
    </r>
    <r>
      <rPr>
        <sz val="10"/>
        <rFont val="Arial"/>
        <family val="2"/>
      </rPr>
      <t xml:space="preserve">= </t>
    </r>
  </si>
  <si>
    <r>
      <t xml:space="preserve"> If R &amp; R as </t>
    </r>
    <r>
      <rPr>
        <b/>
        <sz val="10"/>
        <rFont val="Arial"/>
        <family val="2"/>
      </rPr>
      <t>% of Tolerance</t>
    </r>
    <r>
      <rPr>
        <sz val="10"/>
        <rFont val="Arial"/>
        <family val="2"/>
      </rPr>
      <t xml:space="preserve"> is required, enter Tolerance Range ---&gt;</t>
    </r>
  </si>
  <si>
    <r>
      <t xml:space="preserve">Repeatability - Equipment Variation ( </t>
    </r>
    <r>
      <rPr>
        <i/>
        <sz val="10"/>
        <rFont val="Arial"/>
        <family val="2"/>
      </rPr>
      <t>EV</t>
    </r>
    <r>
      <rPr>
        <sz val="10"/>
        <rFont val="Arial"/>
        <family val="2"/>
      </rPr>
      <t xml:space="preserve"> )   = </t>
    </r>
  </si>
  <si>
    <r>
      <t>(R * K</t>
    </r>
    <r>
      <rPr>
        <sz val="7"/>
        <rFont val="Arial"/>
        <family val="2"/>
      </rPr>
      <t>1</t>
    </r>
    <r>
      <rPr>
        <sz val="10"/>
        <rFont val="Arial"/>
        <family val="2"/>
      </rPr>
      <t>) =</t>
    </r>
  </si>
  <si>
    <r>
      <t>( K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 = </t>
    </r>
  </si>
  <si>
    <r>
      <t xml:space="preserve">Reproducibility - Appraiser ( </t>
    </r>
    <r>
      <rPr>
        <i/>
        <sz val="10"/>
        <rFont val="Arial"/>
        <family val="2"/>
      </rPr>
      <t>AV</t>
    </r>
    <r>
      <rPr>
        <sz val="10"/>
        <rFont val="Arial"/>
        <family val="2"/>
      </rPr>
      <t>) =</t>
    </r>
  </si>
  <si>
    <r>
      <t xml:space="preserve"> </t>
    </r>
    <r>
      <rPr>
        <b/>
        <sz val="10"/>
        <rFont val="Arial"/>
        <family val="2"/>
      </rPr>
      <t>Total Process Variation</t>
    </r>
    <r>
      <rPr>
        <sz val="10"/>
        <rFont val="Arial"/>
        <family val="2"/>
      </rPr>
      <t>, TPV is determined from Sample Values</t>
    </r>
  </si>
  <si>
    <r>
      <t>AV</t>
    </r>
    <r>
      <rPr>
        <sz val="10"/>
        <rFont val="Arial"/>
        <family val="2"/>
      </rPr>
      <t xml:space="preserve">   =</t>
    </r>
  </si>
  <si>
    <r>
      <t>( K</t>
    </r>
    <r>
      <rPr>
        <sz val="7"/>
        <rFont val="Arial"/>
        <family val="2"/>
      </rPr>
      <t>2</t>
    </r>
    <r>
      <rPr>
        <sz val="10"/>
        <rFont val="Arial"/>
        <family val="2"/>
      </rPr>
      <t xml:space="preserve"> = </t>
    </r>
  </si>
  <si>
    <r>
      <t>K</t>
    </r>
    <r>
      <rPr>
        <sz val="7"/>
        <rFont val="Arial"/>
        <family val="2"/>
      </rPr>
      <t>3</t>
    </r>
  </si>
  <si>
    <r>
      <t xml:space="preserve">Part Variation ( </t>
    </r>
    <r>
      <rPr>
        <i/>
        <sz val="10"/>
        <rFont val="Arial"/>
        <family val="2"/>
      </rPr>
      <t>PV</t>
    </r>
    <r>
      <rPr>
        <sz val="10"/>
        <rFont val="Arial"/>
        <family val="2"/>
      </rPr>
      <t xml:space="preserve"> )  =</t>
    </r>
  </si>
  <si>
    <r>
      <t>R</t>
    </r>
    <r>
      <rPr>
        <sz val="7"/>
        <rFont val="Arial"/>
        <family val="2"/>
      </rPr>
      <t>p</t>
    </r>
    <r>
      <rPr>
        <sz val="10"/>
        <rFont val="Arial"/>
        <family val="2"/>
      </rPr>
      <t xml:space="preserve"> * K</t>
    </r>
    <r>
      <rPr>
        <sz val="7"/>
        <rFont val="Arial"/>
        <family val="2"/>
      </rPr>
      <t>3</t>
    </r>
    <r>
      <rPr>
        <sz val="10"/>
        <rFont val="Arial"/>
        <family val="2"/>
      </rPr>
      <t xml:space="preserve"> =</t>
    </r>
  </si>
  <si>
    <r>
      <t>( Value of K</t>
    </r>
    <r>
      <rPr>
        <sz val="7"/>
        <rFont val="Arial"/>
        <family val="2"/>
      </rPr>
      <t>3</t>
    </r>
    <r>
      <rPr>
        <sz val="10"/>
        <rFont val="Arial"/>
        <family val="2"/>
      </rPr>
      <t xml:space="preserve"> taken from the given table  )</t>
    </r>
  </si>
  <si>
    <t>Gage Repeatability and Reproducibility Spreadsheet ( Using Average and Range Method )</t>
  </si>
  <si>
    <t>Check Points</t>
  </si>
  <si>
    <t>R&amp;R % Tol</t>
  </si>
  <si>
    <t>Results</t>
  </si>
  <si>
    <t>Pass</t>
  </si>
  <si>
    <t>±2.00</t>
  </si>
  <si>
    <t>±0.75</t>
  </si>
  <si>
    <t>F1
PQC2: 1
Form</t>
  </si>
  <si>
    <t>F2
PQC2: 2
Form</t>
  </si>
  <si>
    <t>F3
PQC2: 3
Form</t>
  </si>
  <si>
    <t>F4
PQC2: 4
Form</t>
  </si>
  <si>
    <t>F5
PQC2: 5
Form</t>
  </si>
  <si>
    <t>F6
PQC2: 6
Form</t>
  </si>
  <si>
    <t>F7
PQC2: 7
Form</t>
  </si>
  <si>
    <t>F8
PQC2: 8
Form</t>
  </si>
  <si>
    <t>F9
PQC2: 9
Form</t>
  </si>
  <si>
    <t>F10
PQC2: 10
Form</t>
  </si>
  <si>
    <t>F11
PQC2: 11
Form</t>
  </si>
  <si>
    <t>F12
PQC2: 12
Form</t>
  </si>
  <si>
    <t>F13
PQC2: 13
Form</t>
  </si>
  <si>
    <t>F14
PQC2: 14
Form</t>
  </si>
  <si>
    <t>±1.25</t>
  </si>
  <si>
    <t>M1
PQC1-1
Size-top</t>
  </si>
  <si>
    <t>M2
PQC1-2
Size-top</t>
  </si>
  <si>
    <t>M3
PQC1-3
Size-top</t>
  </si>
  <si>
    <t>M4
PQC1-4
Size-top</t>
  </si>
  <si>
    <t>M5
PQC1-5
Size-side</t>
  </si>
  <si>
    <t>M7
PQC1-7
Size-side</t>
  </si>
  <si>
    <t>M8
PQC1-8
Size-Bottom</t>
  </si>
  <si>
    <t>M9
PQC1-9
Size-bottom</t>
  </si>
  <si>
    <t>M10
PQC1-10
Size-bottom</t>
  </si>
  <si>
    <t>M11
PQC1-11
Size-bottom</t>
  </si>
  <si>
    <t>M12
PQC1-12
Size-Size</t>
  </si>
  <si>
    <t>M14
PQC1-14
Size-side</t>
  </si>
  <si>
    <t>±0.50</t>
  </si>
  <si>
    <t>S1
Sag</t>
  </si>
  <si>
    <t>S2
Sag</t>
  </si>
  <si>
    <t>S3
Sag</t>
  </si>
  <si>
    <t>S4
Sag</t>
  </si>
  <si>
    <t>S5
Sag</t>
  </si>
  <si>
    <t>S6
Sag</t>
  </si>
  <si>
    <t>S7
Sag</t>
  </si>
  <si>
    <t>S8
Sag</t>
  </si>
  <si>
    <t>S9
Sag</t>
  </si>
  <si>
    <t>S10
Sag</t>
  </si>
  <si>
    <t>S11
Sag</t>
  </si>
  <si>
    <t>S12
Sag</t>
  </si>
  <si>
    <t>S13
Sag</t>
  </si>
  <si>
    <t>S14
Sag</t>
  </si>
  <si>
    <t>S15
Sag</t>
  </si>
  <si>
    <t>重复性</t>
    <phoneticPr fontId="18" type="noConversion"/>
  </si>
  <si>
    <t>重复性平均</t>
    <phoneticPr fontId="18" type="noConversion"/>
  </si>
  <si>
    <t>零件极差</t>
    <phoneticPr fontId="18" type="noConversion"/>
  </si>
  <si>
    <t>IF(I30&gt;0,(6*Q30/I30)*100," ")</t>
    <phoneticPr fontId="18" type="noConversion"/>
  </si>
  <si>
    <r>
      <rPr>
        <b/>
        <sz val="10"/>
        <color indexed="9"/>
        <rFont val="宋体"/>
        <family val="3"/>
        <charset val="134"/>
      </rPr>
      <t>公式错误，应乘以</t>
    </r>
    <r>
      <rPr>
        <b/>
        <sz val="10"/>
        <color indexed="9"/>
        <rFont val="Arial"/>
        <family val="2"/>
      </rPr>
      <t>6</t>
    </r>
    <phoneticPr fontId="18" type="noConversion"/>
  </si>
  <si>
    <t>Number of Distinct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</si>
</sst>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mm/dd/yy"/>
    <numFmt numFmtId="178" formatCode="0.0"/>
    <numFmt numFmtId="179" formatCode="0.0000"/>
  </numFmts>
  <fonts count="33">
    <font>
      <sz val="10"/>
      <name val="Arial"/>
      <family val="2"/>
    </font>
    <font>
      <sz val="12"/>
      <name val="Tms Rmn"/>
      <family val="1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53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9"/>
      <color indexed="12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0"/>
      <color indexed="9"/>
      <name val="Arial"/>
      <family val="2"/>
    </font>
    <font>
      <sz val="11"/>
      <color theme="1"/>
      <name val="宋体"/>
      <family val="2"/>
      <scheme val="minor"/>
    </font>
    <font>
      <b/>
      <sz val="10"/>
      <color rgb="FF006600"/>
      <name val="Arial"/>
      <family val="2"/>
    </font>
    <font>
      <b/>
      <sz val="12"/>
      <color rgb="FF006600"/>
      <name val="Arial"/>
      <family val="2"/>
    </font>
    <font>
      <sz val="10"/>
      <color theme="0"/>
      <name val="Arial"/>
      <family val="2"/>
    </font>
    <font>
      <sz val="10"/>
      <color rgb="FF000000"/>
      <name val="+mn-ea"/>
      <family val="2"/>
    </font>
    <font>
      <b/>
      <sz val="10"/>
      <color rgb="FF00B050"/>
      <name val="Arial"/>
      <family val="2"/>
    </font>
    <font>
      <b/>
      <sz val="11"/>
      <color rgb="FF00B050"/>
      <name val="宋体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9"/>
      <color rgb="FF0000FF"/>
      <name val="Arial"/>
      <family val="2"/>
    </font>
    <font>
      <b/>
      <sz val="10"/>
      <color indexed="9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7" fillId="0" borderId="0"/>
    <xf numFmtId="0" fontId="21" fillId="0" borderId="0"/>
    <xf numFmtId="0" fontId="1" fillId="0" borderId="0"/>
  </cellStyleXfs>
  <cellXfs count="2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3" fillId="2" borderId="5" xfId="0" applyFont="1" applyFill="1" applyBorder="1" applyProtection="1">
      <protection locked="0"/>
    </xf>
    <xf numFmtId="0" fontId="0" fillId="0" borderId="6" xfId="0" applyBorder="1"/>
    <xf numFmtId="0" fontId="0" fillId="0" borderId="0" xfId="0" applyAlignment="1">
      <alignment horizontal="left"/>
    </xf>
    <xf numFmtId="0" fontId="3" fillId="2" borderId="7" xfId="0" applyFont="1" applyFill="1" applyBorder="1" applyProtection="1">
      <protection locked="0"/>
    </xf>
    <xf numFmtId="177" fontId="3" fillId="2" borderId="5" xfId="0" applyNumberFormat="1" applyFont="1" applyFill="1" applyBorder="1" applyProtection="1">
      <protection locked="0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left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76" fontId="5" fillId="0" borderId="30" xfId="0" applyNumberFormat="1" applyFont="1" applyBorder="1" applyAlignment="1">
      <alignment horizontal="left"/>
    </xf>
    <xf numFmtId="176" fontId="5" fillId="0" borderId="31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176" fontId="5" fillId="0" borderId="34" xfId="0" applyNumberFormat="1" applyFont="1" applyBorder="1" applyAlignment="1">
      <alignment horizontal="left"/>
    </xf>
    <xf numFmtId="176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76" fontId="5" fillId="0" borderId="37" xfId="0" applyNumberFormat="1" applyFont="1" applyBorder="1" applyAlignment="1">
      <alignment horizontal="left"/>
    </xf>
    <xf numFmtId="176" fontId="5" fillId="0" borderId="38" xfId="0" applyNumberFormat="1" applyFon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176" fontId="5" fillId="0" borderId="40" xfId="0" applyNumberFormat="1" applyFont="1" applyBorder="1" applyAlignment="1">
      <alignment horizontal="left"/>
    </xf>
    <xf numFmtId="2" fontId="0" fillId="0" borderId="41" xfId="0" applyNumberFormat="1" applyBorder="1" applyAlignment="1">
      <alignment horizontal="center"/>
    </xf>
    <xf numFmtId="176" fontId="5" fillId="0" borderId="42" xfId="0" applyNumberFormat="1" applyFont="1" applyBorder="1" applyAlignment="1">
      <alignment horizontal="left"/>
    </xf>
    <xf numFmtId="0" fontId="4" fillId="0" borderId="4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179" fontId="5" fillId="0" borderId="9" xfId="0" applyNumberFormat="1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79" fontId="5" fillId="0" borderId="12" xfId="0" applyNumberFormat="1" applyFont="1" applyBorder="1" applyAlignment="1">
      <alignment horizontal="left"/>
    </xf>
    <xf numFmtId="0" fontId="4" fillId="0" borderId="3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179" fontId="5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6" fontId="0" fillId="0" borderId="39" xfId="0" applyNumberFormat="1" applyBorder="1" applyAlignment="1">
      <alignment horizontal="center" vertical="center"/>
    </xf>
    <xf numFmtId="0" fontId="0" fillId="0" borderId="40" xfId="0" applyBorder="1"/>
    <xf numFmtId="0" fontId="4" fillId="0" borderId="45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176" fontId="0" fillId="0" borderId="14" xfId="0" applyNumberFormat="1" applyBorder="1" applyAlignment="1">
      <alignment horizontal="center" vertical="center"/>
    </xf>
    <xf numFmtId="179" fontId="5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4" fillId="0" borderId="26" xfId="0" applyFont="1" applyBorder="1" applyAlignment="1">
      <alignment horizontal="center"/>
    </xf>
    <xf numFmtId="2" fontId="4" fillId="0" borderId="46" xfId="0" applyNumberFormat="1" applyFont="1" applyBorder="1" applyAlignment="1">
      <alignment horizontal="left" vertical="center"/>
    </xf>
    <xf numFmtId="0" fontId="0" fillId="0" borderId="46" xfId="0" applyBorder="1" applyAlignment="1">
      <alignment horizontal="right" vertical="center"/>
    </xf>
    <xf numFmtId="0" fontId="0" fillId="0" borderId="46" xfId="0" applyBorder="1" applyAlignment="1">
      <alignment horizontal="center" vertical="center"/>
    </xf>
    <xf numFmtId="0" fontId="7" fillId="0" borderId="46" xfId="0" applyFont="1" applyBorder="1" applyAlignment="1">
      <alignment horizontal="left" vertical="center"/>
    </xf>
    <xf numFmtId="176" fontId="0" fillId="0" borderId="46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44" xfId="0" applyBorder="1" applyAlignment="1">
      <alignment horizontal="left"/>
    </xf>
    <xf numFmtId="2" fontId="0" fillId="0" borderId="44" xfId="0" applyNumberFormat="1" applyBorder="1" applyAlignment="1">
      <alignment horizontal="left"/>
    </xf>
    <xf numFmtId="0" fontId="0" fillId="0" borderId="44" xfId="0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5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176" fontId="7" fillId="0" borderId="0" xfId="0" applyNumberFormat="1" applyFont="1" applyAlignment="1">
      <alignment horizontal="left" vertical="center"/>
    </xf>
    <xf numFmtId="0" fontId="7" fillId="0" borderId="11" xfId="0" applyFont="1" applyBorder="1"/>
    <xf numFmtId="0" fontId="12" fillId="0" borderId="8" xfId="0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26" xfId="0" applyFont="1" applyBorder="1"/>
    <xf numFmtId="0" fontId="12" fillId="0" borderId="18" xfId="0" applyFont="1" applyBorder="1" applyAlignment="1">
      <alignment horizontal="center" vertical="center"/>
    </xf>
    <xf numFmtId="0" fontId="12" fillId="0" borderId="46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179" fontId="7" fillId="0" borderId="0" xfId="0" applyNumberFormat="1" applyFont="1" applyAlignment="1">
      <alignment horizontal="center"/>
    </xf>
    <xf numFmtId="0" fontId="7" fillId="0" borderId="8" xfId="0" applyFont="1" applyBorder="1"/>
    <xf numFmtId="0" fontId="0" fillId="0" borderId="44" xfId="0" applyBorder="1"/>
    <xf numFmtId="0" fontId="11" fillId="0" borderId="0" xfId="0" applyFont="1" applyAlignment="1">
      <alignment horizontal="right" vertical="center"/>
    </xf>
    <xf numFmtId="0" fontId="0" fillId="0" borderId="47" xfId="0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13" fillId="0" borderId="0" xfId="0" applyFont="1"/>
    <xf numFmtId="2" fontId="5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179" fontId="7" fillId="0" borderId="5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center" vertical="center"/>
    </xf>
    <xf numFmtId="0" fontId="5" fillId="0" borderId="0" xfId="0" applyFont="1"/>
    <xf numFmtId="1" fontId="7" fillId="0" borderId="50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9" fontId="7" fillId="0" borderId="49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4" fillId="0" borderId="0" xfId="0" applyFont="1" applyAlignment="1">
      <alignment vertical="center"/>
    </xf>
    <xf numFmtId="179" fontId="4" fillId="0" borderId="0" xfId="0" applyNumberFormat="1" applyFont="1" applyAlignment="1">
      <alignment vertical="center"/>
    </xf>
    <xf numFmtId="2" fontId="7" fillId="0" borderId="17" xfId="0" applyNumberFormat="1" applyFont="1" applyBorder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0" fillId="0" borderId="51" xfId="0" applyBorder="1"/>
    <xf numFmtId="0" fontId="7" fillId="0" borderId="47" xfId="0" applyFont="1" applyBorder="1" applyAlignment="1">
      <alignment horizontal="left" vertical="center"/>
    </xf>
    <xf numFmtId="0" fontId="7" fillId="0" borderId="47" xfId="0" applyFont="1" applyBorder="1" applyAlignment="1">
      <alignment vertical="center"/>
    </xf>
    <xf numFmtId="179" fontId="7" fillId="0" borderId="47" xfId="0" applyNumberFormat="1" applyFont="1" applyBorder="1" applyAlignment="1">
      <alignment vertical="center"/>
    </xf>
    <xf numFmtId="176" fontId="7" fillId="0" borderId="47" xfId="0" applyNumberFormat="1" applyFont="1" applyBorder="1" applyAlignment="1">
      <alignment horizontal="center" vertical="center"/>
    </xf>
    <xf numFmtId="0" fontId="7" fillId="0" borderId="47" xfId="0" applyFont="1" applyBorder="1"/>
    <xf numFmtId="178" fontId="7" fillId="0" borderId="47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52" xfId="0" applyBorder="1"/>
    <xf numFmtId="179" fontId="7" fillId="0" borderId="0" xfId="0" applyNumberFormat="1" applyFont="1" applyAlignment="1">
      <alignment horizontal="right" vertical="center"/>
    </xf>
    <xf numFmtId="2" fontId="3" fillId="2" borderId="53" xfId="0" applyNumberFormat="1" applyFont="1" applyFill="1" applyBorder="1" applyAlignment="1" applyProtection="1">
      <alignment horizontal="center"/>
      <protection locked="0"/>
    </xf>
    <xf numFmtId="2" fontId="3" fillId="2" borderId="54" xfId="0" applyNumberFormat="1" applyFont="1" applyFill="1" applyBorder="1" applyAlignment="1" applyProtection="1">
      <alignment horizontal="center"/>
      <protection locked="0"/>
    </xf>
    <xf numFmtId="2" fontId="3" fillId="2" borderId="55" xfId="0" applyNumberFormat="1" applyFont="1" applyFill="1" applyBorder="1" applyAlignment="1" applyProtection="1">
      <alignment horizontal="center"/>
      <protection locked="0"/>
    </xf>
    <xf numFmtId="2" fontId="3" fillId="2" borderId="56" xfId="0" applyNumberFormat="1" applyFont="1" applyFill="1" applyBorder="1" applyAlignment="1" applyProtection="1">
      <alignment horizontal="center"/>
      <protection locked="0"/>
    </xf>
    <xf numFmtId="2" fontId="22" fillId="0" borderId="13" xfId="0" applyNumberFormat="1" applyFont="1" applyBorder="1" applyAlignment="1">
      <alignment horizontal="center" vertical="center"/>
    </xf>
    <xf numFmtId="179" fontId="23" fillId="0" borderId="0" xfId="0" applyNumberFormat="1" applyFont="1" applyAlignment="1">
      <alignment vertical="center"/>
    </xf>
    <xf numFmtId="0" fontId="3" fillId="2" borderId="9" xfId="0" applyFont="1" applyFill="1" applyBorder="1" applyAlignment="1" applyProtection="1">
      <alignment vertical="center"/>
      <protection locked="0"/>
    </xf>
    <xf numFmtId="2" fontId="3" fillId="2" borderId="48" xfId="0" applyNumberFormat="1" applyFont="1" applyFill="1" applyBorder="1" applyAlignment="1" applyProtection="1">
      <alignment horizontal="center" vertical="center"/>
      <protection locked="0"/>
    </xf>
    <xf numFmtId="0" fontId="24" fillId="3" borderId="57" xfId="1" applyFont="1" applyFill="1" applyBorder="1" applyAlignment="1">
      <alignment horizontal="center" vertical="center" wrapText="1"/>
    </xf>
    <xf numFmtId="0" fontId="7" fillId="4" borderId="57" xfId="1" applyFill="1" applyBorder="1" applyAlignment="1">
      <alignment horizontal="center" vertical="center" wrapText="1"/>
    </xf>
    <xf numFmtId="0" fontId="24" fillId="3" borderId="57" xfId="1" applyFont="1" applyFill="1" applyBorder="1" applyAlignment="1">
      <alignment horizontal="center" vertical="center"/>
    </xf>
    <xf numFmtId="0" fontId="25" fillId="4" borderId="0" xfId="1" applyFont="1" applyFill="1" applyAlignment="1">
      <alignment horizontal="center" vertical="center"/>
    </xf>
    <xf numFmtId="0" fontId="26" fillId="4" borderId="57" xfId="1" applyFont="1" applyFill="1" applyBorder="1" applyAlignment="1">
      <alignment horizontal="center" vertical="center"/>
    </xf>
    <xf numFmtId="0" fontId="21" fillId="4" borderId="57" xfId="2" applyFill="1" applyBorder="1" applyAlignment="1">
      <alignment horizontal="center" vertical="center" wrapText="1"/>
    </xf>
    <xf numFmtId="0" fontId="21" fillId="4" borderId="57" xfId="2" applyFill="1" applyBorder="1" applyAlignment="1">
      <alignment horizontal="center"/>
    </xf>
    <xf numFmtId="0" fontId="27" fillId="4" borderId="57" xfId="2" applyFont="1" applyFill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8" fillId="5" borderId="0" xfId="0" applyFont="1" applyFill="1"/>
    <xf numFmtId="0" fontId="29" fillId="5" borderId="0" xfId="0" applyFont="1" applyFill="1"/>
    <xf numFmtId="2" fontId="3" fillId="0" borderId="48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30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7" xfId="0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7" fillId="2" borderId="7" xfId="0" quotePrefix="1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>
      <alignment horizontal="center"/>
    </xf>
    <xf numFmtId="0" fontId="3" fillId="2" borderId="9" xfId="0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標準_IL Sunroof Fixture Gap Check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11</xdr:row>
      <xdr:rowOff>28575</xdr:rowOff>
    </xdr:from>
    <xdr:to>
      <xdr:col>18</xdr:col>
      <xdr:colOff>190500</xdr:colOff>
      <xdr:row>11</xdr:row>
      <xdr:rowOff>28575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608F47E-A2F1-4077-BC0B-86B6FE1C51A9}"/>
            </a:ext>
          </a:extLst>
        </xdr:cNvPr>
        <xdr:cNvSpPr>
          <a:spLocks noChangeShapeType="1"/>
        </xdr:cNvSpPr>
      </xdr:nvSpPr>
      <xdr:spPr bwMode="auto">
        <a:xfrm>
          <a:off x="9817100" y="176847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43</xdr:row>
      <xdr:rowOff>57150</xdr:rowOff>
    </xdr:from>
    <xdr:to>
      <xdr:col>6</xdr:col>
      <xdr:colOff>447675</xdr:colOff>
      <xdr:row>43</xdr:row>
      <xdr:rowOff>57150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ADDDA6F0-ABC1-4EEE-8A8B-E787261D5BAA}"/>
            </a:ext>
          </a:extLst>
        </xdr:cNvPr>
        <xdr:cNvSpPr>
          <a:spLocks noChangeShapeType="1"/>
        </xdr:cNvSpPr>
      </xdr:nvSpPr>
      <xdr:spPr bwMode="auto">
        <a:xfrm>
          <a:off x="3463925" y="8108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581025</xdr:colOff>
      <xdr:row>43</xdr:row>
      <xdr:rowOff>19050</xdr:rowOff>
    </xdr:from>
    <xdr:to>
      <xdr:col>6</xdr:col>
      <xdr:colOff>447675</xdr:colOff>
      <xdr:row>43</xdr:row>
      <xdr:rowOff>19050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6AA023C-FD11-4C73-B1E1-5A584938BDDB}"/>
            </a:ext>
          </a:extLst>
        </xdr:cNvPr>
        <xdr:cNvSpPr>
          <a:spLocks noChangeShapeType="1"/>
        </xdr:cNvSpPr>
      </xdr:nvSpPr>
      <xdr:spPr bwMode="auto">
        <a:xfrm>
          <a:off x="3463925" y="8070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123825</xdr:colOff>
      <xdr:row>22</xdr:row>
      <xdr:rowOff>47625</xdr:rowOff>
    </xdr:from>
    <xdr:to>
      <xdr:col>20</xdr:col>
      <xdr:colOff>219075</xdr:colOff>
      <xdr:row>22</xdr:row>
      <xdr:rowOff>47625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124A3EDA-7D2B-4BA3-94DF-F457FD44E47B}"/>
            </a:ext>
          </a:extLst>
        </xdr:cNvPr>
        <xdr:cNvSpPr>
          <a:spLocks noChangeShapeType="1"/>
        </xdr:cNvSpPr>
      </xdr:nvSpPr>
      <xdr:spPr bwMode="auto">
        <a:xfrm>
          <a:off x="11064875" y="402272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114300</xdr:colOff>
      <xdr:row>32</xdr:row>
      <xdr:rowOff>114300</xdr:rowOff>
    </xdr:from>
    <xdr:to>
      <xdr:col>14</xdr:col>
      <xdr:colOff>114300</xdr:colOff>
      <xdr:row>33</xdr:row>
      <xdr:rowOff>146050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22A598D-CF97-464F-9FDF-A121A54F7874}"/>
            </a:ext>
          </a:extLst>
        </xdr:cNvPr>
        <xdr:cNvSpPr>
          <a:spLocks noChangeArrowheads="1"/>
        </xdr:cNvSpPr>
      </xdr:nvSpPr>
      <xdr:spPr bwMode="auto">
        <a:xfrm>
          <a:off x="7670800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542925</xdr:colOff>
      <xdr:row>32</xdr:row>
      <xdr:rowOff>114300</xdr:rowOff>
    </xdr:from>
    <xdr:to>
      <xdr:col>14</xdr:col>
      <xdr:colOff>542925</xdr:colOff>
      <xdr:row>33</xdr:row>
      <xdr:rowOff>146050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93075AE-DFC8-47D7-BB39-A7B0D4AA10E7}"/>
            </a:ext>
          </a:extLst>
        </xdr:cNvPr>
        <xdr:cNvSpPr>
          <a:spLocks noChangeArrowheads="1"/>
        </xdr:cNvSpPr>
      </xdr:nvSpPr>
      <xdr:spPr bwMode="auto">
        <a:xfrm>
          <a:off x="8099425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32</xdr:row>
      <xdr:rowOff>114300</xdr:rowOff>
    </xdr:from>
    <xdr:to>
      <xdr:col>15</xdr:col>
      <xdr:colOff>352425</xdr:colOff>
      <xdr:row>33</xdr:row>
      <xdr:rowOff>146050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8B40B02-5B3C-4120-9BA4-8322650ED6E6}"/>
            </a:ext>
          </a:extLst>
        </xdr:cNvPr>
        <xdr:cNvSpPr>
          <a:spLocks noChangeArrowheads="1"/>
        </xdr:cNvSpPr>
      </xdr:nvSpPr>
      <xdr:spPr bwMode="auto">
        <a:xfrm>
          <a:off x="8518525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561975</xdr:colOff>
      <xdr:row>32</xdr:row>
      <xdr:rowOff>114300</xdr:rowOff>
    </xdr:from>
    <xdr:to>
      <xdr:col>15</xdr:col>
      <xdr:colOff>561975</xdr:colOff>
      <xdr:row>33</xdr:row>
      <xdr:rowOff>146050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8BC5A39-40EE-4BDC-9C77-20989151D100}"/>
            </a:ext>
          </a:extLst>
        </xdr:cNvPr>
        <xdr:cNvSpPr>
          <a:spLocks noChangeArrowheads="1"/>
        </xdr:cNvSpPr>
      </xdr:nvSpPr>
      <xdr:spPr bwMode="auto">
        <a:xfrm>
          <a:off x="8728075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409575</xdr:colOff>
      <xdr:row>33</xdr:row>
      <xdr:rowOff>0</xdr:rowOff>
    </xdr:from>
    <xdr:to>
      <xdr:col>13</xdr:col>
      <xdr:colOff>409575</xdr:colOff>
      <xdr:row>33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1AB33F2-FBB8-47B8-AFF7-AB46DEE7F395}"/>
            </a:ext>
          </a:extLst>
        </xdr:cNvPr>
        <xdr:cNvSpPr>
          <a:spLocks noChangeArrowheads="1"/>
        </xdr:cNvSpPr>
      </xdr:nvSpPr>
      <xdr:spPr bwMode="auto">
        <a:xfrm>
          <a:off x="7356475" y="61468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32</xdr:row>
      <xdr:rowOff>114300</xdr:rowOff>
    </xdr:from>
    <xdr:to>
      <xdr:col>14</xdr:col>
      <xdr:colOff>0</xdr:colOff>
      <xdr:row>33</xdr:row>
      <xdr:rowOff>146050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1E93A65-CEFA-44C3-8F95-BBE33C2F0CA5}"/>
            </a:ext>
          </a:extLst>
        </xdr:cNvPr>
        <xdr:cNvSpPr>
          <a:spLocks noChangeArrowheads="1"/>
        </xdr:cNvSpPr>
      </xdr:nvSpPr>
      <xdr:spPr bwMode="auto">
        <a:xfrm>
          <a:off x="7556500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266700</xdr:colOff>
      <xdr:row>32</xdr:row>
      <xdr:rowOff>114300</xdr:rowOff>
    </xdr:from>
    <xdr:to>
      <xdr:col>15</xdr:col>
      <xdr:colOff>266700</xdr:colOff>
      <xdr:row>33</xdr:row>
      <xdr:rowOff>146050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09A0B3-00DC-4134-815F-0AEE459F4638}"/>
            </a:ext>
          </a:extLst>
        </xdr:cNvPr>
        <xdr:cNvSpPr>
          <a:spLocks noChangeArrowheads="1"/>
        </xdr:cNvSpPr>
      </xdr:nvSpPr>
      <xdr:spPr bwMode="auto">
        <a:xfrm>
          <a:off x="8432800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457200</xdr:colOff>
      <xdr:row>32</xdr:row>
      <xdr:rowOff>114300</xdr:rowOff>
    </xdr:from>
    <xdr:to>
      <xdr:col>15</xdr:col>
      <xdr:colOff>457200</xdr:colOff>
      <xdr:row>33</xdr:row>
      <xdr:rowOff>146050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4DAFF8B-AA4D-4A16-BAA0-4759011062F5}"/>
            </a:ext>
          </a:extLst>
        </xdr:cNvPr>
        <xdr:cNvSpPr>
          <a:spLocks noChangeArrowheads="1"/>
        </xdr:cNvSpPr>
      </xdr:nvSpPr>
      <xdr:spPr bwMode="auto">
        <a:xfrm>
          <a:off x="8623300" y="607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219075</xdr:colOff>
      <xdr:row>32</xdr:row>
      <xdr:rowOff>180975</xdr:rowOff>
    </xdr:from>
    <xdr:to>
      <xdr:col>14</xdr:col>
      <xdr:colOff>219075</xdr:colOff>
      <xdr:row>33</xdr:row>
      <xdr:rowOff>111125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263D44C-7FFD-46B9-82F7-B5AC8279D148}"/>
            </a:ext>
          </a:extLst>
        </xdr:cNvPr>
        <xdr:cNvSpPr>
          <a:spLocks noChangeArrowheads="1"/>
        </xdr:cNvSpPr>
      </xdr:nvSpPr>
      <xdr:spPr bwMode="auto">
        <a:xfrm>
          <a:off x="7775575" y="6137275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180975</xdr:colOff>
      <xdr:row>32</xdr:row>
      <xdr:rowOff>76200</xdr:rowOff>
    </xdr:from>
    <xdr:to>
      <xdr:col>15</xdr:col>
      <xdr:colOff>180975</xdr:colOff>
      <xdr:row>33</xdr:row>
      <xdr:rowOff>31750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EECB922-F026-40D2-897D-EEF17B82FCC4}"/>
            </a:ext>
          </a:extLst>
        </xdr:cNvPr>
        <xdr:cNvSpPr>
          <a:spLocks noChangeArrowheads="1"/>
        </xdr:cNvSpPr>
      </xdr:nvSpPr>
      <xdr:spPr bwMode="auto">
        <a:xfrm>
          <a:off x="8347075" y="6032500"/>
          <a:ext cx="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219075</xdr:colOff>
      <xdr:row>32</xdr:row>
      <xdr:rowOff>28575</xdr:rowOff>
    </xdr:from>
    <xdr:to>
      <xdr:col>13</xdr:col>
      <xdr:colOff>219075</xdr:colOff>
      <xdr:row>34</xdr:row>
      <xdr:rowOff>82550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E9A5A64-4F24-4D9C-A67A-FDF65A45123A}"/>
            </a:ext>
          </a:extLst>
        </xdr:cNvPr>
        <xdr:cNvSpPr>
          <a:spLocks noChangeArrowheads="1"/>
        </xdr:cNvSpPr>
      </xdr:nvSpPr>
      <xdr:spPr bwMode="auto">
        <a:xfrm>
          <a:off x="7165975" y="598487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295275</xdr:colOff>
      <xdr:row>32</xdr:row>
      <xdr:rowOff>28575</xdr:rowOff>
    </xdr:from>
    <xdr:to>
      <xdr:col>14</xdr:col>
      <xdr:colOff>295275</xdr:colOff>
      <xdr:row>34</xdr:row>
      <xdr:rowOff>82550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84F07A0-ED1A-4B51-9F69-2A186A245D5E}"/>
            </a:ext>
          </a:extLst>
        </xdr:cNvPr>
        <xdr:cNvSpPr>
          <a:spLocks noChangeArrowheads="1"/>
        </xdr:cNvSpPr>
      </xdr:nvSpPr>
      <xdr:spPr bwMode="auto">
        <a:xfrm>
          <a:off x="7851775" y="5984875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485775</xdr:colOff>
      <xdr:row>32</xdr:row>
      <xdr:rowOff>0</xdr:rowOff>
    </xdr:from>
    <xdr:to>
      <xdr:col>14</xdr:col>
      <xdr:colOff>485775</xdr:colOff>
      <xdr:row>34</xdr:row>
      <xdr:rowOff>53975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D9EFFD7-C552-472B-988D-269526CECF14}"/>
            </a:ext>
          </a:extLst>
        </xdr:cNvPr>
        <xdr:cNvSpPr>
          <a:spLocks noChangeArrowheads="1"/>
        </xdr:cNvSpPr>
      </xdr:nvSpPr>
      <xdr:spPr bwMode="auto">
        <a:xfrm>
          <a:off x="8042275" y="595630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28575</xdr:colOff>
      <xdr:row>32</xdr:row>
      <xdr:rowOff>0</xdr:rowOff>
    </xdr:from>
    <xdr:to>
      <xdr:col>16</xdr:col>
      <xdr:colOff>28575</xdr:colOff>
      <xdr:row>34</xdr:row>
      <xdr:rowOff>53975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72624DE-B9A6-41E2-AED0-24D3D6CDE418}"/>
            </a:ext>
          </a:extLst>
        </xdr:cNvPr>
        <xdr:cNvSpPr>
          <a:spLocks noChangeArrowheads="1"/>
        </xdr:cNvSpPr>
      </xdr:nvSpPr>
      <xdr:spPr bwMode="auto">
        <a:xfrm>
          <a:off x="8804275" y="595630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371475</xdr:colOff>
      <xdr:row>32</xdr:row>
      <xdr:rowOff>104775</xdr:rowOff>
    </xdr:from>
    <xdr:to>
      <xdr:col>14</xdr:col>
      <xdr:colOff>371475</xdr:colOff>
      <xdr:row>33</xdr:row>
      <xdr:rowOff>136525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049970A-BFAB-4879-A437-7B47C193DCDD}"/>
            </a:ext>
          </a:extLst>
        </xdr:cNvPr>
        <xdr:cNvSpPr>
          <a:spLocks noChangeArrowheads="1"/>
        </xdr:cNvSpPr>
      </xdr:nvSpPr>
      <xdr:spPr bwMode="auto">
        <a:xfrm>
          <a:off x="7927975" y="60610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190500</xdr:colOff>
      <xdr:row>38</xdr:row>
      <xdr:rowOff>76200</xdr:rowOff>
    </xdr:from>
    <xdr:to>
      <xdr:col>14</xdr:col>
      <xdr:colOff>190500</xdr:colOff>
      <xdr:row>39</xdr:row>
      <xdr:rowOff>107950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5F97265-9868-41FA-B68A-6BBD219F5067}"/>
            </a:ext>
          </a:extLst>
        </xdr:cNvPr>
        <xdr:cNvSpPr>
          <a:spLocks noChangeArrowheads="1"/>
        </xdr:cNvSpPr>
      </xdr:nvSpPr>
      <xdr:spPr bwMode="auto">
        <a:xfrm>
          <a:off x="7747000" y="71755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66675</xdr:colOff>
      <xdr:row>38</xdr:row>
      <xdr:rowOff>76200</xdr:rowOff>
    </xdr:from>
    <xdr:to>
      <xdr:col>15</xdr:col>
      <xdr:colOff>66675</xdr:colOff>
      <xdr:row>39</xdr:row>
      <xdr:rowOff>107950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8D9805C-45DF-4ECD-B7BF-56BE7DADA432}"/>
            </a:ext>
          </a:extLst>
        </xdr:cNvPr>
        <xdr:cNvSpPr>
          <a:spLocks noChangeArrowheads="1"/>
        </xdr:cNvSpPr>
      </xdr:nvSpPr>
      <xdr:spPr bwMode="auto">
        <a:xfrm>
          <a:off x="8232775" y="71755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409575</xdr:colOff>
      <xdr:row>38</xdr:row>
      <xdr:rowOff>66675</xdr:rowOff>
    </xdr:from>
    <xdr:to>
      <xdr:col>14</xdr:col>
      <xdr:colOff>409575</xdr:colOff>
      <xdr:row>39</xdr:row>
      <xdr:rowOff>12700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C770C77-AB45-4FD6-82FD-20786132612C}"/>
            </a:ext>
          </a:extLst>
        </xdr:cNvPr>
        <xdr:cNvSpPr>
          <a:spLocks noChangeArrowheads="1"/>
        </xdr:cNvSpPr>
      </xdr:nvSpPr>
      <xdr:spPr bwMode="auto">
        <a:xfrm>
          <a:off x="7966075" y="71659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266700</xdr:colOff>
      <xdr:row>38</xdr:row>
      <xdr:rowOff>66675</xdr:rowOff>
    </xdr:from>
    <xdr:to>
      <xdr:col>15</xdr:col>
      <xdr:colOff>266700</xdr:colOff>
      <xdr:row>39</xdr:row>
      <xdr:rowOff>12700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86DAC45-378E-483D-9C38-A1103C56C4B8}"/>
            </a:ext>
          </a:extLst>
        </xdr:cNvPr>
        <xdr:cNvSpPr>
          <a:spLocks noChangeArrowheads="1"/>
        </xdr:cNvSpPr>
      </xdr:nvSpPr>
      <xdr:spPr bwMode="auto">
        <a:xfrm>
          <a:off x="8432800" y="71659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504825</xdr:colOff>
      <xdr:row>38</xdr:row>
      <xdr:rowOff>66675</xdr:rowOff>
    </xdr:from>
    <xdr:to>
      <xdr:col>14</xdr:col>
      <xdr:colOff>504825</xdr:colOff>
      <xdr:row>39</xdr:row>
      <xdr:rowOff>98425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AAD3541-A489-45AF-B794-796C230E767E}"/>
            </a:ext>
          </a:extLst>
        </xdr:cNvPr>
        <xdr:cNvSpPr>
          <a:spLocks noChangeArrowheads="1"/>
        </xdr:cNvSpPr>
      </xdr:nvSpPr>
      <xdr:spPr bwMode="auto">
        <a:xfrm>
          <a:off x="8061325" y="71659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123825</xdr:colOff>
      <xdr:row>37</xdr:row>
      <xdr:rowOff>180975</xdr:rowOff>
    </xdr:from>
    <xdr:to>
      <xdr:col>14</xdr:col>
      <xdr:colOff>123825</xdr:colOff>
      <xdr:row>40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50279ED-6D83-4A11-899B-80AB449E7E02}"/>
            </a:ext>
          </a:extLst>
        </xdr:cNvPr>
        <xdr:cNvSpPr>
          <a:spLocks noChangeArrowheads="1"/>
        </xdr:cNvSpPr>
      </xdr:nvSpPr>
      <xdr:spPr bwMode="auto">
        <a:xfrm>
          <a:off x="7680325" y="708977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37</xdr:row>
      <xdr:rowOff>180975</xdr:rowOff>
    </xdr:from>
    <xdr:to>
      <xdr:col>15</xdr:col>
      <xdr:colOff>352425</xdr:colOff>
      <xdr:row>40</xdr:row>
      <xdr:rowOff>12700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5703319-6F3C-4EEE-A9C7-D8F30CC6CD50}"/>
            </a:ext>
          </a:extLst>
        </xdr:cNvPr>
        <xdr:cNvSpPr>
          <a:spLocks noChangeArrowheads="1"/>
        </xdr:cNvSpPr>
      </xdr:nvSpPr>
      <xdr:spPr bwMode="auto">
        <a:xfrm>
          <a:off x="8518525" y="7089775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180975</xdr:colOff>
      <xdr:row>36</xdr:row>
      <xdr:rowOff>66675</xdr:rowOff>
    </xdr:from>
    <xdr:to>
      <xdr:col>3</xdr:col>
      <xdr:colOff>180975</xdr:colOff>
      <xdr:row>37</xdr:row>
      <xdr:rowOff>69850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B0A60A4-FFCD-4B2F-A38B-FF1FBE3FC943}"/>
            </a:ext>
          </a:extLst>
        </xdr:cNvPr>
        <xdr:cNvSpPr>
          <a:spLocks noChangeArrowheads="1"/>
        </xdr:cNvSpPr>
      </xdr:nvSpPr>
      <xdr:spPr bwMode="auto">
        <a:xfrm>
          <a:off x="1520825" y="67849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36</xdr:row>
      <xdr:rowOff>66675</xdr:rowOff>
    </xdr:from>
    <xdr:to>
      <xdr:col>4</xdr:col>
      <xdr:colOff>0</xdr:colOff>
      <xdr:row>37</xdr:row>
      <xdr:rowOff>69850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B4B0DF3-4F8D-4CDF-BA01-425464B2349C}"/>
            </a:ext>
          </a:extLst>
        </xdr:cNvPr>
        <xdr:cNvSpPr>
          <a:spLocks noChangeArrowheads="1"/>
        </xdr:cNvSpPr>
      </xdr:nvSpPr>
      <xdr:spPr bwMode="auto">
        <a:xfrm>
          <a:off x="1936750" y="67849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180975</xdr:colOff>
      <xdr:row>36</xdr:row>
      <xdr:rowOff>66675</xdr:rowOff>
    </xdr:from>
    <xdr:to>
      <xdr:col>4</xdr:col>
      <xdr:colOff>180975</xdr:colOff>
      <xdr:row>37</xdr:row>
      <xdr:rowOff>69850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E0C1C4B-612A-452F-8CC6-B580B02862FB}"/>
            </a:ext>
          </a:extLst>
        </xdr:cNvPr>
        <xdr:cNvSpPr>
          <a:spLocks noChangeArrowheads="1"/>
        </xdr:cNvSpPr>
      </xdr:nvSpPr>
      <xdr:spPr bwMode="auto">
        <a:xfrm>
          <a:off x="2117725" y="67849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</xdr:col>
      <xdr:colOff>295275</xdr:colOff>
      <xdr:row>36</xdr:row>
      <xdr:rowOff>66675</xdr:rowOff>
    </xdr:from>
    <xdr:ext cx="64120" cy="147476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C7FB356-B85A-4E46-B4E5-6D813A0AE805}"/>
            </a:ext>
          </a:extLst>
        </xdr:cNvPr>
        <xdr:cNvSpPr>
          <a:spLocks noChangeArrowheads="1"/>
        </xdr:cNvSpPr>
      </xdr:nvSpPr>
      <xdr:spPr bwMode="auto">
        <a:xfrm>
          <a:off x="1635125" y="6784975"/>
          <a:ext cx="64120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</a:p>
      </xdr:txBody>
    </xdr:sp>
    <xdr:clientData/>
  </xdr:oneCellAnchor>
  <xdr:twoCellAnchor editAs="oneCell">
    <xdr:from>
      <xdr:col>4</xdr:col>
      <xdr:colOff>400050</xdr:colOff>
      <xdr:row>36</xdr:row>
      <xdr:rowOff>57150</xdr:rowOff>
    </xdr:from>
    <xdr:to>
      <xdr:col>4</xdr:col>
      <xdr:colOff>533400</xdr:colOff>
      <xdr:row>38</xdr:row>
      <xdr:rowOff>34925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B574E7E-4060-493D-B642-5829F623F9FE}"/>
            </a:ext>
          </a:extLst>
        </xdr:cNvPr>
        <xdr:cNvSpPr>
          <a:spLocks noChangeArrowheads="1"/>
        </xdr:cNvSpPr>
      </xdr:nvSpPr>
      <xdr:spPr bwMode="auto">
        <a:xfrm>
          <a:off x="2336800" y="6775450"/>
          <a:ext cx="1333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36</xdr:row>
      <xdr:rowOff>66675</xdr:rowOff>
    </xdr:from>
    <xdr:to>
      <xdr:col>4</xdr:col>
      <xdr:colOff>66675</xdr:colOff>
      <xdr:row>37</xdr:row>
      <xdr:rowOff>69850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8F817D6-DD14-4A99-B12F-C0A6312292A0}"/>
            </a:ext>
          </a:extLst>
        </xdr:cNvPr>
        <xdr:cNvSpPr>
          <a:spLocks noChangeArrowheads="1"/>
        </xdr:cNvSpPr>
      </xdr:nvSpPr>
      <xdr:spPr bwMode="auto">
        <a:xfrm>
          <a:off x="2003425" y="6784975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34</xdr:row>
      <xdr:rowOff>180975</xdr:rowOff>
    </xdr:from>
    <xdr:to>
      <xdr:col>3</xdr:col>
      <xdr:colOff>123825</xdr:colOff>
      <xdr:row>37</xdr:row>
      <xdr:rowOff>3175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5E006AE-A494-49E8-B618-303835F71EC5}"/>
            </a:ext>
          </a:extLst>
        </xdr:cNvPr>
        <xdr:cNvSpPr>
          <a:spLocks noChangeArrowheads="1"/>
        </xdr:cNvSpPr>
      </xdr:nvSpPr>
      <xdr:spPr bwMode="auto">
        <a:xfrm>
          <a:off x="1463675" y="65182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457200</xdr:colOff>
      <xdr:row>34</xdr:row>
      <xdr:rowOff>180975</xdr:rowOff>
    </xdr:from>
    <xdr:to>
      <xdr:col>4</xdr:col>
      <xdr:colOff>457200</xdr:colOff>
      <xdr:row>37</xdr:row>
      <xdr:rowOff>3175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485075E-C43F-4CE3-8161-87A92E86C438}"/>
            </a:ext>
          </a:extLst>
        </xdr:cNvPr>
        <xdr:cNvSpPr>
          <a:spLocks noChangeArrowheads="1"/>
        </xdr:cNvSpPr>
      </xdr:nvSpPr>
      <xdr:spPr bwMode="auto">
        <a:xfrm>
          <a:off x="2393950" y="6518275"/>
          <a:ext cx="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180975</xdr:colOff>
      <xdr:row>36</xdr:row>
      <xdr:rowOff>76200</xdr:rowOff>
    </xdr:from>
    <xdr:to>
      <xdr:col>3</xdr:col>
      <xdr:colOff>180975</xdr:colOff>
      <xdr:row>37</xdr:row>
      <xdr:rowOff>107950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C655CED-DB4D-491A-9146-D44A5AC3C377}"/>
            </a:ext>
          </a:extLst>
        </xdr:cNvPr>
        <xdr:cNvSpPr>
          <a:spLocks noChangeArrowheads="1"/>
        </xdr:cNvSpPr>
      </xdr:nvSpPr>
      <xdr:spPr bwMode="auto">
        <a:xfrm>
          <a:off x="1520825" y="67945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428625</xdr:colOff>
      <xdr:row>36</xdr:row>
      <xdr:rowOff>76200</xdr:rowOff>
    </xdr:from>
    <xdr:to>
      <xdr:col>3</xdr:col>
      <xdr:colOff>428625</xdr:colOff>
      <xdr:row>37</xdr:row>
      <xdr:rowOff>107950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C228871-7D96-4EA9-8503-2E1E7AA785CD}"/>
            </a:ext>
          </a:extLst>
        </xdr:cNvPr>
        <xdr:cNvSpPr>
          <a:spLocks noChangeArrowheads="1"/>
        </xdr:cNvSpPr>
      </xdr:nvSpPr>
      <xdr:spPr bwMode="auto">
        <a:xfrm>
          <a:off x="1768475" y="67945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180975</xdr:colOff>
      <xdr:row>36</xdr:row>
      <xdr:rowOff>85725</xdr:rowOff>
    </xdr:from>
    <xdr:ext cx="35266" cy="162160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730068E-6FDA-475E-AEE0-AE67B9E7992E}"/>
            </a:ext>
          </a:extLst>
        </xdr:cNvPr>
        <xdr:cNvSpPr>
          <a:spLocks noChangeArrowheads="1"/>
        </xdr:cNvSpPr>
      </xdr:nvSpPr>
      <xdr:spPr bwMode="auto">
        <a:xfrm>
          <a:off x="2117725" y="6804025"/>
          <a:ext cx="35266" cy="162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1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oneCellAnchor>
  <xdr:twoCellAnchor editAs="oneCell">
    <xdr:from>
      <xdr:col>3</xdr:col>
      <xdr:colOff>295275</xdr:colOff>
      <xdr:row>36</xdr:row>
      <xdr:rowOff>76200</xdr:rowOff>
    </xdr:from>
    <xdr:to>
      <xdr:col>3</xdr:col>
      <xdr:colOff>295275</xdr:colOff>
      <xdr:row>37</xdr:row>
      <xdr:rowOff>107950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95CD321C-D3A6-45B6-A647-77D5E4F81978}"/>
            </a:ext>
          </a:extLst>
        </xdr:cNvPr>
        <xdr:cNvSpPr>
          <a:spLocks noChangeArrowheads="1"/>
        </xdr:cNvSpPr>
      </xdr:nvSpPr>
      <xdr:spPr bwMode="auto">
        <a:xfrm>
          <a:off x="1635125" y="67945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542925</xdr:colOff>
      <xdr:row>36</xdr:row>
      <xdr:rowOff>66675</xdr:rowOff>
    </xdr:from>
    <xdr:to>
      <xdr:col>3</xdr:col>
      <xdr:colOff>542925</xdr:colOff>
      <xdr:row>37</xdr:row>
      <xdr:rowOff>12700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326E118-72CC-4C13-8E84-872DD0ED6633}"/>
            </a:ext>
          </a:extLst>
        </xdr:cNvPr>
        <xdr:cNvSpPr>
          <a:spLocks noChangeArrowheads="1"/>
        </xdr:cNvSpPr>
      </xdr:nvSpPr>
      <xdr:spPr bwMode="auto">
        <a:xfrm>
          <a:off x="1882775" y="67849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409575</xdr:colOff>
      <xdr:row>36</xdr:row>
      <xdr:rowOff>66675</xdr:rowOff>
    </xdr:from>
    <xdr:to>
      <xdr:col>4</xdr:col>
      <xdr:colOff>409575</xdr:colOff>
      <xdr:row>37</xdr:row>
      <xdr:rowOff>12700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64584B0-A2CA-4FA3-AAC0-F9F0E0BA8EDC}"/>
            </a:ext>
          </a:extLst>
        </xdr:cNvPr>
        <xdr:cNvSpPr>
          <a:spLocks noChangeArrowheads="1"/>
        </xdr:cNvSpPr>
      </xdr:nvSpPr>
      <xdr:spPr bwMode="auto">
        <a:xfrm>
          <a:off x="2346325" y="6784975"/>
          <a:ext cx="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66675</xdr:colOff>
      <xdr:row>36</xdr:row>
      <xdr:rowOff>66675</xdr:rowOff>
    </xdr:from>
    <xdr:to>
      <xdr:col>4</xdr:col>
      <xdr:colOff>66675</xdr:colOff>
      <xdr:row>37</xdr:row>
      <xdr:rowOff>98425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E038AFC-AF93-442E-A7CD-E9F4856036B7}"/>
            </a:ext>
          </a:extLst>
        </xdr:cNvPr>
        <xdr:cNvSpPr>
          <a:spLocks noChangeArrowheads="1"/>
        </xdr:cNvSpPr>
      </xdr:nvSpPr>
      <xdr:spPr bwMode="auto">
        <a:xfrm>
          <a:off x="2003425" y="6784975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123825</xdr:colOff>
      <xdr:row>35</xdr:row>
      <xdr:rowOff>180975</xdr:rowOff>
    </xdr:from>
    <xdr:to>
      <xdr:col>3</xdr:col>
      <xdr:colOff>123825</xdr:colOff>
      <xdr:row>38</xdr:row>
      <xdr:rowOff>22225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EC210D26-B23C-442C-BC92-23109EE9A79A}"/>
            </a:ext>
          </a:extLst>
        </xdr:cNvPr>
        <xdr:cNvSpPr>
          <a:spLocks noChangeArrowheads="1"/>
        </xdr:cNvSpPr>
      </xdr:nvSpPr>
      <xdr:spPr bwMode="auto">
        <a:xfrm>
          <a:off x="1463675" y="67087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457200</xdr:colOff>
      <xdr:row>35</xdr:row>
      <xdr:rowOff>180975</xdr:rowOff>
    </xdr:from>
    <xdr:to>
      <xdr:col>4</xdr:col>
      <xdr:colOff>457200</xdr:colOff>
      <xdr:row>38</xdr:row>
      <xdr:rowOff>22225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80DBC06-F169-49CB-B3A1-D7E96130CC58}"/>
            </a:ext>
          </a:extLst>
        </xdr:cNvPr>
        <xdr:cNvSpPr>
          <a:spLocks noChangeArrowheads="1"/>
        </xdr:cNvSpPr>
      </xdr:nvSpPr>
      <xdr:spPr bwMode="auto">
        <a:xfrm>
          <a:off x="2393950" y="67087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409575</xdr:colOff>
      <xdr:row>32</xdr:row>
      <xdr:rowOff>104775</xdr:rowOff>
    </xdr:from>
    <xdr:to>
      <xdr:col>13</xdr:col>
      <xdr:colOff>409575</xdr:colOff>
      <xdr:row>33</xdr:row>
      <xdr:rowOff>155575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71B2A62-0FDA-4773-804B-D4EBE30C5B59}"/>
            </a:ext>
          </a:extLst>
        </xdr:cNvPr>
        <xdr:cNvSpPr>
          <a:spLocks noChangeArrowheads="1"/>
        </xdr:cNvSpPr>
      </xdr:nvSpPr>
      <xdr:spPr bwMode="auto">
        <a:xfrm>
          <a:off x="735647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238125</xdr:colOff>
      <xdr:row>32</xdr:row>
      <xdr:rowOff>104775</xdr:rowOff>
    </xdr:from>
    <xdr:to>
      <xdr:col>14</xdr:col>
      <xdr:colOff>238125</xdr:colOff>
      <xdr:row>33</xdr:row>
      <xdr:rowOff>155575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111243B-ADF3-4A93-BEA9-94DFF5E8E995}"/>
            </a:ext>
          </a:extLst>
        </xdr:cNvPr>
        <xdr:cNvSpPr>
          <a:spLocks noChangeArrowheads="1"/>
        </xdr:cNvSpPr>
      </xdr:nvSpPr>
      <xdr:spPr bwMode="auto">
        <a:xfrm>
          <a:off x="779462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161925</xdr:colOff>
      <xdr:row>32</xdr:row>
      <xdr:rowOff>104775</xdr:rowOff>
    </xdr:from>
    <xdr:to>
      <xdr:col>15</xdr:col>
      <xdr:colOff>161925</xdr:colOff>
      <xdr:row>33</xdr:row>
      <xdr:rowOff>155575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AACEF8DE-ED57-4889-88DA-B479F2265180}"/>
            </a:ext>
          </a:extLst>
        </xdr:cNvPr>
        <xdr:cNvSpPr>
          <a:spLocks noChangeArrowheads="1"/>
        </xdr:cNvSpPr>
      </xdr:nvSpPr>
      <xdr:spPr bwMode="auto">
        <a:xfrm>
          <a:off x="832802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561975</xdr:colOff>
      <xdr:row>32</xdr:row>
      <xdr:rowOff>104775</xdr:rowOff>
    </xdr:from>
    <xdr:to>
      <xdr:col>15</xdr:col>
      <xdr:colOff>561975</xdr:colOff>
      <xdr:row>33</xdr:row>
      <xdr:rowOff>155575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AF71E6A9-E644-4CDA-A5CF-DFEBEE003B6B}"/>
            </a:ext>
          </a:extLst>
        </xdr:cNvPr>
        <xdr:cNvSpPr>
          <a:spLocks noChangeArrowheads="1"/>
        </xdr:cNvSpPr>
      </xdr:nvSpPr>
      <xdr:spPr bwMode="auto">
        <a:xfrm>
          <a:off x="872807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180975</xdr:colOff>
      <xdr:row>32</xdr:row>
      <xdr:rowOff>104775</xdr:rowOff>
    </xdr:from>
    <xdr:to>
      <xdr:col>16</xdr:col>
      <xdr:colOff>180975</xdr:colOff>
      <xdr:row>33</xdr:row>
      <xdr:rowOff>155575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BFF3CDB-3670-4A88-BFC1-8B63B19EF0BC}"/>
            </a:ext>
          </a:extLst>
        </xdr:cNvPr>
        <xdr:cNvSpPr>
          <a:spLocks noChangeArrowheads="1"/>
        </xdr:cNvSpPr>
      </xdr:nvSpPr>
      <xdr:spPr bwMode="auto">
        <a:xfrm>
          <a:off x="895667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123825</xdr:colOff>
      <xdr:row>32</xdr:row>
      <xdr:rowOff>104775</xdr:rowOff>
    </xdr:from>
    <xdr:to>
      <xdr:col>14</xdr:col>
      <xdr:colOff>123825</xdr:colOff>
      <xdr:row>33</xdr:row>
      <xdr:rowOff>155575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7275E9A-5D18-4D8C-8F5B-3524FFF48D68}"/>
            </a:ext>
          </a:extLst>
        </xdr:cNvPr>
        <xdr:cNvSpPr>
          <a:spLocks noChangeArrowheads="1"/>
        </xdr:cNvSpPr>
      </xdr:nvSpPr>
      <xdr:spPr bwMode="auto">
        <a:xfrm>
          <a:off x="7680325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495300</xdr:colOff>
      <xdr:row>32</xdr:row>
      <xdr:rowOff>104775</xdr:rowOff>
    </xdr:from>
    <xdr:to>
      <xdr:col>15</xdr:col>
      <xdr:colOff>495300</xdr:colOff>
      <xdr:row>33</xdr:row>
      <xdr:rowOff>155575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B2498757-6C32-426A-A738-3A9538B3B29C}"/>
            </a:ext>
          </a:extLst>
        </xdr:cNvPr>
        <xdr:cNvSpPr>
          <a:spLocks noChangeArrowheads="1"/>
        </xdr:cNvSpPr>
      </xdr:nvSpPr>
      <xdr:spPr bwMode="auto">
        <a:xfrm>
          <a:off x="8661400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76200</xdr:colOff>
      <xdr:row>32</xdr:row>
      <xdr:rowOff>104775</xdr:rowOff>
    </xdr:from>
    <xdr:to>
      <xdr:col>16</xdr:col>
      <xdr:colOff>76200</xdr:colOff>
      <xdr:row>33</xdr:row>
      <xdr:rowOff>155575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F946E8D-EB4C-4570-8EE2-71E61E23B965}"/>
            </a:ext>
          </a:extLst>
        </xdr:cNvPr>
        <xdr:cNvSpPr>
          <a:spLocks noChangeArrowheads="1"/>
        </xdr:cNvSpPr>
      </xdr:nvSpPr>
      <xdr:spPr bwMode="auto">
        <a:xfrm>
          <a:off x="8851900" y="6061075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352425</xdr:colOff>
      <xdr:row>32</xdr:row>
      <xdr:rowOff>180975</xdr:rowOff>
    </xdr:from>
    <xdr:to>
      <xdr:col>14</xdr:col>
      <xdr:colOff>352425</xdr:colOff>
      <xdr:row>33</xdr:row>
      <xdr:rowOff>139700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6D8469EC-5418-4011-849D-8DCE3E743506}"/>
            </a:ext>
          </a:extLst>
        </xdr:cNvPr>
        <xdr:cNvSpPr>
          <a:spLocks noChangeArrowheads="1"/>
        </xdr:cNvSpPr>
      </xdr:nvSpPr>
      <xdr:spPr bwMode="auto">
        <a:xfrm>
          <a:off x="7908925" y="61372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485775</xdr:colOff>
      <xdr:row>32</xdr:row>
      <xdr:rowOff>28575</xdr:rowOff>
    </xdr:from>
    <xdr:to>
      <xdr:col>14</xdr:col>
      <xdr:colOff>485775</xdr:colOff>
      <xdr:row>33</xdr:row>
      <xdr:rowOff>12700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542E448-707A-43A9-9AE0-EAAE8CBC475B}"/>
            </a:ext>
          </a:extLst>
        </xdr:cNvPr>
        <xdr:cNvSpPr>
          <a:spLocks noChangeArrowheads="1"/>
        </xdr:cNvSpPr>
      </xdr:nvSpPr>
      <xdr:spPr bwMode="auto">
        <a:xfrm>
          <a:off x="8042275" y="59848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381000</xdr:colOff>
      <xdr:row>32</xdr:row>
      <xdr:rowOff>66675</xdr:rowOff>
    </xdr:from>
    <xdr:to>
      <xdr:col>15</xdr:col>
      <xdr:colOff>381000</xdr:colOff>
      <xdr:row>33</xdr:row>
      <xdr:rowOff>50800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34A14CD3-515A-4E62-B357-09F5DC4E8520}"/>
            </a:ext>
          </a:extLst>
        </xdr:cNvPr>
        <xdr:cNvSpPr>
          <a:spLocks noChangeArrowheads="1"/>
        </xdr:cNvSpPr>
      </xdr:nvSpPr>
      <xdr:spPr bwMode="auto">
        <a:xfrm>
          <a:off x="8547100" y="6022975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352425</xdr:colOff>
      <xdr:row>32</xdr:row>
      <xdr:rowOff>0</xdr:rowOff>
    </xdr:from>
    <xdr:to>
      <xdr:col>13</xdr:col>
      <xdr:colOff>352425</xdr:colOff>
      <xdr:row>34</xdr:row>
      <xdr:rowOff>73025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FC11BFF0-B8EB-4CBB-900B-A602A6B3B4C0}"/>
            </a:ext>
          </a:extLst>
        </xdr:cNvPr>
        <xdr:cNvSpPr>
          <a:spLocks noChangeArrowheads="1"/>
        </xdr:cNvSpPr>
      </xdr:nvSpPr>
      <xdr:spPr bwMode="auto">
        <a:xfrm>
          <a:off x="7299325" y="59563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409575</xdr:colOff>
      <xdr:row>32</xdr:row>
      <xdr:rowOff>0</xdr:rowOff>
    </xdr:from>
    <xdr:to>
      <xdr:col>14</xdr:col>
      <xdr:colOff>409575</xdr:colOff>
      <xdr:row>34</xdr:row>
      <xdr:rowOff>73025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385279C7-4FCF-41CB-BED0-81AD61BAFCFE}"/>
            </a:ext>
          </a:extLst>
        </xdr:cNvPr>
        <xdr:cNvSpPr>
          <a:spLocks noChangeArrowheads="1"/>
        </xdr:cNvSpPr>
      </xdr:nvSpPr>
      <xdr:spPr bwMode="auto">
        <a:xfrm>
          <a:off x="7966075" y="59563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114300</xdr:colOff>
      <xdr:row>32</xdr:row>
      <xdr:rowOff>0</xdr:rowOff>
    </xdr:from>
    <xdr:to>
      <xdr:col>15</xdr:col>
      <xdr:colOff>114300</xdr:colOff>
      <xdr:row>34</xdr:row>
      <xdr:rowOff>73025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6AABEDF0-0A0F-4144-B6E4-45212EF99FFE}"/>
            </a:ext>
          </a:extLst>
        </xdr:cNvPr>
        <xdr:cNvSpPr>
          <a:spLocks noChangeArrowheads="1"/>
        </xdr:cNvSpPr>
      </xdr:nvSpPr>
      <xdr:spPr bwMode="auto">
        <a:xfrm>
          <a:off x="8280400" y="59563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238125</xdr:colOff>
      <xdr:row>32</xdr:row>
      <xdr:rowOff>0</xdr:rowOff>
    </xdr:from>
    <xdr:to>
      <xdr:col>16</xdr:col>
      <xdr:colOff>238125</xdr:colOff>
      <xdr:row>34</xdr:row>
      <xdr:rowOff>73025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1863959-55D7-4334-B9EA-39A18B0D7D4B}"/>
            </a:ext>
          </a:extLst>
        </xdr:cNvPr>
        <xdr:cNvSpPr>
          <a:spLocks noChangeArrowheads="1"/>
        </xdr:cNvSpPr>
      </xdr:nvSpPr>
      <xdr:spPr bwMode="auto">
        <a:xfrm>
          <a:off x="9013825" y="5956300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571500</xdr:colOff>
      <xdr:row>32</xdr:row>
      <xdr:rowOff>76200</xdr:rowOff>
    </xdr:from>
    <xdr:to>
      <xdr:col>14</xdr:col>
      <xdr:colOff>571500</xdr:colOff>
      <xdr:row>33</xdr:row>
      <xdr:rowOff>127000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346C5B12-E962-47BD-90E4-5531DA292067}"/>
            </a:ext>
          </a:extLst>
        </xdr:cNvPr>
        <xdr:cNvSpPr>
          <a:spLocks noChangeArrowheads="1"/>
        </xdr:cNvSpPr>
      </xdr:nvSpPr>
      <xdr:spPr bwMode="auto">
        <a:xfrm>
          <a:off x="8128000" y="603250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95250</xdr:colOff>
      <xdr:row>11</xdr:row>
      <xdr:rowOff>28575</xdr:rowOff>
    </xdr:from>
    <xdr:to>
      <xdr:col>12</xdr:col>
      <xdr:colOff>190500</xdr:colOff>
      <xdr:row>11</xdr:row>
      <xdr:rowOff>28575</xdr:rowOff>
    </xdr:to>
    <xdr:sp macro="" textlink="">
      <xdr:nvSpPr>
        <xdr:cNvPr id="61" name="Line 60">
          <a:extLst>
            <a:ext uri="{FF2B5EF4-FFF2-40B4-BE49-F238E27FC236}">
              <a16:creationId xmlns:a16="http://schemas.microsoft.com/office/drawing/2014/main" id="{2499D82A-198A-4E6C-8027-498F8E33EA72}"/>
            </a:ext>
          </a:extLst>
        </xdr:cNvPr>
        <xdr:cNvSpPr>
          <a:spLocks noChangeShapeType="1"/>
        </xdr:cNvSpPr>
      </xdr:nvSpPr>
      <xdr:spPr bwMode="auto">
        <a:xfrm>
          <a:off x="6432550" y="176847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11</xdr:row>
      <xdr:rowOff>28575</xdr:rowOff>
    </xdr:from>
    <xdr:to>
      <xdr:col>6</xdr:col>
      <xdr:colOff>190500</xdr:colOff>
      <xdr:row>11</xdr:row>
      <xdr:rowOff>28575</xdr:rowOff>
    </xdr:to>
    <xdr:sp macro="" textlink="">
      <xdr:nvSpPr>
        <xdr:cNvPr id="62" name="Line 61">
          <a:extLst>
            <a:ext uri="{FF2B5EF4-FFF2-40B4-BE49-F238E27FC236}">
              <a16:creationId xmlns:a16="http://schemas.microsoft.com/office/drawing/2014/main" id="{68890D1B-90C7-49A3-AB77-E37D0F4A0580}"/>
            </a:ext>
          </a:extLst>
        </xdr:cNvPr>
        <xdr:cNvSpPr>
          <a:spLocks noChangeShapeType="1"/>
        </xdr:cNvSpPr>
      </xdr:nvSpPr>
      <xdr:spPr bwMode="auto">
        <a:xfrm>
          <a:off x="2978150" y="176847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36</xdr:row>
      <xdr:rowOff>19050</xdr:rowOff>
    </xdr:from>
    <xdr:to>
      <xdr:col>2</xdr:col>
      <xdr:colOff>333375</xdr:colOff>
      <xdr:row>37</xdr:row>
      <xdr:rowOff>31750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E6BDD01-2A3C-462B-8463-D15414EF62FA}"/>
            </a:ext>
          </a:extLst>
        </xdr:cNvPr>
        <xdr:cNvSpPr>
          <a:spLocks noChangeArrowheads="1"/>
        </xdr:cNvSpPr>
      </xdr:nvSpPr>
      <xdr:spPr bwMode="auto">
        <a:xfrm>
          <a:off x="663575" y="6737350"/>
          <a:ext cx="4000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TPV = </a:t>
          </a:r>
        </a:p>
      </xdr:txBody>
    </xdr:sp>
    <xdr:clientData/>
  </xdr:twoCellAnchor>
  <xdr:oneCellAnchor>
    <xdr:from>
      <xdr:col>2</xdr:col>
      <xdr:colOff>504825</xdr:colOff>
      <xdr:row>35</xdr:row>
      <xdr:rowOff>85725</xdr:rowOff>
    </xdr:from>
    <xdr:ext cx="81112" cy="298480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EDDFD574-0F46-429C-B733-D7B8031978D9}"/>
            </a:ext>
          </a:extLst>
        </xdr:cNvPr>
        <xdr:cNvSpPr>
          <a:spLocks noChangeArrowheads="1"/>
        </xdr:cNvSpPr>
      </xdr:nvSpPr>
      <xdr:spPr bwMode="auto">
        <a:xfrm>
          <a:off x="1235075" y="66135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4</xdr:col>
      <xdr:colOff>352425</xdr:colOff>
      <xdr:row>35</xdr:row>
      <xdr:rowOff>66675</xdr:rowOff>
    </xdr:from>
    <xdr:ext cx="81112" cy="298480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B08B25BC-CE7C-4E86-9E45-0C16BB1030A4}"/>
            </a:ext>
          </a:extLst>
        </xdr:cNvPr>
        <xdr:cNvSpPr>
          <a:spLocks noChangeArrowheads="1"/>
        </xdr:cNvSpPr>
      </xdr:nvSpPr>
      <xdr:spPr bwMode="auto">
        <a:xfrm>
          <a:off x="2289175" y="659447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twoCellAnchor>
    <xdr:from>
      <xdr:col>2</xdr:col>
      <xdr:colOff>371475</xdr:colOff>
      <xdr:row>36</xdr:row>
      <xdr:rowOff>57150</xdr:rowOff>
    </xdr:from>
    <xdr:to>
      <xdr:col>2</xdr:col>
      <xdr:colOff>428625</xdr:colOff>
      <xdr:row>36</xdr:row>
      <xdr:rowOff>180975</xdr:rowOff>
    </xdr:to>
    <xdr:sp macro="" textlink="">
      <xdr:nvSpPr>
        <xdr:cNvPr id="66" name="Line 65">
          <a:extLst>
            <a:ext uri="{FF2B5EF4-FFF2-40B4-BE49-F238E27FC236}">
              <a16:creationId xmlns:a16="http://schemas.microsoft.com/office/drawing/2014/main" id="{6E6E65E0-50A7-478D-B12D-7607052DF52C}"/>
            </a:ext>
          </a:extLst>
        </xdr:cNvPr>
        <xdr:cNvSpPr>
          <a:spLocks noChangeShapeType="1"/>
        </xdr:cNvSpPr>
      </xdr:nvSpPr>
      <xdr:spPr bwMode="auto">
        <a:xfrm>
          <a:off x="1101725" y="6775450"/>
          <a:ext cx="5715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438150</xdr:colOff>
      <xdr:row>35</xdr:row>
      <xdr:rowOff>28575</xdr:rowOff>
    </xdr:from>
    <xdr:to>
      <xdr:col>2</xdr:col>
      <xdr:colOff>542925</xdr:colOff>
      <xdr:row>37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96A00100-89BF-4F5B-8FCD-7CCFFCC5B1A7}"/>
            </a:ext>
          </a:extLst>
        </xdr:cNvPr>
        <xdr:cNvSpPr>
          <a:spLocks noChangeShapeType="1"/>
        </xdr:cNvSpPr>
      </xdr:nvSpPr>
      <xdr:spPr bwMode="auto">
        <a:xfrm flipV="1">
          <a:off x="1168400" y="6556375"/>
          <a:ext cx="10477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35</xdr:row>
      <xdr:rowOff>47625</xdr:rowOff>
    </xdr:from>
    <xdr:to>
      <xdr:col>4</xdr:col>
      <xdr:colOff>476250</xdr:colOff>
      <xdr:row>35</xdr:row>
      <xdr:rowOff>47625</xdr:rowOff>
    </xdr:to>
    <xdr:sp macro="" textlink="">
      <xdr:nvSpPr>
        <xdr:cNvPr id="68" name="Line 67">
          <a:extLst>
            <a:ext uri="{FF2B5EF4-FFF2-40B4-BE49-F238E27FC236}">
              <a16:creationId xmlns:a16="http://schemas.microsoft.com/office/drawing/2014/main" id="{DBC2D72C-8358-4C72-8258-43546C7FD3BE}"/>
            </a:ext>
          </a:extLst>
        </xdr:cNvPr>
        <xdr:cNvSpPr>
          <a:spLocks noChangeShapeType="1"/>
        </xdr:cNvSpPr>
      </xdr:nvSpPr>
      <xdr:spPr bwMode="auto">
        <a:xfrm flipV="1">
          <a:off x="1263650" y="6575425"/>
          <a:ext cx="1149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276225</xdr:colOff>
      <xdr:row>35</xdr:row>
      <xdr:rowOff>123825</xdr:rowOff>
    </xdr:from>
    <xdr:ext cx="44884" cy="11261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CD3D7BC-1E4F-4F0B-9089-E82F7B471439}"/>
            </a:ext>
          </a:extLst>
        </xdr:cNvPr>
        <xdr:cNvSpPr>
          <a:spLocks noChangeArrowheads="1"/>
        </xdr:cNvSpPr>
      </xdr:nvSpPr>
      <xdr:spPr bwMode="auto">
        <a:xfrm>
          <a:off x="2212975" y="66516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3</xdr:col>
      <xdr:colOff>381000</xdr:colOff>
      <xdr:row>35</xdr:row>
      <xdr:rowOff>123825</xdr:rowOff>
    </xdr:from>
    <xdr:ext cx="44884" cy="11261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4F5D9C8-B322-4704-86CB-8B9346A6C891}"/>
            </a:ext>
          </a:extLst>
        </xdr:cNvPr>
        <xdr:cNvSpPr>
          <a:spLocks noChangeArrowheads="1"/>
        </xdr:cNvSpPr>
      </xdr:nvSpPr>
      <xdr:spPr bwMode="auto">
        <a:xfrm>
          <a:off x="1720850" y="66516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3</xdr:col>
      <xdr:colOff>123825</xdr:colOff>
      <xdr:row>35</xdr:row>
      <xdr:rowOff>161925</xdr:rowOff>
    </xdr:from>
    <xdr:ext cx="119713" cy="176972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F2396545-9D47-4BD3-B607-AB6C542F847F}"/>
            </a:ext>
          </a:extLst>
        </xdr:cNvPr>
        <xdr:cNvSpPr>
          <a:spLocks noChangeArrowheads="1"/>
        </xdr:cNvSpPr>
      </xdr:nvSpPr>
      <xdr:spPr bwMode="auto">
        <a:xfrm>
          <a:off x="1463675" y="6689725"/>
          <a:ext cx="119713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&amp;</a:t>
          </a:r>
        </a:p>
      </xdr:txBody>
    </xdr:sp>
    <xdr:clientData/>
  </xdr:oneCellAnchor>
  <xdr:oneCellAnchor>
    <xdr:from>
      <xdr:col>4</xdr:col>
      <xdr:colOff>28575</xdr:colOff>
      <xdr:row>35</xdr:row>
      <xdr:rowOff>161925</xdr:rowOff>
    </xdr:from>
    <xdr:ext cx="216200" cy="195601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F92CB3A9-5001-4B97-B1F6-8115D78EC8F3}"/>
            </a:ext>
          </a:extLst>
        </xdr:cNvPr>
        <xdr:cNvSpPr>
          <a:spLocks noChangeArrowheads="1"/>
        </xdr:cNvSpPr>
      </xdr:nvSpPr>
      <xdr:spPr bwMode="auto">
        <a:xfrm>
          <a:off x="1965325" y="668972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PV</a:t>
          </a:r>
        </a:p>
      </xdr:txBody>
    </xdr:sp>
    <xdr:clientData/>
  </xdr:oneCellAnchor>
  <xdr:oneCellAnchor>
    <xdr:from>
      <xdr:col>3</xdr:col>
      <xdr:colOff>276225</xdr:colOff>
      <xdr:row>35</xdr:row>
      <xdr:rowOff>161925</xdr:rowOff>
    </xdr:from>
    <xdr:ext cx="112800" cy="195601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1FC6212-3602-43DD-AA54-2E848260D27D}"/>
            </a:ext>
          </a:extLst>
        </xdr:cNvPr>
        <xdr:cNvSpPr>
          <a:spLocks noChangeArrowheads="1"/>
        </xdr:cNvSpPr>
      </xdr:nvSpPr>
      <xdr:spPr bwMode="auto">
        <a:xfrm>
          <a:off x="1616075" y="668972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3</xdr:col>
      <xdr:colOff>19050</xdr:colOff>
      <xdr:row>35</xdr:row>
      <xdr:rowOff>161925</xdr:rowOff>
    </xdr:from>
    <xdr:ext cx="112800" cy="195601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D32599B2-8706-4050-B85A-4AE5D5F1FA8A}"/>
            </a:ext>
          </a:extLst>
        </xdr:cNvPr>
        <xdr:cNvSpPr>
          <a:spLocks noChangeArrowheads="1"/>
        </xdr:cNvSpPr>
      </xdr:nvSpPr>
      <xdr:spPr bwMode="auto">
        <a:xfrm>
          <a:off x="1358900" y="668972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3</xdr:col>
      <xdr:colOff>485775</xdr:colOff>
      <xdr:row>35</xdr:row>
      <xdr:rowOff>152400</xdr:rowOff>
    </xdr:from>
    <xdr:ext cx="84447" cy="197939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1B209DA3-66D6-40F1-A8C5-3182DE5B1D77}"/>
            </a:ext>
          </a:extLst>
        </xdr:cNvPr>
        <xdr:cNvSpPr>
          <a:spLocks noChangeArrowheads="1"/>
        </xdr:cNvSpPr>
      </xdr:nvSpPr>
      <xdr:spPr bwMode="auto">
        <a:xfrm>
          <a:off x="1825625" y="6680200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+</a:t>
          </a:r>
        </a:p>
      </xdr:txBody>
    </xdr:sp>
    <xdr:clientData/>
  </xdr:oneCellAnchor>
  <xdr:oneCellAnchor>
    <xdr:from>
      <xdr:col>13</xdr:col>
      <xdr:colOff>381000</xdr:colOff>
      <xdr:row>31</xdr:row>
      <xdr:rowOff>123825</xdr:rowOff>
    </xdr:from>
    <xdr:ext cx="81112" cy="29848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E51FCBBF-CF79-4F24-9517-B02642503D04}"/>
            </a:ext>
          </a:extLst>
        </xdr:cNvPr>
        <xdr:cNvSpPr>
          <a:spLocks noChangeArrowheads="1"/>
        </xdr:cNvSpPr>
      </xdr:nvSpPr>
      <xdr:spPr bwMode="auto">
        <a:xfrm>
          <a:off x="7327900" y="58896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twoCellAnchor editAs="oneCell">
    <xdr:from>
      <xdr:col>14</xdr:col>
      <xdr:colOff>352425</xdr:colOff>
      <xdr:row>31</xdr:row>
      <xdr:rowOff>114300</xdr:rowOff>
    </xdr:from>
    <xdr:to>
      <xdr:col>14</xdr:col>
      <xdr:colOff>447675</xdr:colOff>
      <xdr:row>33</xdr:row>
      <xdr:rowOff>101600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254B252A-0DA3-422A-95A8-F1EBBDF7AD66}"/>
            </a:ext>
          </a:extLst>
        </xdr:cNvPr>
        <xdr:cNvSpPr>
          <a:spLocks noChangeArrowheads="1"/>
        </xdr:cNvSpPr>
      </xdr:nvSpPr>
      <xdr:spPr bwMode="auto">
        <a:xfrm>
          <a:off x="7908925" y="58801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twoCellAnchor>
  <xdr:oneCellAnchor>
    <xdr:from>
      <xdr:col>15</xdr:col>
      <xdr:colOff>66675</xdr:colOff>
      <xdr:row>31</xdr:row>
      <xdr:rowOff>152400</xdr:rowOff>
    </xdr:from>
    <xdr:ext cx="81112" cy="29848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5AE8D14-E4B1-4F4E-BD94-79B6952D4026}"/>
            </a:ext>
          </a:extLst>
        </xdr:cNvPr>
        <xdr:cNvSpPr>
          <a:spLocks noChangeArrowheads="1"/>
        </xdr:cNvSpPr>
      </xdr:nvSpPr>
      <xdr:spPr bwMode="auto">
        <a:xfrm>
          <a:off x="8232775" y="5918200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16</xdr:col>
      <xdr:colOff>190500</xdr:colOff>
      <xdr:row>31</xdr:row>
      <xdr:rowOff>161925</xdr:rowOff>
    </xdr:from>
    <xdr:ext cx="81112" cy="298480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F8651EB1-244A-4772-9308-6CDCC7880A7F}"/>
            </a:ext>
          </a:extLst>
        </xdr:cNvPr>
        <xdr:cNvSpPr>
          <a:spLocks noChangeArrowheads="1"/>
        </xdr:cNvSpPr>
      </xdr:nvSpPr>
      <xdr:spPr bwMode="auto">
        <a:xfrm>
          <a:off x="8966200" y="5927725"/>
          <a:ext cx="81112" cy="298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9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oneCellAnchor>
    <xdr:from>
      <xdr:col>13</xdr:col>
      <xdr:colOff>295275</xdr:colOff>
      <xdr:row>31</xdr:row>
      <xdr:rowOff>104775</xdr:rowOff>
    </xdr:from>
    <xdr:ext cx="235001" cy="345672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D1C915DA-9411-4F56-A9B2-D145A6CB8349}"/>
            </a:ext>
          </a:extLst>
        </xdr:cNvPr>
        <xdr:cNvSpPr>
          <a:spLocks noChangeArrowheads="1"/>
        </xdr:cNvSpPr>
      </xdr:nvSpPr>
      <xdr:spPr bwMode="auto">
        <a:xfrm>
          <a:off x="7242175" y="5870575"/>
          <a:ext cx="235001" cy="345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strike="noStrike">
              <a:solidFill>
                <a:srgbClr val="000000"/>
              </a:solidFill>
              <a:latin typeface="Symbol"/>
            </a:rPr>
            <a:t>[  </a:t>
          </a:r>
        </a:p>
      </xdr:txBody>
    </xdr:sp>
    <xdr:clientData/>
  </xdr:oneCellAnchor>
  <xdr:oneCellAnchor>
    <xdr:from>
      <xdr:col>16</xdr:col>
      <xdr:colOff>276225</xdr:colOff>
      <xdr:row>31</xdr:row>
      <xdr:rowOff>104775</xdr:rowOff>
    </xdr:from>
    <xdr:ext cx="93936" cy="345672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5D91484D-053C-47C7-9146-0CD9BB104E49}"/>
            </a:ext>
          </a:extLst>
        </xdr:cNvPr>
        <xdr:cNvSpPr>
          <a:spLocks noChangeArrowheads="1"/>
        </xdr:cNvSpPr>
      </xdr:nvSpPr>
      <xdr:spPr bwMode="auto">
        <a:xfrm>
          <a:off x="9051925" y="5870575"/>
          <a:ext cx="93936" cy="345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strike="noStrike">
              <a:solidFill>
                <a:srgbClr val="000000"/>
              </a:solidFill>
              <a:latin typeface="Symbol"/>
            </a:rPr>
            <a:t>]</a:t>
          </a:r>
        </a:p>
      </xdr:txBody>
    </xdr:sp>
    <xdr:clientData/>
  </xdr:oneCellAnchor>
  <xdr:twoCellAnchor>
    <xdr:from>
      <xdr:col>13</xdr:col>
      <xdr:colOff>123825</xdr:colOff>
      <xdr:row>32</xdr:row>
      <xdr:rowOff>123825</xdr:rowOff>
    </xdr:from>
    <xdr:to>
      <xdr:col>13</xdr:col>
      <xdr:colOff>190500</xdr:colOff>
      <xdr:row>33</xdr:row>
      <xdr:rowOff>47625</xdr:rowOff>
    </xdr:to>
    <xdr:sp macro="" textlink="">
      <xdr:nvSpPr>
        <xdr:cNvPr id="82" name="Line 81">
          <a:extLst>
            <a:ext uri="{FF2B5EF4-FFF2-40B4-BE49-F238E27FC236}">
              <a16:creationId xmlns:a16="http://schemas.microsoft.com/office/drawing/2014/main" id="{8359B500-27AD-45FE-BA5D-8227FC0A3B53}"/>
            </a:ext>
          </a:extLst>
        </xdr:cNvPr>
        <xdr:cNvSpPr>
          <a:spLocks noChangeShapeType="1"/>
        </xdr:cNvSpPr>
      </xdr:nvSpPr>
      <xdr:spPr bwMode="auto">
        <a:xfrm>
          <a:off x="7070725" y="6080125"/>
          <a:ext cx="66675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31</xdr:row>
      <xdr:rowOff>85725</xdr:rowOff>
    </xdr:from>
    <xdr:to>
      <xdr:col>13</xdr:col>
      <xdr:colOff>295275</xdr:colOff>
      <xdr:row>33</xdr:row>
      <xdr:rowOff>38100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E411AC8E-0071-47F3-A08A-4567EAF9AF69}"/>
            </a:ext>
          </a:extLst>
        </xdr:cNvPr>
        <xdr:cNvSpPr>
          <a:spLocks noChangeShapeType="1"/>
        </xdr:cNvSpPr>
      </xdr:nvSpPr>
      <xdr:spPr bwMode="auto">
        <a:xfrm flipV="1">
          <a:off x="7146925" y="5851525"/>
          <a:ext cx="9525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285750</xdr:colOff>
      <xdr:row>31</xdr:row>
      <xdr:rowOff>95250</xdr:rowOff>
    </xdr:from>
    <xdr:to>
      <xdr:col>16</xdr:col>
      <xdr:colOff>419100</xdr:colOff>
      <xdr:row>31</xdr:row>
      <xdr:rowOff>95250</xdr:rowOff>
    </xdr:to>
    <xdr:sp macro="" textlink="">
      <xdr:nvSpPr>
        <xdr:cNvPr id="84" name="Line 83">
          <a:extLst>
            <a:ext uri="{FF2B5EF4-FFF2-40B4-BE49-F238E27FC236}">
              <a16:creationId xmlns:a16="http://schemas.microsoft.com/office/drawing/2014/main" id="{00524D43-BB9E-4FE8-981C-2AA35CA77A62}"/>
            </a:ext>
          </a:extLst>
        </xdr:cNvPr>
        <xdr:cNvSpPr>
          <a:spLocks noChangeShapeType="1"/>
        </xdr:cNvSpPr>
      </xdr:nvSpPr>
      <xdr:spPr bwMode="auto">
        <a:xfrm>
          <a:off x="7232650" y="5861050"/>
          <a:ext cx="1962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104775</xdr:colOff>
      <xdr:row>32</xdr:row>
      <xdr:rowOff>28575</xdr:rowOff>
    </xdr:from>
    <xdr:ext cx="89832" cy="195601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199D6F38-D792-43C8-8719-06871C259B4B}"/>
            </a:ext>
          </a:extLst>
        </xdr:cNvPr>
        <xdr:cNvSpPr>
          <a:spLocks noChangeArrowheads="1"/>
        </xdr:cNvSpPr>
      </xdr:nvSpPr>
      <xdr:spPr bwMode="auto">
        <a:xfrm>
          <a:off x="8880475" y="5984875"/>
          <a:ext cx="89832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15</xdr:col>
      <xdr:colOff>495300</xdr:colOff>
      <xdr:row>32</xdr:row>
      <xdr:rowOff>28575</xdr:rowOff>
    </xdr:from>
    <xdr:ext cx="105798" cy="195601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BB641F16-E174-42C6-9F25-C790A8BADC07}"/>
            </a:ext>
          </a:extLst>
        </xdr:cNvPr>
        <xdr:cNvSpPr>
          <a:spLocks noChangeArrowheads="1"/>
        </xdr:cNvSpPr>
      </xdr:nvSpPr>
      <xdr:spPr bwMode="auto">
        <a:xfrm>
          <a:off x="8661400" y="5984875"/>
          <a:ext cx="105798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n</a:t>
          </a:r>
        </a:p>
      </xdr:txBody>
    </xdr:sp>
    <xdr:clientData/>
  </xdr:oneCellAnchor>
  <xdr:oneCellAnchor>
    <xdr:from>
      <xdr:col>15</xdr:col>
      <xdr:colOff>123825</xdr:colOff>
      <xdr:row>32</xdr:row>
      <xdr:rowOff>28575</xdr:rowOff>
    </xdr:from>
    <xdr:ext cx="216200" cy="195601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2842791E-3E20-470F-B33A-7DEE40AE861F}"/>
            </a:ext>
          </a:extLst>
        </xdr:cNvPr>
        <xdr:cNvSpPr>
          <a:spLocks noChangeArrowheads="1"/>
        </xdr:cNvSpPr>
      </xdr:nvSpPr>
      <xdr:spPr bwMode="auto">
        <a:xfrm>
          <a:off x="8289925" y="59848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EV</a:t>
          </a:r>
        </a:p>
      </xdr:txBody>
    </xdr:sp>
    <xdr:clientData/>
  </xdr:oneCellAnchor>
  <xdr:oneCellAnchor>
    <xdr:from>
      <xdr:col>14</xdr:col>
      <xdr:colOff>190500</xdr:colOff>
      <xdr:row>32</xdr:row>
      <xdr:rowOff>28575</xdr:rowOff>
    </xdr:from>
    <xdr:ext cx="130654" cy="195601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E965E5CF-81C2-4A6C-95C4-62D9FBF2590E}"/>
            </a:ext>
          </a:extLst>
        </xdr:cNvPr>
        <xdr:cNvSpPr>
          <a:spLocks noChangeArrowheads="1"/>
        </xdr:cNvSpPr>
      </xdr:nvSpPr>
      <xdr:spPr bwMode="auto">
        <a:xfrm>
          <a:off x="7747000" y="5984875"/>
          <a:ext cx="13065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K</a:t>
          </a:r>
        </a:p>
      </xdr:txBody>
    </xdr:sp>
    <xdr:clientData/>
  </xdr:oneCellAnchor>
  <xdr:oneCellAnchor>
    <xdr:from>
      <xdr:col>13</xdr:col>
      <xdr:colOff>409575</xdr:colOff>
      <xdr:row>32</xdr:row>
      <xdr:rowOff>28575</xdr:rowOff>
    </xdr:from>
    <xdr:ext cx="122200" cy="195601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823A7125-9FA2-4A35-981B-E79E8CF1ECAA}"/>
            </a:ext>
          </a:extLst>
        </xdr:cNvPr>
        <xdr:cNvSpPr>
          <a:spLocks noChangeArrowheads="1"/>
        </xdr:cNvSpPr>
      </xdr:nvSpPr>
      <xdr:spPr bwMode="auto">
        <a:xfrm>
          <a:off x="7356475" y="5984875"/>
          <a:ext cx="122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X</a:t>
          </a:r>
        </a:p>
      </xdr:txBody>
    </xdr:sp>
    <xdr:clientData/>
  </xdr:oneCellAnchor>
  <xdr:oneCellAnchor>
    <xdr:from>
      <xdr:col>13</xdr:col>
      <xdr:colOff>542925</xdr:colOff>
      <xdr:row>32</xdr:row>
      <xdr:rowOff>152400</xdr:rowOff>
    </xdr:from>
    <xdr:ext cx="175506" cy="11261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CCD6B7AC-1E9E-4542-A4DF-3837955944B8}"/>
            </a:ext>
          </a:extLst>
        </xdr:cNvPr>
        <xdr:cNvSpPr>
          <a:spLocks noChangeArrowheads="1"/>
        </xdr:cNvSpPr>
      </xdr:nvSpPr>
      <xdr:spPr bwMode="auto">
        <a:xfrm>
          <a:off x="7489825" y="6108700"/>
          <a:ext cx="175506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1" strike="noStrike">
              <a:solidFill>
                <a:srgbClr val="000000"/>
              </a:solidFill>
              <a:latin typeface="Times New Roman"/>
              <a:cs typeface="Times New Roman"/>
            </a:rPr>
            <a:t>diff</a:t>
          </a:r>
        </a:p>
      </xdr:txBody>
    </xdr:sp>
    <xdr:clientData/>
  </xdr:oneCellAnchor>
  <xdr:oneCellAnchor>
    <xdr:from>
      <xdr:col>16</xdr:col>
      <xdr:colOff>28575</xdr:colOff>
      <xdr:row>32</xdr:row>
      <xdr:rowOff>28575</xdr:rowOff>
    </xdr:from>
    <xdr:ext cx="76944" cy="195601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1272FA49-1347-4746-A470-CA7A8FB57EE5}"/>
            </a:ext>
          </a:extLst>
        </xdr:cNvPr>
        <xdr:cNvSpPr>
          <a:spLocks noChangeArrowheads="1"/>
        </xdr:cNvSpPr>
      </xdr:nvSpPr>
      <xdr:spPr bwMode="auto">
        <a:xfrm>
          <a:off x="8804275" y="5984875"/>
          <a:ext cx="7694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*</a:t>
          </a:r>
        </a:p>
      </xdr:txBody>
    </xdr:sp>
    <xdr:clientData/>
  </xdr:oneCellAnchor>
  <xdr:oneCellAnchor>
    <xdr:from>
      <xdr:col>15</xdr:col>
      <xdr:colOff>419100</xdr:colOff>
      <xdr:row>32</xdr:row>
      <xdr:rowOff>28575</xdr:rowOff>
    </xdr:from>
    <xdr:ext cx="42769" cy="195601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A1A7FF9A-1E22-4C92-9425-E1C108A43387}"/>
            </a:ext>
          </a:extLst>
        </xdr:cNvPr>
        <xdr:cNvSpPr>
          <a:spLocks noChangeArrowheads="1"/>
        </xdr:cNvSpPr>
      </xdr:nvSpPr>
      <xdr:spPr bwMode="auto">
        <a:xfrm>
          <a:off x="8585200" y="5984875"/>
          <a:ext cx="42769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/</a:t>
          </a:r>
        </a:p>
      </xdr:txBody>
    </xdr:sp>
    <xdr:clientData/>
  </xdr:oneCellAnchor>
  <xdr:oneCellAnchor>
    <xdr:from>
      <xdr:col>14</xdr:col>
      <xdr:colOff>104775</xdr:colOff>
      <xdr:row>32</xdr:row>
      <xdr:rowOff>28575</xdr:rowOff>
    </xdr:from>
    <xdr:ext cx="76944" cy="195601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905873E8-6DD2-4614-AB56-D524E6E7C617}"/>
            </a:ext>
          </a:extLst>
        </xdr:cNvPr>
        <xdr:cNvSpPr>
          <a:spLocks noChangeArrowheads="1"/>
        </xdr:cNvSpPr>
      </xdr:nvSpPr>
      <xdr:spPr bwMode="auto">
        <a:xfrm>
          <a:off x="7661275" y="5984875"/>
          <a:ext cx="76944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*</a:t>
          </a:r>
        </a:p>
      </xdr:txBody>
    </xdr:sp>
    <xdr:clientData/>
  </xdr:oneCellAnchor>
  <xdr:oneCellAnchor>
    <xdr:from>
      <xdr:col>15</xdr:col>
      <xdr:colOff>352425</xdr:colOff>
      <xdr:row>31</xdr:row>
      <xdr:rowOff>161925</xdr:rowOff>
    </xdr:from>
    <xdr:ext cx="44884" cy="11261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275DFB8D-62F3-4A67-A5A8-637205BBD7BC}"/>
            </a:ext>
          </a:extLst>
        </xdr:cNvPr>
        <xdr:cNvSpPr>
          <a:spLocks noChangeArrowheads="1"/>
        </xdr:cNvSpPr>
      </xdr:nvSpPr>
      <xdr:spPr bwMode="auto">
        <a:xfrm>
          <a:off x="8518525" y="592772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447675</xdr:colOff>
      <xdr:row>31</xdr:row>
      <xdr:rowOff>152400</xdr:rowOff>
    </xdr:from>
    <xdr:ext cx="44884" cy="11261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95268BEA-0B21-4780-B4A1-4C084608EB5C}"/>
            </a:ext>
          </a:extLst>
        </xdr:cNvPr>
        <xdr:cNvSpPr>
          <a:spLocks noChangeArrowheads="1"/>
        </xdr:cNvSpPr>
      </xdr:nvSpPr>
      <xdr:spPr bwMode="auto">
        <a:xfrm>
          <a:off x="8004175" y="5918200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314325</xdr:colOff>
      <xdr:row>32</xdr:row>
      <xdr:rowOff>104775</xdr:rowOff>
    </xdr:from>
    <xdr:ext cx="44884" cy="11261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AAD0F546-D612-40FF-8A01-32BE806C42A5}"/>
            </a:ext>
          </a:extLst>
        </xdr:cNvPr>
        <xdr:cNvSpPr>
          <a:spLocks noChangeArrowheads="1"/>
        </xdr:cNvSpPr>
      </xdr:nvSpPr>
      <xdr:spPr bwMode="auto">
        <a:xfrm>
          <a:off x="7870825" y="6061075"/>
          <a:ext cx="44884" cy="112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542925</xdr:colOff>
      <xdr:row>32</xdr:row>
      <xdr:rowOff>28575</xdr:rowOff>
    </xdr:from>
    <xdr:ext cx="84447" cy="197939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98224694-BB54-4B25-AD19-F60E76CEB480}"/>
            </a:ext>
          </a:extLst>
        </xdr:cNvPr>
        <xdr:cNvSpPr>
          <a:spLocks noChangeArrowheads="1"/>
        </xdr:cNvSpPr>
      </xdr:nvSpPr>
      <xdr:spPr bwMode="auto">
        <a:xfrm>
          <a:off x="8099425" y="5984875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-</a:t>
          </a:r>
        </a:p>
      </xdr:txBody>
    </xdr:sp>
    <xdr:clientData/>
  </xdr:oneCellAnchor>
  <xdr:oneCellAnchor>
    <xdr:from>
      <xdr:col>14</xdr:col>
      <xdr:colOff>552450</xdr:colOff>
      <xdr:row>37</xdr:row>
      <xdr:rowOff>114300</xdr:rowOff>
    </xdr:from>
    <xdr:ext cx="85408" cy="333231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7CB023A1-58E7-47E0-8DCF-D19F42910FE5}"/>
            </a:ext>
          </a:extLst>
        </xdr:cNvPr>
        <xdr:cNvSpPr>
          <a:spLocks noChangeArrowheads="1"/>
        </xdr:cNvSpPr>
      </xdr:nvSpPr>
      <xdr:spPr bwMode="auto">
        <a:xfrm>
          <a:off x="8108950" y="7023100"/>
          <a:ext cx="85408" cy="333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000" b="0" i="0" strike="noStrike">
              <a:solidFill>
                <a:srgbClr val="000000"/>
              </a:solidFill>
              <a:latin typeface="Symbol"/>
            </a:rPr>
            <a:t>(</a:t>
          </a:r>
        </a:p>
      </xdr:txBody>
    </xdr:sp>
    <xdr:clientData/>
  </xdr:oneCellAnchor>
  <xdr:oneCellAnchor>
    <xdr:from>
      <xdr:col>16</xdr:col>
      <xdr:colOff>266700</xdr:colOff>
      <xdr:row>37</xdr:row>
      <xdr:rowOff>95250</xdr:rowOff>
    </xdr:from>
    <xdr:ext cx="85408" cy="333231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7F91B1DF-EB28-438D-A913-BE565325668D}"/>
            </a:ext>
          </a:extLst>
        </xdr:cNvPr>
        <xdr:cNvSpPr>
          <a:spLocks noChangeArrowheads="1"/>
        </xdr:cNvSpPr>
      </xdr:nvSpPr>
      <xdr:spPr bwMode="auto">
        <a:xfrm>
          <a:off x="9042400" y="7004050"/>
          <a:ext cx="85408" cy="333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000" b="0" i="0" strike="noStrike">
              <a:solidFill>
                <a:srgbClr val="000000"/>
              </a:solidFill>
              <a:latin typeface="Symbol"/>
            </a:rPr>
            <a:t>)</a:t>
          </a:r>
        </a:p>
      </xdr:txBody>
    </xdr:sp>
    <xdr:clientData/>
  </xdr:oneCellAnchor>
  <xdr:twoCellAnchor>
    <xdr:from>
      <xdr:col>14</xdr:col>
      <xdr:colOff>447675</xdr:colOff>
      <xdr:row>38</xdr:row>
      <xdr:rowOff>104775</xdr:rowOff>
    </xdr:from>
    <xdr:to>
      <xdr:col>14</xdr:col>
      <xdr:colOff>495300</xdr:colOff>
      <xdr:row>39</xdr:row>
      <xdr:rowOff>0</xdr:rowOff>
    </xdr:to>
    <xdr:sp macro="" textlink="">
      <xdr:nvSpPr>
        <xdr:cNvPr id="100" name="Line 99">
          <a:extLst>
            <a:ext uri="{FF2B5EF4-FFF2-40B4-BE49-F238E27FC236}">
              <a16:creationId xmlns:a16="http://schemas.microsoft.com/office/drawing/2014/main" id="{3BC6DE29-B6C3-4AFA-BD56-AB02ED611214}"/>
            </a:ext>
          </a:extLst>
        </xdr:cNvPr>
        <xdr:cNvSpPr>
          <a:spLocks noChangeShapeType="1"/>
        </xdr:cNvSpPr>
      </xdr:nvSpPr>
      <xdr:spPr bwMode="auto">
        <a:xfrm>
          <a:off x="8004175" y="7204075"/>
          <a:ext cx="476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504825</xdr:colOff>
      <xdr:row>37</xdr:row>
      <xdr:rowOff>104775</xdr:rowOff>
    </xdr:from>
    <xdr:to>
      <xdr:col>14</xdr:col>
      <xdr:colOff>571500</xdr:colOff>
      <xdr:row>38</xdr:row>
      <xdr:rowOff>180975</xdr:rowOff>
    </xdr:to>
    <xdr:sp macro="" textlink="">
      <xdr:nvSpPr>
        <xdr:cNvPr id="101" name="Line 100">
          <a:extLst>
            <a:ext uri="{FF2B5EF4-FFF2-40B4-BE49-F238E27FC236}">
              <a16:creationId xmlns:a16="http://schemas.microsoft.com/office/drawing/2014/main" id="{D1347B16-E2BD-44B5-B812-97EF90B332DF}"/>
            </a:ext>
          </a:extLst>
        </xdr:cNvPr>
        <xdr:cNvSpPr>
          <a:spLocks noChangeShapeType="1"/>
        </xdr:cNvSpPr>
      </xdr:nvSpPr>
      <xdr:spPr bwMode="auto">
        <a:xfrm flipV="1">
          <a:off x="8061325" y="7013575"/>
          <a:ext cx="6667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571500</xdr:colOff>
      <xdr:row>37</xdr:row>
      <xdr:rowOff>104775</xdr:rowOff>
    </xdr:from>
    <xdr:to>
      <xdr:col>16</xdr:col>
      <xdr:colOff>428625</xdr:colOff>
      <xdr:row>37</xdr:row>
      <xdr:rowOff>104775</xdr:rowOff>
    </xdr:to>
    <xdr:sp macro="" textlink="">
      <xdr:nvSpPr>
        <xdr:cNvPr id="102" name="Line 101">
          <a:extLst>
            <a:ext uri="{FF2B5EF4-FFF2-40B4-BE49-F238E27FC236}">
              <a16:creationId xmlns:a16="http://schemas.microsoft.com/office/drawing/2014/main" id="{C6141154-2026-442B-91CF-4072FC368113}"/>
            </a:ext>
          </a:extLst>
        </xdr:cNvPr>
        <xdr:cNvSpPr>
          <a:spLocks noChangeShapeType="1"/>
        </xdr:cNvSpPr>
      </xdr:nvSpPr>
      <xdr:spPr bwMode="auto">
        <a:xfrm flipV="1">
          <a:off x="8128000" y="7013575"/>
          <a:ext cx="1076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16</xdr:col>
      <xdr:colOff>180975</xdr:colOff>
      <xdr:row>37</xdr:row>
      <xdr:rowOff>180975</xdr:rowOff>
    </xdr:from>
    <xdr:ext cx="61555" cy="147476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AE91B9A5-4407-4ED0-81E4-4853D5149C7E}"/>
            </a:ext>
          </a:extLst>
        </xdr:cNvPr>
        <xdr:cNvSpPr>
          <a:spLocks noChangeArrowheads="1"/>
        </xdr:cNvSpPr>
      </xdr:nvSpPr>
      <xdr:spPr bwMode="auto">
        <a:xfrm>
          <a:off x="8956675" y="7089775"/>
          <a:ext cx="61555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15</xdr:col>
      <xdr:colOff>295275</xdr:colOff>
      <xdr:row>37</xdr:row>
      <xdr:rowOff>180975</xdr:rowOff>
    </xdr:from>
    <xdr:ext cx="61555" cy="147476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73CB8C95-A2E5-401B-BB0C-4247C4E229B6}"/>
            </a:ext>
          </a:extLst>
        </xdr:cNvPr>
        <xdr:cNvSpPr>
          <a:spLocks noChangeArrowheads="1"/>
        </xdr:cNvSpPr>
      </xdr:nvSpPr>
      <xdr:spPr bwMode="auto">
        <a:xfrm>
          <a:off x="8461375" y="7089775"/>
          <a:ext cx="61555" cy="1474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oneCellAnchor>
  <xdr:oneCellAnchor>
    <xdr:from>
      <xdr:col>14</xdr:col>
      <xdr:colOff>57150</xdr:colOff>
      <xdr:row>38</xdr:row>
      <xdr:rowOff>28575</xdr:rowOff>
    </xdr:from>
    <xdr:ext cx="119713" cy="176972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33C853B7-DBC0-49A6-A682-958C17A5EFF7}"/>
            </a:ext>
          </a:extLst>
        </xdr:cNvPr>
        <xdr:cNvSpPr>
          <a:spLocks noChangeArrowheads="1"/>
        </xdr:cNvSpPr>
      </xdr:nvSpPr>
      <xdr:spPr bwMode="auto">
        <a:xfrm>
          <a:off x="7613650" y="7127875"/>
          <a:ext cx="119713" cy="1769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&amp;</a:t>
          </a:r>
        </a:p>
      </xdr:txBody>
    </xdr:sp>
    <xdr:clientData/>
  </xdr:oneCellAnchor>
  <xdr:oneCellAnchor>
    <xdr:from>
      <xdr:col>15</xdr:col>
      <xdr:colOff>533400</xdr:colOff>
      <xdr:row>38</xdr:row>
      <xdr:rowOff>28575</xdr:rowOff>
    </xdr:from>
    <xdr:ext cx="216200" cy="195601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975F2168-3F29-4416-871F-E2EF7790EC02}"/>
            </a:ext>
          </a:extLst>
        </xdr:cNvPr>
        <xdr:cNvSpPr>
          <a:spLocks noChangeArrowheads="1"/>
        </xdr:cNvSpPr>
      </xdr:nvSpPr>
      <xdr:spPr bwMode="auto">
        <a:xfrm>
          <a:off x="8699500" y="71278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AV</a:t>
          </a:r>
        </a:p>
      </xdr:txBody>
    </xdr:sp>
    <xdr:clientData/>
  </xdr:oneCellAnchor>
  <xdr:oneCellAnchor>
    <xdr:from>
      <xdr:col>15</xdr:col>
      <xdr:colOff>66675</xdr:colOff>
      <xdr:row>38</xdr:row>
      <xdr:rowOff>28575</xdr:rowOff>
    </xdr:from>
    <xdr:ext cx="216200" cy="195601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483F5523-BD8F-42B6-8E76-EDEAF24CEC3B}"/>
            </a:ext>
          </a:extLst>
        </xdr:cNvPr>
        <xdr:cNvSpPr>
          <a:spLocks noChangeArrowheads="1"/>
        </xdr:cNvSpPr>
      </xdr:nvSpPr>
      <xdr:spPr bwMode="auto">
        <a:xfrm>
          <a:off x="8232775" y="7127875"/>
          <a:ext cx="2162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EV</a:t>
          </a:r>
        </a:p>
      </xdr:txBody>
    </xdr:sp>
    <xdr:clientData/>
  </xdr:oneCellAnchor>
  <xdr:oneCellAnchor>
    <xdr:from>
      <xdr:col>14</xdr:col>
      <xdr:colOff>219075</xdr:colOff>
      <xdr:row>38</xdr:row>
      <xdr:rowOff>28575</xdr:rowOff>
    </xdr:from>
    <xdr:ext cx="112800" cy="195601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7A825416-CCBD-447A-936D-57DA9091ADA4}"/>
            </a:ext>
          </a:extLst>
        </xdr:cNvPr>
        <xdr:cNvSpPr>
          <a:spLocks noChangeArrowheads="1"/>
        </xdr:cNvSpPr>
      </xdr:nvSpPr>
      <xdr:spPr bwMode="auto">
        <a:xfrm>
          <a:off x="7775575" y="712787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13</xdr:col>
      <xdr:colOff>495300</xdr:colOff>
      <xdr:row>38</xdr:row>
      <xdr:rowOff>28575</xdr:rowOff>
    </xdr:from>
    <xdr:ext cx="112800" cy="195601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883ED4D-1525-4170-8D60-E381735A7E7B}"/>
            </a:ext>
          </a:extLst>
        </xdr:cNvPr>
        <xdr:cNvSpPr>
          <a:spLocks noChangeArrowheads="1"/>
        </xdr:cNvSpPr>
      </xdr:nvSpPr>
      <xdr:spPr bwMode="auto">
        <a:xfrm>
          <a:off x="7442200" y="7127875"/>
          <a:ext cx="112800" cy="19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R</a:t>
          </a:r>
        </a:p>
      </xdr:txBody>
    </xdr:sp>
    <xdr:clientData/>
  </xdr:oneCellAnchor>
  <xdr:oneCellAnchor>
    <xdr:from>
      <xdr:col>15</xdr:col>
      <xdr:colOff>409575</xdr:colOff>
      <xdr:row>38</xdr:row>
      <xdr:rowOff>0</xdr:rowOff>
    </xdr:from>
    <xdr:ext cx="84447" cy="197939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52D0F3AF-B225-4710-920E-EFDF6055176D}"/>
            </a:ext>
          </a:extLst>
        </xdr:cNvPr>
        <xdr:cNvSpPr>
          <a:spLocks noChangeArrowheads="1"/>
        </xdr:cNvSpPr>
      </xdr:nvSpPr>
      <xdr:spPr bwMode="auto">
        <a:xfrm>
          <a:off x="8575675" y="7099300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+</a:t>
          </a:r>
        </a:p>
      </xdr:txBody>
    </xdr:sp>
    <xdr:clientData/>
  </xdr:oneCellAnchor>
  <xdr:oneCellAnchor>
    <xdr:from>
      <xdr:col>14</xdr:col>
      <xdr:colOff>342900</xdr:colOff>
      <xdr:row>38</xdr:row>
      <xdr:rowOff>0</xdr:rowOff>
    </xdr:from>
    <xdr:ext cx="84447" cy="197939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168C8114-59F3-42F1-951A-D24E98CA7BE0}"/>
            </a:ext>
          </a:extLst>
        </xdr:cNvPr>
        <xdr:cNvSpPr>
          <a:spLocks noChangeArrowheads="1"/>
        </xdr:cNvSpPr>
      </xdr:nvSpPr>
      <xdr:spPr bwMode="auto">
        <a:xfrm>
          <a:off x="7899400" y="7099300"/>
          <a:ext cx="84447" cy="197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Symbol"/>
            </a:rPr>
            <a:t>=</a:t>
          </a:r>
        </a:p>
      </xdr:txBody>
    </xdr:sp>
    <xdr:clientData/>
  </xdr:oneCellAnchor>
  <xdr:twoCellAnchor editAs="oneCell">
    <xdr:from>
      <xdr:col>0</xdr:col>
      <xdr:colOff>104775</xdr:colOff>
      <xdr:row>0</xdr:row>
      <xdr:rowOff>28575</xdr:rowOff>
    </xdr:from>
    <xdr:to>
      <xdr:col>2</xdr:col>
      <xdr:colOff>561975</xdr:colOff>
      <xdr:row>3</xdr:row>
      <xdr:rowOff>142875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68989CEB-4727-45D3-9106-3D449BF11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1187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180975</xdr:colOff>
      <xdr:row>29</xdr:row>
      <xdr:rowOff>180976</xdr:rowOff>
    </xdr:from>
    <xdr:to>
      <xdr:col>7</xdr:col>
      <xdr:colOff>419100</xdr:colOff>
      <xdr:row>31</xdr:row>
      <xdr:rowOff>147626</xdr:rowOff>
    </xdr:to>
    <xdr:pic>
      <xdr:nvPicPr>
        <xdr:cNvPr id="113" name="Picture 112" descr="http://cdn2.content.compendiumblog.com/uploads/user/458939f4-fe08-4dbc-b271-efca0f5a2682/6060c2db-f5d9-449b-abe2-68eade74814a/Image/d840d539abbf0f0cc70c3cb03c823cb1/equation1.jpg">
          <a:extLst>
            <a:ext uri="{FF2B5EF4-FFF2-40B4-BE49-F238E27FC236}">
              <a16:creationId xmlns:a16="http://schemas.microsoft.com/office/drawing/2014/main" id="{80C9EC44-026B-4BDE-A6C4-4C6BB6B37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725" y="5565776"/>
          <a:ext cx="1793875" cy="3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8"/>
  <sheetViews>
    <sheetView workbookViewId="0">
      <selection activeCell="Q20" sqref="Q20"/>
    </sheetView>
  </sheetViews>
  <sheetFormatPr defaultRowHeight="12.5"/>
  <sheetData>
    <row r="3" spans="1:16" ht="37.5">
      <c r="A3" s="178" t="s">
        <v>83</v>
      </c>
      <c r="B3" s="179" t="s">
        <v>89</v>
      </c>
      <c r="C3" s="179" t="s">
        <v>90</v>
      </c>
      <c r="D3" s="179" t="s">
        <v>91</v>
      </c>
      <c r="E3" s="179" t="s">
        <v>92</v>
      </c>
      <c r="F3" s="179" t="s">
        <v>93</v>
      </c>
      <c r="G3" s="179" t="s">
        <v>94</v>
      </c>
      <c r="H3" s="179" t="s">
        <v>95</v>
      </c>
      <c r="I3" s="179" t="s">
        <v>96</v>
      </c>
      <c r="J3" s="179" t="s">
        <v>97</v>
      </c>
      <c r="K3" s="179" t="s">
        <v>98</v>
      </c>
      <c r="L3" s="179" t="s">
        <v>99</v>
      </c>
      <c r="M3" s="179" t="s">
        <v>100</v>
      </c>
      <c r="N3" s="179" t="s">
        <v>101</v>
      </c>
      <c r="O3" s="179" t="s">
        <v>102</v>
      </c>
    </row>
    <row r="4" spans="1:16">
      <c r="A4" s="180" t="s">
        <v>32</v>
      </c>
      <c r="B4" s="181" t="s">
        <v>103</v>
      </c>
      <c r="C4" s="181" t="s">
        <v>103</v>
      </c>
      <c r="D4" s="181" t="s">
        <v>103</v>
      </c>
      <c r="E4" s="181" t="s">
        <v>103</v>
      </c>
      <c r="F4" s="181" t="s">
        <v>103</v>
      </c>
      <c r="G4" s="181" t="s">
        <v>103</v>
      </c>
      <c r="H4" s="181" t="s">
        <v>103</v>
      </c>
      <c r="I4" s="181" t="s">
        <v>103</v>
      </c>
      <c r="J4" s="181" t="s">
        <v>103</v>
      </c>
      <c r="K4" s="181" t="s">
        <v>103</v>
      </c>
      <c r="L4" s="181" t="s">
        <v>103</v>
      </c>
      <c r="M4" s="181" t="s">
        <v>103</v>
      </c>
      <c r="N4" s="181" t="s">
        <v>103</v>
      </c>
      <c r="O4" s="181" t="s">
        <v>103</v>
      </c>
    </row>
    <row r="5" spans="1:16" ht="13">
      <c r="A5" s="180" t="s">
        <v>84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</row>
    <row r="6" spans="1:16" ht="13">
      <c r="A6" s="180" t="s">
        <v>85</v>
      </c>
      <c r="B6" s="182" t="s">
        <v>86</v>
      </c>
      <c r="C6" s="182" t="s">
        <v>86</v>
      </c>
      <c r="D6" s="182" t="s">
        <v>86</v>
      </c>
      <c r="E6" s="182" t="s">
        <v>86</v>
      </c>
      <c r="F6" s="182" t="s">
        <v>86</v>
      </c>
      <c r="G6" s="182" t="s">
        <v>86</v>
      </c>
      <c r="H6" s="182" t="s">
        <v>86</v>
      </c>
      <c r="I6" s="182" t="s">
        <v>86</v>
      </c>
      <c r="J6" s="182" t="s">
        <v>86</v>
      </c>
      <c r="K6" s="182" t="s">
        <v>86</v>
      </c>
      <c r="L6" s="182" t="s">
        <v>86</v>
      </c>
      <c r="M6" s="182" t="s">
        <v>86</v>
      </c>
      <c r="N6" s="182" t="s">
        <v>86</v>
      </c>
      <c r="O6" s="182" t="s">
        <v>86</v>
      </c>
    </row>
    <row r="9" spans="1:16" ht="28">
      <c r="A9" s="178" t="s">
        <v>83</v>
      </c>
      <c r="B9" s="183" t="s">
        <v>117</v>
      </c>
      <c r="C9" s="183" t="s">
        <v>118</v>
      </c>
      <c r="D9" s="183" t="s">
        <v>119</v>
      </c>
      <c r="E9" s="183" t="s">
        <v>120</v>
      </c>
      <c r="F9" s="183" t="s">
        <v>121</v>
      </c>
      <c r="G9" s="183" t="s">
        <v>122</v>
      </c>
      <c r="H9" s="183" t="s">
        <v>123</v>
      </c>
      <c r="I9" s="183" t="s">
        <v>124</v>
      </c>
      <c r="J9" s="183" t="s">
        <v>125</v>
      </c>
      <c r="K9" s="183" t="s">
        <v>126</v>
      </c>
      <c r="L9" s="183" t="s">
        <v>127</v>
      </c>
      <c r="M9" s="183" t="s">
        <v>128</v>
      </c>
      <c r="N9" s="183" t="s">
        <v>129</v>
      </c>
      <c r="O9" s="183" t="s">
        <v>130</v>
      </c>
      <c r="P9" s="183" t="s">
        <v>131</v>
      </c>
    </row>
    <row r="10" spans="1:16">
      <c r="A10" s="180" t="s">
        <v>32</v>
      </c>
      <c r="B10" s="181" t="s">
        <v>87</v>
      </c>
      <c r="C10" s="181" t="s">
        <v>87</v>
      </c>
      <c r="D10" s="181" t="s">
        <v>87</v>
      </c>
      <c r="E10" s="181" t="s">
        <v>87</v>
      </c>
      <c r="F10" s="181" t="s">
        <v>87</v>
      </c>
      <c r="G10" s="181" t="s">
        <v>87</v>
      </c>
      <c r="H10" s="181" t="s">
        <v>87</v>
      </c>
      <c r="I10" s="181" t="s">
        <v>87</v>
      </c>
      <c r="J10" s="181" t="s">
        <v>87</v>
      </c>
      <c r="K10" s="181" t="s">
        <v>87</v>
      </c>
      <c r="L10" s="181" t="s">
        <v>87</v>
      </c>
      <c r="M10" s="181" t="s">
        <v>87</v>
      </c>
      <c r="N10" s="181" t="s">
        <v>87</v>
      </c>
      <c r="O10" s="181" t="s">
        <v>87</v>
      </c>
      <c r="P10" s="181" t="s">
        <v>87</v>
      </c>
    </row>
    <row r="11" spans="1:16" ht="13">
      <c r="A11" s="180" t="s">
        <v>84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</row>
    <row r="12" spans="1:16" ht="13">
      <c r="A12" s="180" t="s">
        <v>85</v>
      </c>
      <c r="B12" s="182" t="s">
        <v>86</v>
      </c>
      <c r="C12" s="182" t="s">
        <v>86</v>
      </c>
      <c r="D12" s="182" t="s">
        <v>86</v>
      </c>
      <c r="E12" s="182" t="s">
        <v>86</v>
      </c>
      <c r="F12" s="182" t="s">
        <v>86</v>
      </c>
      <c r="G12" s="182" t="s">
        <v>86</v>
      </c>
      <c r="H12" s="182" t="s">
        <v>86</v>
      </c>
      <c r="I12" s="182" t="s">
        <v>86</v>
      </c>
      <c r="J12" s="182" t="s">
        <v>86</v>
      </c>
      <c r="K12" s="182" t="s">
        <v>86</v>
      </c>
      <c r="L12" s="182" t="s">
        <v>86</v>
      </c>
      <c r="M12" s="182" t="s">
        <v>86</v>
      </c>
      <c r="N12" s="182" t="s">
        <v>86</v>
      </c>
      <c r="O12" s="182" t="s">
        <v>86</v>
      </c>
      <c r="P12" s="182" t="s">
        <v>86</v>
      </c>
    </row>
    <row r="15" spans="1:16" ht="56">
      <c r="A15" s="178" t="s">
        <v>83</v>
      </c>
      <c r="B15" s="183" t="s">
        <v>104</v>
      </c>
      <c r="C15" s="183" t="s">
        <v>105</v>
      </c>
      <c r="D15" s="183" t="s">
        <v>106</v>
      </c>
      <c r="E15" s="183" t="s">
        <v>107</v>
      </c>
      <c r="F15" s="183" t="s">
        <v>108</v>
      </c>
      <c r="G15" s="183" t="s">
        <v>109</v>
      </c>
      <c r="H15" s="183" t="s">
        <v>110</v>
      </c>
      <c r="I15" s="183" t="s">
        <v>111</v>
      </c>
      <c r="J15" s="183" t="s">
        <v>112</v>
      </c>
      <c r="K15" s="183" t="s">
        <v>113</v>
      </c>
      <c r="L15" s="183" t="s">
        <v>114</v>
      </c>
      <c r="M15" s="183" t="s">
        <v>115</v>
      </c>
    </row>
    <row r="16" spans="1:16" ht="14">
      <c r="A16" s="180" t="s">
        <v>32</v>
      </c>
      <c r="B16" s="184" t="s">
        <v>116</v>
      </c>
      <c r="C16" s="184" t="s">
        <v>116</v>
      </c>
      <c r="D16" s="184" t="s">
        <v>116</v>
      </c>
      <c r="E16" s="184" t="s">
        <v>116</v>
      </c>
      <c r="F16" s="184" t="s">
        <v>88</v>
      </c>
      <c r="G16" s="184" t="s">
        <v>88</v>
      </c>
      <c r="H16" s="184" t="s">
        <v>103</v>
      </c>
      <c r="I16" s="184" t="s">
        <v>103</v>
      </c>
      <c r="J16" s="184" t="s">
        <v>103</v>
      </c>
      <c r="K16" s="184" t="s">
        <v>103</v>
      </c>
      <c r="L16" s="184" t="s">
        <v>88</v>
      </c>
      <c r="M16" s="184" t="s">
        <v>88</v>
      </c>
    </row>
    <row r="17" spans="1:13" ht="14">
      <c r="A17" s="180" t="s">
        <v>84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</row>
    <row r="18" spans="1:13" ht="14">
      <c r="A18" s="180" t="s">
        <v>85</v>
      </c>
      <c r="B18" s="185" t="s">
        <v>86</v>
      </c>
      <c r="C18" s="185" t="s">
        <v>86</v>
      </c>
      <c r="D18" s="185" t="s">
        <v>86</v>
      </c>
      <c r="E18" s="185" t="s">
        <v>86</v>
      </c>
      <c r="F18" s="185" t="s">
        <v>86</v>
      </c>
      <c r="G18" s="185" t="s">
        <v>86</v>
      </c>
      <c r="H18" s="185" t="s">
        <v>86</v>
      </c>
      <c r="I18" s="185" t="s">
        <v>86</v>
      </c>
      <c r="J18" s="185" t="s">
        <v>86</v>
      </c>
      <c r="K18" s="185" t="s">
        <v>86</v>
      </c>
      <c r="L18" s="185" t="s">
        <v>86</v>
      </c>
      <c r="M18" s="185" t="s">
        <v>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DA1C-BB7D-4F1F-AAB8-2A828E131F95}">
  <dimension ref="A1:AP67"/>
  <sheetViews>
    <sheetView tabSelected="1" workbookViewId="0">
      <selection activeCell="F18" sqref="F18"/>
    </sheetView>
  </sheetViews>
  <sheetFormatPr defaultRowHeight="12.5"/>
  <cols>
    <col min="1" max="1" width="1.7265625" customWidth="1"/>
    <col min="4" max="4" width="8.54296875" customWidth="1"/>
    <col min="6" max="6" width="4.81640625" customWidth="1"/>
    <col min="8" max="8" width="9.7265625" customWidth="1"/>
    <col min="12" max="12" width="4.81640625" customWidth="1"/>
    <col min="18" max="18" width="4.81640625" customWidth="1"/>
    <col min="21" max="21" width="5.26953125" customWidth="1"/>
    <col min="22" max="22" width="10.453125" customWidth="1"/>
    <col min="23" max="23" width="1.81640625" customWidth="1"/>
    <col min="26" max="32" width="9.1796875" customWidth="1"/>
    <col min="33" max="33" width="11.453125" customWidth="1"/>
    <col min="34" max="42" width="9.1796875" customWidth="1"/>
  </cols>
  <sheetData>
    <row r="1" spans="1:42">
      <c r="D1" s="192" t="s">
        <v>82</v>
      </c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</row>
    <row r="2" spans="1:42"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</row>
    <row r="3" spans="1:42"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</row>
    <row r="4" spans="1:42" ht="13" thickBot="1"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</row>
    <row r="5" spans="1:42" ht="6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</row>
    <row r="6" spans="1:42" ht="13">
      <c r="A6" s="4"/>
      <c r="D6" s="5" t="s">
        <v>0</v>
      </c>
      <c r="E6" s="194"/>
      <c r="F6" s="195"/>
      <c r="G6" s="195"/>
      <c r="H6" s="195"/>
      <c r="L6" s="5" t="s">
        <v>1</v>
      </c>
      <c r="M6" s="6"/>
      <c r="N6" s="6"/>
      <c r="O6" s="6"/>
      <c r="W6" s="7"/>
    </row>
    <row r="7" spans="1:42" ht="13">
      <c r="A7" s="4"/>
      <c r="B7" s="8"/>
      <c r="D7" s="5" t="s">
        <v>2</v>
      </c>
      <c r="E7" s="196"/>
      <c r="F7" s="197"/>
      <c r="G7" s="197"/>
      <c r="H7" s="197"/>
      <c r="L7" s="5" t="s">
        <v>3</v>
      </c>
      <c r="M7" s="9"/>
      <c r="N7" s="9"/>
      <c r="O7" s="9"/>
      <c r="S7" s="5" t="s">
        <v>4</v>
      </c>
      <c r="T7" s="10"/>
      <c r="U7" s="6"/>
      <c r="V7" s="6"/>
      <c r="W7" s="7"/>
    </row>
    <row r="8" spans="1:42" ht="13">
      <c r="A8" s="4"/>
      <c r="D8" s="5" t="s">
        <v>5</v>
      </c>
      <c r="E8" s="198"/>
      <c r="F8" s="199"/>
      <c r="G8" s="199"/>
      <c r="H8" s="199"/>
      <c r="L8" s="5" t="s">
        <v>6</v>
      </c>
      <c r="M8" s="9"/>
      <c r="N8" s="9"/>
      <c r="O8" s="9"/>
      <c r="S8" s="5" t="s">
        <v>7</v>
      </c>
      <c r="T8" s="9"/>
      <c r="U8" s="9"/>
      <c r="V8" s="9"/>
      <c r="W8" s="7"/>
    </row>
    <row r="9" spans="1:42" ht="9" customHeight="1" thickBot="1">
      <c r="A9" s="4"/>
      <c r="W9" s="7"/>
    </row>
    <row r="10" spans="1:42" ht="16" customHeight="1" thickTop="1">
      <c r="A10" s="4"/>
      <c r="B10" s="11"/>
      <c r="C10" s="12" t="s">
        <v>8</v>
      </c>
      <c r="D10" s="13"/>
      <c r="E10" s="200"/>
      <c r="F10" s="201"/>
      <c r="G10" s="201"/>
      <c r="H10" s="14" t="s">
        <v>9</v>
      </c>
      <c r="I10" s="12" t="s">
        <v>10</v>
      </c>
      <c r="J10" s="13"/>
      <c r="K10" s="176"/>
      <c r="L10" s="176"/>
      <c r="M10" s="176"/>
      <c r="N10" s="14" t="s">
        <v>9</v>
      </c>
      <c r="O10" s="12" t="s">
        <v>11</v>
      </c>
      <c r="P10" s="13"/>
      <c r="Q10" s="200"/>
      <c r="R10" s="201"/>
      <c r="S10" s="201"/>
      <c r="T10" s="14" t="s">
        <v>9</v>
      </c>
      <c r="U10" s="15"/>
      <c r="V10" s="16"/>
      <c r="W10" s="7"/>
    </row>
    <row r="11" spans="1:42" ht="16" customHeight="1">
      <c r="A11" s="4"/>
      <c r="B11" s="17" t="s">
        <v>12</v>
      </c>
      <c r="C11" s="18" t="s">
        <v>13</v>
      </c>
      <c r="D11" s="18"/>
      <c r="E11" s="18"/>
      <c r="F11" s="18"/>
      <c r="G11" s="18"/>
      <c r="H11" s="19"/>
      <c r="I11" s="18" t="s">
        <v>13</v>
      </c>
      <c r="J11" s="18"/>
      <c r="K11" s="18"/>
      <c r="L11" s="18"/>
      <c r="M11" s="18"/>
      <c r="N11" s="19"/>
      <c r="O11" s="18" t="s">
        <v>13</v>
      </c>
      <c r="P11" s="18"/>
      <c r="Q11" s="18"/>
      <c r="R11" s="18"/>
      <c r="S11" s="18"/>
      <c r="T11" s="18"/>
      <c r="U11" s="20"/>
      <c r="V11" s="21" t="s">
        <v>12</v>
      </c>
      <c r="W11" s="7"/>
    </row>
    <row r="12" spans="1:42" ht="16" customHeight="1" thickBot="1">
      <c r="A12" s="4"/>
      <c r="B12" s="22" t="s">
        <v>14</v>
      </c>
      <c r="C12" s="23">
        <v>1</v>
      </c>
      <c r="D12" s="24">
        <v>2</v>
      </c>
      <c r="E12" s="24">
        <v>3</v>
      </c>
      <c r="F12" s="25"/>
      <c r="G12" s="26" t="s">
        <v>15</v>
      </c>
      <c r="H12" s="27" t="s">
        <v>16</v>
      </c>
      <c r="I12" s="23">
        <v>1</v>
      </c>
      <c r="J12" s="24">
        <v>2</v>
      </c>
      <c r="K12" s="24">
        <v>3</v>
      </c>
      <c r="L12" s="28"/>
      <c r="M12" s="26" t="s">
        <v>15</v>
      </c>
      <c r="N12" s="29" t="s">
        <v>16</v>
      </c>
      <c r="O12" s="23">
        <v>1</v>
      </c>
      <c r="P12" s="24">
        <v>2</v>
      </c>
      <c r="Q12" s="24">
        <v>3</v>
      </c>
      <c r="R12" s="28"/>
      <c r="S12" s="26" t="s">
        <v>15</v>
      </c>
      <c r="T12" s="28" t="s">
        <v>16</v>
      </c>
      <c r="U12" s="30"/>
      <c r="V12" s="31" t="s">
        <v>17</v>
      </c>
      <c r="W12" s="7"/>
    </row>
    <row r="13" spans="1:42" ht="16" customHeight="1" thickTop="1">
      <c r="A13" s="4"/>
      <c r="B13" s="32">
        <v>1</v>
      </c>
      <c r="C13" s="170"/>
      <c r="D13" s="171"/>
      <c r="E13" s="171"/>
      <c r="F13" s="33"/>
      <c r="G13" s="34" t="str">
        <f t="shared" ref="G13:G22" si="0">IF(COUNT(C13:E13)&gt;1,AVERAGE(C13:E13),AC13)</f>
        <v/>
      </c>
      <c r="H13" s="35" t="str">
        <f t="shared" ref="H13:H22" si="1">IF(COUNT(C13:E13)&gt;1,((MAX(C13:E13))-(MIN(C13:E13))),AI13)</f>
        <v/>
      </c>
      <c r="I13" s="170"/>
      <c r="J13" s="171"/>
      <c r="K13" s="171"/>
      <c r="L13" s="36"/>
      <c r="M13" s="34" t="str">
        <f t="shared" ref="M13:M22" si="2">IF(COUNT(I13:K13)&gt;1,AVERAGE(I13:K13),AE13)</f>
        <v/>
      </c>
      <c r="N13" s="35" t="str">
        <f t="shared" ref="N13:N22" si="3">IF(COUNT(I13:K13)&gt;1,((MAX(I13:K13))-(MIN(I13:K13))),AK13)</f>
        <v/>
      </c>
      <c r="O13" s="170"/>
      <c r="P13" s="171"/>
      <c r="Q13" s="171"/>
      <c r="R13" s="36"/>
      <c r="S13" s="34" t="str">
        <f t="shared" ref="S13:S22" si="4">IF(COUNT(O13:Q13)&gt;1,AVERAGE(O13:Q13),AG13)</f>
        <v/>
      </c>
      <c r="T13" s="35" t="str">
        <f t="shared" ref="T13:T22" si="5">IF(COUNT(O13:Q13)&gt;1,((MAX(O13:Q13))-(MIN(O13:Q13))),AM13)</f>
        <v/>
      </c>
      <c r="U13" s="37"/>
      <c r="V13" s="38" t="str">
        <f t="shared" ref="V13:V22" si="6">IF((COUNT(C13:E13)+COUNT(I13:K13)+COUNT(O13:Q13))=0,"",AO13)</f>
        <v/>
      </c>
      <c r="W13" s="39"/>
      <c r="Z13" t="str">
        <f t="shared" ref="Z13:Z22" si="7">IF(COUNT(V13)&gt;0,V13,"")</f>
        <v/>
      </c>
      <c r="AC13" s="40" t="str">
        <f t="shared" ref="AC13:AC22" si="8">IF((COUNT(C13:E13))=0,"",AD13)</f>
        <v/>
      </c>
      <c r="AD13" s="40" t="e">
        <f t="shared" ref="AD13:AD22" si="9">IF(OR(((COUNT(C13:E13))&lt;(COUNT(I13:K13))),((COUNT(C13:E13))&lt;(COUNT(O13:Q13)))),"ERR",AVERAGE(C13:E13))</f>
        <v>#DIV/0!</v>
      </c>
      <c r="AE13" s="40" t="str">
        <f t="shared" ref="AE13:AE22" si="10">IF((COUNT(I13:K13))=0,"",AF13)</f>
        <v/>
      </c>
      <c r="AF13" s="40" t="e">
        <f t="shared" ref="AF13:AF22" si="11">IF(OR(((COUNT(I13:K13))&lt;(COUNT(C13:E13))),((COUNT(I13:K13))&lt;(COUNT(O13:Q13)))),"ERR",AVERAGE(I13:K13))</f>
        <v>#DIV/0!</v>
      </c>
      <c r="AG13" s="40" t="str">
        <f t="shared" ref="AG13:AG22" si="12">IF((COUNT(O13:Q13))=0,"",AH13)</f>
        <v/>
      </c>
      <c r="AH13" s="40" t="e">
        <f t="shared" ref="AH13:AH22" si="13">IF(OR(((COUNT(O13:Q13))&lt;(COUNT(C13:E13))),((COUNT(O13:Q13))&lt;(COUNT(I13:K13)))),"ERR",AVERAGE(O13:Q13))</f>
        <v>#DIV/0!</v>
      </c>
      <c r="AI13" s="40" t="str">
        <f t="shared" ref="AI13:AI22" si="14">IF((COUNT(C13:E13))=0,"",AJ13)</f>
        <v/>
      </c>
      <c r="AJ13" s="40">
        <f t="shared" ref="AJ13:AJ22" si="15">IF(OR(((COUNT(C13:E13))&lt;(COUNT(I13:K13))),((COUNT(C13:E13))&lt;(COUNT(O13:Q13)))),"ERR",((MAX(C13:E13))-(MIN(C13:E13))))</f>
        <v>0</v>
      </c>
      <c r="AK13" s="40" t="str">
        <f t="shared" ref="AK13:AK22" si="16">IF((COUNT(I13:K13))=0,"",AL13)</f>
        <v/>
      </c>
      <c r="AL13" s="40">
        <f t="shared" ref="AL13:AL22" si="17">IF(OR(((COUNT(I13:K13))&lt;(COUNT(C13:E13))),((COUNT(I13:K13))&lt;(COUNT(O13:Q13)))),"ERR",((MAX(I13:K13))-(MIN(I13:K13))))</f>
        <v>0</v>
      </c>
      <c r="AM13" s="40" t="str">
        <f t="shared" ref="AM13:AM22" si="18">IF((COUNT(O13:Q13))=0,"",AN13)</f>
        <v/>
      </c>
      <c r="AN13" s="40">
        <f t="shared" ref="AN13:AN22" si="19">IF(OR(((COUNT(O13:Q13))&lt;(COUNT(C13:E13))),((COUNT(O13:Q13))&lt;(COUNT(I13:K13)))),"ERR",((MAX(O13:Q13))-(MIN(O13:Q13))))</f>
        <v>0</v>
      </c>
      <c r="AO13" s="40" t="e">
        <f t="shared" ref="AO13:AO22" si="20">IF(OR(((COUNT(C13:E13))&lt;(COUNT(O13:Q13))),((COUNT(I13:K13))&lt;(COUNT(C13:E13)))),"ERR",IF(AND(COUNT(S13)=0,(COUNT(G13)+COUNT(M13))=2),SUM(C13:E13,I13:K13)/COUNT(C13:E13,I13:K13),AP13))</f>
        <v>#DIV/0!</v>
      </c>
      <c r="AP13" s="40" t="e">
        <f t="shared" ref="AP13:AP22" si="21">IF(AND(COUNT(S$13:S$22)&gt;0,COUNT(S$13:S$22)&lt;(COUNT(G$13:G$22)+COUNT(M$13:M$22))/2),"ERR",SUM(C13:E13,I13:K13,O13:Q13)/COUNT(C13:E13,I13:K13,O13:Q13))</f>
        <v>#DIV/0!</v>
      </c>
    </row>
    <row r="14" spans="1:42" ht="16" customHeight="1">
      <c r="A14" s="4"/>
      <c r="B14" s="41">
        <v>2</v>
      </c>
      <c r="C14" s="172"/>
      <c r="D14" s="173"/>
      <c r="E14" s="171"/>
      <c r="F14" s="42"/>
      <c r="G14" s="43" t="str">
        <f t="shared" si="0"/>
        <v/>
      </c>
      <c r="H14" s="44" t="str">
        <f t="shared" si="1"/>
        <v/>
      </c>
      <c r="I14" s="172"/>
      <c r="J14" s="173"/>
      <c r="K14" s="171"/>
      <c r="L14" s="42"/>
      <c r="M14" s="43" t="str">
        <f t="shared" si="2"/>
        <v/>
      </c>
      <c r="N14" s="44" t="str">
        <f t="shared" si="3"/>
        <v/>
      </c>
      <c r="O14" s="172"/>
      <c r="P14" s="173"/>
      <c r="Q14" s="171"/>
      <c r="R14" s="42"/>
      <c r="S14" s="43" t="str">
        <f t="shared" si="4"/>
        <v/>
      </c>
      <c r="T14" s="44" t="str">
        <f t="shared" si="5"/>
        <v/>
      </c>
      <c r="U14" s="45"/>
      <c r="V14" s="46" t="str">
        <f t="shared" si="6"/>
        <v/>
      </c>
      <c r="W14" s="7"/>
      <c r="Z14" t="str">
        <f t="shared" si="7"/>
        <v/>
      </c>
      <c r="AC14" s="40" t="str">
        <f t="shared" si="8"/>
        <v/>
      </c>
      <c r="AD14" s="40" t="e">
        <f t="shared" si="9"/>
        <v>#DIV/0!</v>
      </c>
      <c r="AE14" s="40" t="str">
        <f t="shared" si="10"/>
        <v/>
      </c>
      <c r="AF14" s="40" t="e">
        <f t="shared" si="11"/>
        <v>#DIV/0!</v>
      </c>
      <c r="AG14" s="40" t="str">
        <f t="shared" si="12"/>
        <v/>
      </c>
      <c r="AH14" s="40" t="e">
        <f t="shared" si="13"/>
        <v>#DIV/0!</v>
      </c>
      <c r="AI14" s="40" t="str">
        <f t="shared" si="14"/>
        <v/>
      </c>
      <c r="AJ14" s="40">
        <f t="shared" si="15"/>
        <v>0</v>
      </c>
      <c r="AK14" s="40" t="str">
        <f t="shared" si="16"/>
        <v/>
      </c>
      <c r="AL14" s="40">
        <f t="shared" si="17"/>
        <v>0</v>
      </c>
      <c r="AM14" s="40" t="str">
        <f t="shared" si="18"/>
        <v/>
      </c>
      <c r="AN14" s="40">
        <f t="shared" si="19"/>
        <v>0</v>
      </c>
      <c r="AO14" s="40" t="e">
        <f t="shared" si="20"/>
        <v>#DIV/0!</v>
      </c>
      <c r="AP14" s="40" t="e">
        <f t="shared" si="21"/>
        <v>#DIV/0!</v>
      </c>
    </row>
    <row r="15" spans="1:42" ht="16" customHeight="1">
      <c r="A15" s="4"/>
      <c r="B15" s="41">
        <v>3</v>
      </c>
      <c r="C15" s="172"/>
      <c r="D15" s="173"/>
      <c r="E15" s="173"/>
      <c r="F15" s="42"/>
      <c r="G15" s="43" t="str">
        <f t="shared" si="0"/>
        <v/>
      </c>
      <c r="H15" s="44" t="str">
        <f t="shared" si="1"/>
        <v/>
      </c>
      <c r="I15" s="172"/>
      <c r="J15" s="173"/>
      <c r="K15" s="173"/>
      <c r="L15" s="42"/>
      <c r="M15" s="43" t="str">
        <f t="shared" si="2"/>
        <v/>
      </c>
      <c r="N15" s="44" t="str">
        <f t="shared" si="3"/>
        <v/>
      </c>
      <c r="O15" s="172"/>
      <c r="P15" s="173"/>
      <c r="Q15" s="173"/>
      <c r="R15" s="42"/>
      <c r="S15" s="43" t="str">
        <f t="shared" si="4"/>
        <v/>
      </c>
      <c r="T15" s="44" t="str">
        <f t="shared" si="5"/>
        <v/>
      </c>
      <c r="U15" s="45"/>
      <c r="V15" s="46" t="str">
        <f t="shared" si="6"/>
        <v/>
      </c>
      <c r="W15" s="7"/>
      <c r="Z15" t="str">
        <f t="shared" si="7"/>
        <v/>
      </c>
      <c r="AC15" s="40" t="str">
        <f t="shared" si="8"/>
        <v/>
      </c>
      <c r="AD15" s="40" t="e">
        <f t="shared" si="9"/>
        <v>#DIV/0!</v>
      </c>
      <c r="AE15" s="40" t="str">
        <f t="shared" si="10"/>
        <v/>
      </c>
      <c r="AF15" s="40" t="e">
        <f t="shared" si="11"/>
        <v>#DIV/0!</v>
      </c>
      <c r="AG15" s="40" t="str">
        <f t="shared" si="12"/>
        <v/>
      </c>
      <c r="AH15" s="40" t="e">
        <f t="shared" si="13"/>
        <v>#DIV/0!</v>
      </c>
      <c r="AI15" s="40" t="str">
        <f t="shared" si="14"/>
        <v/>
      </c>
      <c r="AJ15" s="40">
        <f t="shared" si="15"/>
        <v>0</v>
      </c>
      <c r="AK15" s="40" t="str">
        <f t="shared" si="16"/>
        <v/>
      </c>
      <c r="AL15" s="40">
        <f t="shared" si="17"/>
        <v>0</v>
      </c>
      <c r="AM15" s="40" t="str">
        <f t="shared" si="18"/>
        <v/>
      </c>
      <c r="AN15" s="40">
        <f t="shared" si="19"/>
        <v>0</v>
      </c>
      <c r="AO15" s="40" t="e">
        <f t="shared" si="20"/>
        <v>#DIV/0!</v>
      </c>
      <c r="AP15" s="40" t="e">
        <f t="shared" si="21"/>
        <v>#DIV/0!</v>
      </c>
    </row>
    <row r="16" spans="1:42" ht="16" customHeight="1">
      <c r="A16" s="4"/>
      <c r="B16" s="41">
        <v>4</v>
      </c>
      <c r="C16" s="172"/>
      <c r="D16" s="173"/>
      <c r="E16" s="173"/>
      <c r="F16" s="42"/>
      <c r="G16" s="43" t="str">
        <f t="shared" si="0"/>
        <v/>
      </c>
      <c r="H16" s="44" t="str">
        <f t="shared" si="1"/>
        <v/>
      </c>
      <c r="I16" s="172"/>
      <c r="J16" s="173"/>
      <c r="K16" s="173"/>
      <c r="L16" s="42"/>
      <c r="M16" s="43" t="str">
        <f t="shared" si="2"/>
        <v/>
      </c>
      <c r="N16" s="44" t="str">
        <f t="shared" si="3"/>
        <v/>
      </c>
      <c r="O16" s="172"/>
      <c r="P16" s="173"/>
      <c r="Q16" s="173"/>
      <c r="R16" s="42"/>
      <c r="S16" s="43" t="str">
        <f t="shared" si="4"/>
        <v/>
      </c>
      <c r="T16" s="44" t="str">
        <f t="shared" si="5"/>
        <v/>
      </c>
      <c r="U16" s="45"/>
      <c r="V16" s="46" t="str">
        <f t="shared" si="6"/>
        <v/>
      </c>
      <c r="W16" s="7"/>
      <c r="Z16" t="str">
        <f t="shared" si="7"/>
        <v/>
      </c>
      <c r="AC16" s="40" t="str">
        <f t="shared" si="8"/>
        <v/>
      </c>
      <c r="AD16" s="40" t="e">
        <f t="shared" si="9"/>
        <v>#DIV/0!</v>
      </c>
      <c r="AE16" s="40" t="str">
        <f t="shared" si="10"/>
        <v/>
      </c>
      <c r="AF16" s="40" t="e">
        <f t="shared" si="11"/>
        <v>#DIV/0!</v>
      </c>
      <c r="AG16" s="40" t="str">
        <f t="shared" si="12"/>
        <v/>
      </c>
      <c r="AH16" s="40" t="e">
        <f t="shared" si="13"/>
        <v>#DIV/0!</v>
      </c>
      <c r="AI16" s="40" t="str">
        <f t="shared" si="14"/>
        <v/>
      </c>
      <c r="AJ16" s="40">
        <f t="shared" si="15"/>
        <v>0</v>
      </c>
      <c r="AK16" s="40" t="str">
        <f t="shared" si="16"/>
        <v/>
      </c>
      <c r="AL16" s="40">
        <f t="shared" si="17"/>
        <v>0</v>
      </c>
      <c r="AM16" s="40" t="str">
        <f t="shared" si="18"/>
        <v/>
      </c>
      <c r="AN16" s="40">
        <f t="shared" si="19"/>
        <v>0</v>
      </c>
      <c r="AO16" s="40" t="e">
        <f t="shared" si="20"/>
        <v>#DIV/0!</v>
      </c>
      <c r="AP16" s="40" t="e">
        <f t="shared" si="21"/>
        <v>#DIV/0!</v>
      </c>
    </row>
    <row r="17" spans="1:42" ht="16" customHeight="1">
      <c r="A17" s="4"/>
      <c r="B17" s="41">
        <v>5</v>
      </c>
      <c r="C17" s="172"/>
      <c r="D17" s="173"/>
      <c r="E17" s="173"/>
      <c r="F17" s="42"/>
      <c r="G17" s="43" t="str">
        <f t="shared" si="0"/>
        <v/>
      </c>
      <c r="H17" s="44" t="str">
        <f t="shared" si="1"/>
        <v/>
      </c>
      <c r="I17" s="172"/>
      <c r="J17" s="173"/>
      <c r="K17" s="173"/>
      <c r="L17" s="42"/>
      <c r="M17" s="43" t="str">
        <f t="shared" si="2"/>
        <v/>
      </c>
      <c r="N17" s="44" t="str">
        <f t="shared" si="3"/>
        <v/>
      </c>
      <c r="O17" s="172"/>
      <c r="P17" s="173"/>
      <c r="Q17" s="173"/>
      <c r="R17" s="42"/>
      <c r="S17" s="43" t="str">
        <f t="shared" si="4"/>
        <v/>
      </c>
      <c r="T17" s="44" t="str">
        <f t="shared" si="5"/>
        <v/>
      </c>
      <c r="U17" s="45"/>
      <c r="V17" s="46" t="str">
        <f t="shared" si="6"/>
        <v/>
      </c>
      <c r="W17" s="7"/>
      <c r="Z17" t="str">
        <f t="shared" si="7"/>
        <v/>
      </c>
      <c r="AC17" s="40" t="str">
        <f t="shared" si="8"/>
        <v/>
      </c>
      <c r="AD17" s="40" t="e">
        <f t="shared" si="9"/>
        <v>#DIV/0!</v>
      </c>
      <c r="AE17" s="40" t="str">
        <f t="shared" si="10"/>
        <v/>
      </c>
      <c r="AF17" s="40" t="e">
        <f t="shared" si="11"/>
        <v>#DIV/0!</v>
      </c>
      <c r="AG17" s="40" t="str">
        <f t="shared" si="12"/>
        <v/>
      </c>
      <c r="AH17" s="40" t="e">
        <f t="shared" si="13"/>
        <v>#DIV/0!</v>
      </c>
      <c r="AI17" s="40" t="str">
        <f t="shared" si="14"/>
        <v/>
      </c>
      <c r="AJ17" s="40">
        <f t="shared" si="15"/>
        <v>0</v>
      </c>
      <c r="AK17" s="40" t="str">
        <f t="shared" si="16"/>
        <v/>
      </c>
      <c r="AL17" s="40">
        <f t="shared" si="17"/>
        <v>0</v>
      </c>
      <c r="AM17" s="40" t="str">
        <f t="shared" si="18"/>
        <v/>
      </c>
      <c r="AN17" s="40">
        <f t="shared" si="19"/>
        <v>0</v>
      </c>
      <c r="AO17" s="40" t="e">
        <f t="shared" si="20"/>
        <v>#DIV/0!</v>
      </c>
      <c r="AP17" s="40" t="e">
        <f t="shared" si="21"/>
        <v>#DIV/0!</v>
      </c>
    </row>
    <row r="18" spans="1:42" ht="16" customHeight="1">
      <c r="A18" s="4"/>
      <c r="B18" s="41">
        <v>6</v>
      </c>
      <c r="C18" s="172"/>
      <c r="D18" s="173"/>
      <c r="E18" s="173"/>
      <c r="F18" s="42"/>
      <c r="G18" s="43" t="str">
        <f t="shared" si="0"/>
        <v/>
      </c>
      <c r="H18" s="44" t="str">
        <f>IF(COUNT(C18:E18)&gt;1,((MAX(C18:E18))-(MIN(C18:E18))),AI18)</f>
        <v/>
      </c>
      <c r="I18" s="172"/>
      <c r="J18" s="173"/>
      <c r="K18" s="173"/>
      <c r="L18" s="42"/>
      <c r="M18" s="43" t="str">
        <f t="shared" si="2"/>
        <v/>
      </c>
      <c r="N18" s="44" t="str">
        <f t="shared" si="3"/>
        <v/>
      </c>
      <c r="O18" s="172"/>
      <c r="P18" s="173"/>
      <c r="Q18" s="173"/>
      <c r="R18" s="42"/>
      <c r="S18" s="43" t="str">
        <f t="shared" si="4"/>
        <v/>
      </c>
      <c r="T18" s="44" t="str">
        <f t="shared" si="5"/>
        <v/>
      </c>
      <c r="U18" s="45"/>
      <c r="V18" s="46" t="str">
        <f t="shared" si="6"/>
        <v/>
      </c>
      <c r="W18" s="7"/>
      <c r="Z18" t="str">
        <f t="shared" si="7"/>
        <v/>
      </c>
      <c r="AC18" s="40" t="str">
        <f t="shared" si="8"/>
        <v/>
      </c>
      <c r="AD18" s="40" t="e">
        <f t="shared" si="9"/>
        <v>#DIV/0!</v>
      </c>
      <c r="AE18" s="40" t="str">
        <f t="shared" si="10"/>
        <v/>
      </c>
      <c r="AF18" s="40" t="e">
        <f t="shared" si="11"/>
        <v>#DIV/0!</v>
      </c>
      <c r="AG18" s="40" t="str">
        <f t="shared" si="12"/>
        <v/>
      </c>
      <c r="AH18" s="40" t="e">
        <f t="shared" si="13"/>
        <v>#DIV/0!</v>
      </c>
      <c r="AI18" s="40" t="str">
        <f t="shared" si="14"/>
        <v/>
      </c>
      <c r="AJ18" s="40">
        <f t="shared" si="15"/>
        <v>0</v>
      </c>
      <c r="AK18" s="40" t="str">
        <f t="shared" si="16"/>
        <v/>
      </c>
      <c r="AL18" s="40">
        <f t="shared" si="17"/>
        <v>0</v>
      </c>
      <c r="AM18" s="40" t="str">
        <f t="shared" si="18"/>
        <v/>
      </c>
      <c r="AN18" s="40">
        <f t="shared" si="19"/>
        <v>0</v>
      </c>
      <c r="AO18" s="40" t="e">
        <f t="shared" si="20"/>
        <v>#DIV/0!</v>
      </c>
      <c r="AP18" s="40" t="e">
        <f t="shared" si="21"/>
        <v>#DIV/0!</v>
      </c>
    </row>
    <row r="19" spans="1:42" ht="16" customHeight="1">
      <c r="A19" s="4"/>
      <c r="B19" s="41">
        <v>7</v>
      </c>
      <c r="C19" s="172"/>
      <c r="D19" s="173"/>
      <c r="E19" s="173"/>
      <c r="F19" s="42"/>
      <c r="G19" s="43" t="str">
        <f t="shared" si="0"/>
        <v/>
      </c>
      <c r="H19" s="44" t="str">
        <f t="shared" si="1"/>
        <v/>
      </c>
      <c r="I19" s="172"/>
      <c r="J19" s="173"/>
      <c r="K19" s="173"/>
      <c r="L19" s="42"/>
      <c r="M19" s="43" t="str">
        <f t="shared" si="2"/>
        <v/>
      </c>
      <c r="N19" s="44" t="str">
        <f t="shared" si="3"/>
        <v/>
      </c>
      <c r="O19" s="172"/>
      <c r="P19" s="173"/>
      <c r="Q19" s="173"/>
      <c r="R19" s="42"/>
      <c r="S19" s="43" t="str">
        <f t="shared" si="4"/>
        <v/>
      </c>
      <c r="T19" s="44" t="str">
        <f t="shared" si="5"/>
        <v/>
      </c>
      <c r="U19" s="45"/>
      <c r="V19" s="46" t="str">
        <f t="shared" si="6"/>
        <v/>
      </c>
      <c r="W19" s="7"/>
      <c r="Z19" t="str">
        <f t="shared" si="7"/>
        <v/>
      </c>
      <c r="AB19" t="str">
        <f>IF(COUNT(V13:V22)=10,((MAX(V13:V22))-(MIN(Z13:Z22))),"")</f>
        <v/>
      </c>
      <c r="AC19" s="40" t="str">
        <f t="shared" si="8"/>
        <v/>
      </c>
      <c r="AD19" s="40" t="e">
        <f t="shared" si="9"/>
        <v>#DIV/0!</v>
      </c>
      <c r="AE19" s="40" t="str">
        <f t="shared" si="10"/>
        <v/>
      </c>
      <c r="AF19" s="40" t="e">
        <f t="shared" si="11"/>
        <v>#DIV/0!</v>
      </c>
      <c r="AG19" s="40" t="str">
        <f t="shared" si="12"/>
        <v/>
      </c>
      <c r="AH19" s="40" t="e">
        <f t="shared" si="13"/>
        <v>#DIV/0!</v>
      </c>
      <c r="AI19" s="40" t="str">
        <f t="shared" si="14"/>
        <v/>
      </c>
      <c r="AJ19" s="40">
        <f t="shared" si="15"/>
        <v>0</v>
      </c>
      <c r="AK19" s="40" t="str">
        <f t="shared" si="16"/>
        <v/>
      </c>
      <c r="AL19" s="40">
        <f t="shared" si="17"/>
        <v>0</v>
      </c>
      <c r="AM19" s="40" t="str">
        <f t="shared" si="18"/>
        <v/>
      </c>
      <c r="AN19" s="40">
        <f t="shared" si="19"/>
        <v>0</v>
      </c>
      <c r="AO19" s="40" t="e">
        <f t="shared" si="20"/>
        <v>#DIV/0!</v>
      </c>
      <c r="AP19" s="40" t="e">
        <f t="shared" si="21"/>
        <v>#DIV/0!</v>
      </c>
    </row>
    <row r="20" spans="1:42" ht="16" customHeight="1">
      <c r="A20" s="4"/>
      <c r="B20" s="41">
        <v>8</v>
      </c>
      <c r="C20" s="172"/>
      <c r="D20" s="173"/>
      <c r="E20" s="173"/>
      <c r="F20" s="42"/>
      <c r="G20" s="43" t="str">
        <f t="shared" si="0"/>
        <v/>
      </c>
      <c r="H20" s="44" t="str">
        <f t="shared" si="1"/>
        <v/>
      </c>
      <c r="I20" s="172"/>
      <c r="J20" s="173"/>
      <c r="K20" s="173"/>
      <c r="L20" s="42"/>
      <c r="M20" s="43" t="str">
        <f t="shared" si="2"/>
        <v/>
      </c>
      <c r="N20" s="44" t="str">
        <f t="shared" si="3"/>
        <v/>
      </c>
      <c r="O20" s="172"/>
      <c r="P20" s="173"/>
      <c r="Q20" s="173"/>
      <c r="R20" s="42"/>
      <c r="S20" s="43" t="str">
        <f t="shared" si="4"/>
        <v/>
      </c>
      <c r="T20" s="44" t="str">
        <f t="shared" si="5"/>
        <v/>
      </c>
      <c r="U20" s="45"/>
      <c r="V20" s="46" t="str">
        <f t="shared" si="6"/>
        <v/>
      </c>
      <c r="W20" s="7"/>
      <c r="Z20" t="str">
        <f t="shared" si="7"/>
        <v/>
      </c>
      <c r="AB20" t="str">
        <f>IF(COUNT(V13:V22)=9,((MAX(V13:V21))-(MIN(Z13:Z21))),AB19)</f>
        <v/>
      </c>
      <c r="AC20" s="40" t="str">
        <f t="shared" si="8"/>
        <v/>
      </c>
      <c r="AD20" s="40" t="e">
        <f t="shared" si="9"/>
        <v>#DIV/0!</v>
      </c>
      <c r="AE20" s="40" t="str">
        <f t="shared" si="10"/>
        <v/>
      </c>
      <c r="AF20" s="40" t="e">
        <f t="shared" si="11"/>
        <v>#DIV/0!</v>
      </c>
      <c r="AG20" s="40" t="str">
        <f t="shared" si="12"/>
        <v/>
      </c>
      <c r="AH20" s="40" t="e">
        <f t="shared" si="13"/>
        <v>#DIV/0!</v>
      </c>
      <c r="AI20" s="40" t="str">
        <f t="shared" si="14"/>
        <v/>
      </c>
      <c r="AJ20" s="40">
        <f t="shared" si="15"/>
        <v>0</v>
      </c>
      <c r="AK20" s="40" t="str">
        <f t="shared" si="16"/>
        <v/>
      </c>
      <c r="AL20" s="40">
        <f t="shared" si="17"/>
        <v>0</v>
      </c>
      <c r="AM20" s="40" t="str">
        <f t="shared" si="18"/>
        <v/>
      </c>
      <c r="AN20" s="40">
        <f t="shared" si="19"/>
        <v>0</v>
      </c>
      <c r="AO20" s="40" t="e">
        <f t="shared" si="20"/>
        <v>#DIV/0!</v>
      </c>
      <c r="AP20" s="40" t="e">
        <f t="shared" si="21"/>
        <v>#DIV/0!</v>
      </c>
    </row>
    <row r="21" spans="1:42" ht="16" customHeight="1">
      <c r="A21" s="4"/>
      <c r="B21" s="41">
        <v>9</v>
      </c>
      <c r="C21" s="172"/>
      <c r="D21" s="173"/>
      <c r="E21" s="173"/>
      <c r="F21" s="42"/>
      <c r="G21" s="43" t="str">
        <f t="shared" si="0"/>
        <v/>
      </c>
      <c r="H21" s="44" t="str">
        <f t="shared" si="1"/>
        <v/>
      </c>
      <c r="I21" s="172"/>
      <c r="J21" s="173"/>
      <c r="K21" s="173"/>
      <c r="L21" s="42"/>
      <c r="M21" s="43" t="str">
        <f t="shared" si="2"/>
        <v/>
      </c>
      <c r="N21" s="44" t="str">
        <f t="shared" si="3"/>
        <v/>
      </c>
      <c r="O21" s="172"/>
      <c r="P21" s="173"/>
      <c r="Q21" s="173"/>
      <c r="R21" s="42"/>
      <c r="S21" s="43" t="str">
        <f t="shared" si="4"/>
        <v/>
      </c>
      <c r="T21" s="44" t="str">
        <f t="shared" si="5"/>
        <v/>
      </c>
      <c r="U21" s="45"/>
      <c r="V21" s="46" t="str">
        <f t="shared" si="6"/>
        <v/>
      </c>
      <c r="W21" s="7"/>
      <c r="Z21" t="str">
        <f t="shared" si="7"/>
        <v/>
      </c>
      <c r="AB21" t="str">
        <f>IF(COUNT(V13:V22)=8,((MAX(V13:V20))-(MIN(Z13:Z20))),AB20)</f>
        <v/>
      </c>
      <c r="AC21" s="40" t="str">
        <f t="shared" si="8"/>
        <v/>
      </c>
      <c r="AD21" s="40" t="e">
        <f t="shared" si="9"/>
        <v>#DIV/0!</v>
      </c>
      <c r="AE21" s="40" t="str">
        <f t="shared" si="10"/>
        <v/>
      </c>
      <c r="AF21" s="40" t="e">
        <f t="shared" si="11"/>
        <v>#DIV/0!</v>
      </c>
      <c r="AG21" s="40" t="str">
        <f t="shared" si="12"/>
        <v/>
      </c>
      <c r="AH21" s="40" t="e">
        <f t="shared" si="13"/>
        <v>#DIV/0!</v>
      </c>
      <c r="AI21" s="40" t="str">
        <f t="shared" si="14"/>
        <v/>
      </c>
      <c r="AJ21" s="40">
        <f t="shared" si="15"/>
        <v>0</v>
      </c>
      <c r="AK21" s="40" t="str">
        <f t="shared" si="16"/>
        <v/>
      </c>
      <c r="AL21" s="40">
        <f t="shared" si="17"/>
        <v>0</v>
      </c>
      <c r="AM21" s="40" t="str">
        <f t="shared" si="18"/>
        <v/>
      </c>
      <c r="AN21" s="40">
        <f t="shared" si="19"/>
        <v>0</v>
      </c>
      <c r="AO21" s="40" t="e">
        <f t="shared" si="20"/>
        <v>#DIV/0!</v>
      </c>
      <c r="AP21" s="40" t="e">
        <f t="shared" si="21"/>
        <v>#DIV/0!</v>
      </c>
    </row>
    <row r="22" spans="1:42" ht="16" customHeight="1" thickBot="1">
      <c r="A22" s="4"/>
      <c r="B22" s="41">
        <v>10</v>
      </c>
      <c r="C22" s="172"/>
      <c r="D22" s="173"/>
      <c r="E22" s="173"/>
      <c r="F22" s="42"/>
      <c r="G22" s="43" t="str">
        <f t="shared" si="0"/>
        <v/>
      </c>
      <c r="H22" s="44" t="str">
        <f t="shared" si="1"/>
        <v/>
      </c>
      <c r="I22" s="172"/>
      <c r="J22" s="173"/>
      <c r="K22" s="173"/>
      <c r="L22" s="42"/>
      <c r="M22" s="43" t="str">
        <f t="shared" si="2"/>
        <v/>
      </c>
      <c r="N22" s="44" t="str">
        <f t="shared" si="3"/>
        <v/>
      </c>
      <c r="O22" s="172"/>
      <c r="P22" s="173"/>
      <c r="Q22" s="173"/>
      <c r="R22" s="42"/>
      <c r="S22" s="43" t="str">
        <f t="shared" si="4"/>
        <v/>
      </c>
      <c r="T22" s="44" t="str">
        <f t="shared" si="5"/>
        <v/>
      </c>
      <c r="U22" s="47"/>
      <c r="V22" s="48" t="str">
        <f t="shared" si="6"/>
        <v/>
      </c>
      <c r="W22" s="7"/>
      <c r="Z22" t="str">
        <f t="shared" si="7"/>
        <v/>
      </c>
      <c r="AB22" t="str">
        <f>IF(COUNT(V13:V22)=7,((MAX(V13:V19))-(MIN(Z13:Z19))),AB21)</f>
        <v/>
      </c>
      <c r="AC22" s="40" t="str">
        <f t="shared" si="8"/>
        <v/>
      </c>
      <c r="AD22" s="40" t="e">
        <f t="shared" si="9"/>
        <v>#DIV/0!</v>
      </c>
      <c r="AE22" s="40" t="str">
        <f t="shared" si="10"/>
        <v/>
      </c>
      <c r="AF22" s="40" t="e">
        <f t="shared" si="11"/>
        <v>#DIV/0!</v>
      </c>
      <c r="AG22" s="40" t="str">
        <f t="shared" si="12"/>
        <v/>
      </c>
      <c r="AH22" s="40" t="e">
        <f t="shared" si="13"/>
        <v>#DIV/0!</v>
      </c>
      <c r="AI22" s="40" t="str">
        <f t="shared" si="14"/>
        <v/>
      </c>
      <c r="AJ22" s="40">
        <f t="shared" si="15"/>
        <v>0</v>
      </c>
      <c r="AK22" s="40" t="str">
        <f t="shared" si="16"/>
        <v/>
      </c>
      <c r="AL22" s="40">
        <f t="shared" si="17"/>
        <v>0</v>
      </c>
      <c r="AM22" s="40" t="str">
        <f t="shared" si="18"/>
        <v/>
      </c>
      <c r="AN22" s="40">
        <f t="shared" si="19"/>
        <v>0</v>
      </c>
      <c r="AO22" s="40" t="e">
        <f t="shared" si="20"/>
        <v>#DIV/0!</v>
      </c>
      <c r="AP22" s="40" t="e">
        <f t="shared" si="21"/>
        <v>#DIV/0!</v>
      </c>
    </row>
    <row r="23" spans="1:42" ht="16" customHeight="1" thickTop="1">
      <c r="A23" s="4"/>
      <c r="B23" s="49" t="s">
        <v>17</v>
      </c>
      <c r="C23" s="50"/>
      <c r="D23" s="50"/>
      <c r="E23" s="50"/>
      <c r="F23" s="51" t="s">
        <v>55</v>
      </c>
      <c r="G23" s="52" t="str">
        <f>IF(AND((COUNT(G13:G22)&gt;4),((COUNT(C13:C22)+COUNT(D13:D22))=(COUNT(I13:I22)+COUNT(J13:J22)))),AC23," ")</f>
        <v xml:space="preserve"> </v>
      </c>
      <c r="H23" s="53"/>
      <c r="I23" s="50"/>
      <c r="J23" s="50"/>
      <c r="K23" s="50"/>
      <c r="L23" s="51" t="s">
        <v>56</v>
      </c>
      <c r="M23" s="52" t="str">
        <f>IF(AND((COUNT(M13:M22)&gt;4),((COUNT(C13:C22)+COUNT(D13:D22))=(COUNT(I13:I22)+COUNT(J13:J22)))),AD23," ")</f>
        <v xml:space="preserve"> </v>
      </c>
      <c r="N23" s="50"/>
      <c r="O23" s="50"/>
      <c r="P23" s="50"/>
      <c r="Q23" s="50"/>
      <c r="R23" s="51" t="s">
        <v>57</v>
      </c>
      <c r="S23" s="52" t="str">
        <f>IF(AND((COUNT(S13:S22)&gt;4),((COUNT(I13:I22)+COUNT(J13:J22))=(COUNT(O13:O22)+COUNT(P13:P22)))),AE23," ")</f>
        <v xml:space="preserve"> </v>
      </c>
      <c r="T23" s="54"/>
      <c r="U23" s="55" t="s">
        <v>18</v>
      </c>
      <c r="V23" s="56" t="str">
        <f>IF(COUNT(V13:V22)&gt;4,SUM(V13:V22)/COUNT(V13:V22)," ")</f>
        <v xml:space="preserve"> </v>
      </c>
      <c r="W23" s="7"/>
      <c r="AB23" t="str">
        <f>IF(COUNT(V13:V22)=6,((MAX(V13:V18))-(MIN(Z13:Z18))),AB22)</f>
        <v/>
      </c>
      <c r="AC23" t="e">
        <f>IF(AND(COUNT(E$13:E$22,K$13:K$22,Q$13:Q$22)&gt;0,COUNT($E$13:$E$22)&lt;(COUNT($D$13:$D$22)+COUNT($C$13:$C$22))/2),"ERR",SUM(G13:G22)/COUNT(G13:G22))</f>
        <v>#DIV/0!</v>
      </c>
      <c r="AD23" t="e">
        <f>IF(AND(COUNT(E$13:E$22,K$13:K$22,Q$13:Q$22)&gt;0,COUNT($K$13:$K$22)&lt;(COUNT($I$13:$I$22)+COUNT($J$13:$J$22))/2),"ERR",SUM(M13:M22)/COUNT(M13:M22))</f>
        <v>#DIV/0!</v>
      </c>
      <c r="AE23" t="e">
        <f>IF(AND(COUNT(E$13:E$22,K$13:K$22,Q$13:Q$22)&gt;0,COUNT($Q$13:$Q$22)&lt;(COUNT($O$13:$O$22)+COUNT($P$13:$P$22))/2),"ERR",SUM(S13:S22)/COUNT(S13:S22))</f>
        <v>#DIV/0!</v>
      </c>
    </row>
    <row r="24" spans="1:42" ht="16" customHeight="1">
      <c r="A24" s="4"/>
      <c r="B24" s="57" t="s">
        <v>19</v>
      </c>
      <c r="C24" s="58"/>
      <c r="D24" s="58"/>
      <c r="E24" s="58"/>
      <c r="F24" s="59" t="s">
        <v>58</v>
      </c>
      <c r="G24" s="60"/>
      <c r="H24" s="61" t="str">
        <f>IF(AND((COUNT(H13:H22)&gt;4),((COUNT(C13:C22)+COUNT(D13:D22))=(COUNT(I13:I22)+COUNT(J13:J22)))),AC24," ")</f>
        <v xml:space="preserve"> </v>
      </c>
      <c r="I24" s="186" t="s">
        <v>132</v>
      </c>
      <c r="J24" s="58"/>
      <c r="K24" s="58"/>
      <c r="L24" s="59" t="s">
        <v>59</v>
      </c>
      <c r="M24" s="60"/>
      <c r="N24" s="61" t="str">
        <f>IF(AND((COUNT(N13:N22)&gt;4),((COUNT(C13:C22)+COUNT(D13:D22))=(COUNT(I13:I22)+COUNT(J13:J22)))),AD24," ")</f>
        <v xml:space="preserve"> </v>
      </c>
      <c r="O24" s="58"/>
      <c r="P24" s="58"/>
      <c r="Q24" s="58"/>
      <c r="R24" s="59" t="s">
        <v>60</v>
      </c>
      <c r="S24" s="62"/>
      <c r="T24" s="61" t="str">
        <f>IF(AND((COUNT(T13:T22)&gt;4),((COUNT(I13:I22)+COUNT(J13:J22))=(COUNT(O13:O22)+COUNT(P13:P22)))),AE24," ")</f>
        <v xml:space="preserve"> </v>
      </c>
      <c r="U24" s="63"/>
      <c r="V24" s="64"/>
      <c r="W24" s="7"/>
      <c r="AB24" t="str">
        <f>IF(COUNT(V13:V22)=5,((MAX(V13:V17))-(MIN(Z13:Z17))),AB23)</f>
        <v/>
      </c>
      <c r="AC24" t="e">
        <f>IF(AND(COUNT(E$13:E$22,K$13:K$22,Q$13:Q$22)&gt;0,COUNT($E$13:$E$22)&lt;(COUNT($D$13:$D$22)+COUNT($C$13:$C$22))/2),"ERR",SUM(H13:H22)/COUNT(H13:H22))</f>
        <v>#DIV/0!</v>
      </c>
      <c r="AD24" t="e">
        <f>IF(AND(COUNT(E$13:E$22,K$13:K$22,Q$13:Q$22)&gt;0,COUNT($K$13:$K$22)&lt;(COUNT($I$13:$I$22)+COUNT($J$13:$J$22))/2),"ERR",SUM(N13:N22)/COUNT(N13:N22))</f>
        <v>#DIV/0!</v>
      </c>
      <c r="AE24" t="e">
        <f>IF(AND(COUNT(E$13:E$22,K$13:K$22,Q$13:Q$22)&gt;0,COUNT($Q$13:$Q$22)&lt;(COUNT($O$13:$O$22)+COUNT($P$13:$P$22))/2),"ERR",SUM(T13:T22)/COUNT(T13:T22))</f>
        <v>#DIV/0!</v>
      </c>
    </row>
    <row r="25" spans="1:42" ht="16" customHeight="1">
      <c r="A25" s="4"/>
      <c r="B25" s="65" t="s">
        <v>61</v>
      </c>
      <c r="C25" s="66" t="s">
        <v>20</v>
      </c>
      <c r="D25" s="67"/>
      <c r="E25" s="67"/>
      <c r="F25" s="68"/>
      <c r="G25" s="69"/>
      <c r="H25" s="70" t="str">
        <f>IF(AND((COUNT(H24,N24,T24)&gt;1),(COUNT(H13:H22)=COUNT(N13:N22))),AA25," ")</f>
        <v xml:space="preserve"> </v>
      </c>
      <c r="I25" s="187" t="s">
        <v>133</v>
      </c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71" t="s">
        <v>62</v>
      </c>
      <c r="V25" s="72" t="str">
        <f>AB25</f>
        <v/>
      </c>
      <c r="W25" s="7"/>
      <c r="AA25" s="40" t="e">
        <f>IF(COUNT(H24,N24,T24)=3,(H24+N24+T24)/3,(H24+N24)/2)</f>
        <v>#VALUE!</v>
      </c>
      <c r="AB25" t="str">
        <f>IF(COUNT(V13:V22)&lt;5,"",AB24)</f>
        <v/>
      </c>
    </row>
    <row r="26" spans="1:42" ht="16" customHeight="1">
      <c r="A26" s="4"/>
      <c r="B26" s="73" t="s">
        <v>63</v>
      </c>
      <c r="C26" s="74" t="s">
        <v>64</v>
      </c>
      <c r="D26" s="75"/>
      <c r="E26" s="75"/>
      <c r="F26" s="76"/>
      <c r="G26" s="77"/>
      <c r="H26" s="78" t="str">
        <f>IF(COUNT(G23,M23,S23)=3,(MAX(G23,M23,S23)-MIN(G23,M23,S23)),Z26)</f>
        <v/>
      </c>
      <c r="I26" s="188" t="s">
        <v>134</v>
      </c>
      <c r="J26" s="75"/>
      <c r="K26" s="77"/>
      <c r="L26" s="75"/>
      <c r="M26" s="75"/>
      <c r="N26" s="75"/>
      <c r="O26" s="75"/>
      <c r="P26" s="75"/>
      <c r="Q26" s="75"/>
      <c r="R26" s="75"/>
      <c r="S26" s="75"/>
      <c r="T26" s="75"/>
      <c r="U26" s="79"/>
      <c r="V26" s="80"/>
      <c r="W26" s="7"/>
      <c r="Z26" t="str">
        <f>IF(COUNT(G23,M23,S23)=2,(MAX(G23,M23)-MIN(G23,M23)),"")</f>
        <v/>
      </c>
    </row>
    <row r="27" spans="1:42" ht="16" customHeight="1">
      <c r="A27" s="4"/>
      <c r="B27" s="81" t="s">
        <v>65</v>
      </c>
      <c r="C27" s="74" t="s">
        <v>21</v>
      </c>
      <c r="D27" s="82" t="s">
        <v>66</v>
      </c>
      <c r="E27" s="75">
        <v>3.27</v>
      </c>
      <c r="F27" s="83" t="s">
        <v>22</v>
      </c>
      <c r="G27" s="84">
        <v>2.58</v>
      </c>
      <c r="H27" s="85" t="s">
        <v>23</v>
      </c>
      <c r="I27" s="75"/>
      <c r="J27" s="75"/>
      <c r="K27" s="78" t="str">
        <f>IF(AND((COUNT(H24,N24,T24)&gt;1),((COUNT(C13:C22)+COUNT(D13:D22))=(COUNT(I13:I22)+COUNT(J13:J22)))),AA27," ")</f>
        <v xml:space="preserve"> </v>
      </c>
      <c r="L27" s="75"/>
      <c r="M27" s="75"/>
      <c r="N27" s="75"/>
      <c r="O27" s="75"/>
      <c r="P27" s="75"/>
      <c r="Q27" s="75"/>
      <c r="R27" s="75"/>
      <c r="S27" s="75"/>
      <c r="T27" s="75"/>
      <c r="U27" s="79"/>
      <c r="V27" s="80"/>
      <c r="W27" s="7"/>
      <c r="AA27" t="e">
        <f>IF(AND(COUNT(E13:E22)&gt;4,((COUNT(C13:C22)+COUNT(D13:D22)+COUNT(E13:E22))=(COUNT(I13:I22)+COUNT(J13:J22)+COUNT(K13:K22)))),H25*G27,H25*E27)</f>
        <v>#VALUE!</v>
      </c>
    </row>
    <row r="28" spans="1:42" ht="16" customHeight="1" thickBot="1">
      <c r="A28" s="4"/>
      <c r="B28" s="86" t="s">
        <v>67</v>
      </c>
      <c r="C28" s="87" t="s">
        <v>68</v>
      </c>
      <c r="D28" s="88" t="s">
        <v>69</v>
      </c>
      <c r="E28" s="89">
        <v>0</v>
      </c>
      <c r="F28" s="90" t="s">
        <v>24</v>
      </c>
      <c r="G28" s="91"/>
      <c r="H28" s="91"/>
      <c r="I28" s="92"/>
      <c r="J28" s="89"/>
      <c r="K28" s="93" t="str">
        <f>IF(AND((COUNT(H24,N24,T24)&gt;1),((COUNT(C13:C22)+COUNT(D13:D22))=(COUNT(I13:I22)+COUNT(J13:J22)))),H25*E28," ")</f>
        <v xml:space="preserve"> </v>
      </c>
      <c r="L28" s="89"/>
      <c r="M28" s="89"/>
      <c r="N28" s="89"/>
      <c r="O28" s="89"/>
      <c r="P28" s="89"/>
      <c r="Q28" s="89"/>
      <c r="R28" s="89"/>
      <c r="S28" s="89"/>
      <c r="T28" s="89"/>
      <c r="U28" s="94"/>
      <c r="V28" s="95"/>
      <c r="W28" s="7"/>
    </row>
    <row r="29" spans="1:42" ht="15" customHeight="1" thickTop="1" thickBot="1">
      <c r="A29" s="4"/>
      <c r="B29" s="96"/>
      <c r="C29" s="97"/>
      <c r="D29" s="98"/>
      <c r="E29" s="98"/>
      <c r="F29" s="98"/>
      <c r="G29" s="99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40"/>
      <c r="W29" s="7"/>
      <c r="Z29" s="76" t="s">
        <v>25</v>
      </c>
      <c r="AA29" s="76" t="s">
        <v>26</v>
      </c>
    </row>
    <row r="30" spans="1:42" ht="15" customHeight="1" thickBot="1">
      <c r="A30" s="4"/>
      <c r="B30" s="100" t="s">
        <v>70</v>
      </c>
      <c r="C30" s="101"/>
      <c r="D30" s="102"/>
      <c r="E30" s="101"/>
      <c r="F30" s="101"/>
      <c r="G30" s="101"/>
      <c r="H30" s="101"/>
      <c r="I30" s="177"/>
      <c r="K30" s="101" t="s">
        <v>71</v>
      </c>
      <c r="M30" s="101"/>
      <c r="N30" s="103"/>
      <c r="P30" s="104" t="s">
        <v>72</v>
      </c>
      <c r="Q30" s="105" t="str">
        <f>IF(AND((COUNT(H24,N24,T24)&gt;1),((COUNT(C13:C22)+COUNT(D13:D22))=(COUNT(I13:I22)+COUNT(J13:J22)))),AB30," ")</f>
        <v xml:space="preserve"> </v>
      </c>
      <c r="W30" s="7"/>
      <c r="AB30" t="e">
        <f>IF(AND(COUNT(E13:E22)&gt;4,((COUNT(C13:C22)+COUNT(D13:D22)+COUNT(E13:E22))=(COUNT(I13:I22)+COUNT(J13:J22)+COUNT(K13:K22)))),H25*O31,H25*M31)</f>
        <v>#VALUE!</v>
      </c>
    </row>
    <row r="31" spans="1:42" ht="15" customHeight="1" thickBot="1">
      <c r="A31" s="4"/>
      <c r="B31" s="151" t="s">
        <v>137</v>
      </c>
      <c r="C31" s="101"/>
      <c r="E31" s="101"/>
      <c r="F31" s="101"/>
      <c r="G31" s="101"/>
      <c r="H31" s="101"/>
      <c r="I31" s="191"/>
      <c r="K31" s="101"/>
      <c r="L31" s="106" t="s">
        <v>73</v>
      </c>
      <c r="M31" s="107">
        <v>0.88619999999999999</v>
      </c>
      <c r="N31" s="107" t="s">
        <v>22</v>
      </c>
      <c r="O31" s="107">
        <v>0.59079999999999999</v>
      </c>
      <c r="P31" s="104" t="s">
        <v>27</v>
      </c>
      <c r="W31" s="7"/>
      <c r="X31">
        <f>5.5*0.2225/1.4</f>
        <v>0.87410714285714297</v>
      </c>
      <c r="Z31" s="40"/>
      <c r="AA31" s="108"/>
    </row>
    <row r="32" spans="1:42" ht="15" customHeight="1">
      <c r="A32" s="4"/>
      <c r="B32" s="100"/>
      <c r="C32" s="101"/>
      <c r="D32" s="102"/>
      <c r="F32" s="101"/>
      <c r="G32" s="101"/>
      <c r="H32" s="101"/>
      <c r="I32" s="101"/>
      <c r="J32" s="101"/>
      <c r="K32" s="101"/>
      <c r="W32" s="7"/>
      <c r="Z32" s="40"/>
      <c r="AA32" s="108" t="str">
        <f>IF(Z32=0," "," ")</f>
        <v xml:space="preserve"> </v>
      </c>
    </row>
    <row r="33" spans="1:33" ht="15" customHeight="1" thickBot="1">
      <c r="A33" s="4"/>
      <c r="B33" s="100"/>
      <c r="C33" s="101"/>
      <c r="D33" s="102"/>
      <c r="E33" s="101"/>
      <c r="F33" s="101"/>
      <c r="G33" s="101"/>
      <c r="H33" s="101"/>
      <c r="I33" s="101"/>
      <c r="J33" s="101" t="s">
        <v>74</v>
      </c>
      <c r="M33" s="101"/>
      <c r="N33" s="109"/>
      <c r="O33" s="104"/>
      <c r="P33" s="104"/>
      <c r="Q33" s="104"/>
      <c r="S33" s="110" t="s">
        <v>28</v>
      </c>
      <c r="W33" s="7"/>
      <c r="Z33" s="40">
        <v>4</v>
      </c>
      <c r="AA33" s="108" t="str">
        <f>IF(AND((COUNT(H24,N24,T24)&gt;1),COUNT($G$13:$G$22)&lt;5),"",AA32)</f>
        <v xml:space="preserve"> </v>
      </c>
    </row>
    <row r="34" spans="1:33" ht="15" customHeight="1" thickTop="1">
      <c r="A34" s="4"/>
      <c r="B34" s="100" t="s">
        <v>75</v>
      </c>
      <c r="C34" s="101"/>
      <c r="D34" s="102"/>
      <c r="E34" s="104"/>
      <c r="F34" s="104"/>
      <c r="G34" s="104"/>
      <c r="H34" s="101"/>
      <c r="K34" s="104" t="s">
        <v>29</v>
      </c>
      <c r="L34" s="104"/>
      <c r="M34" s="83"/>
      <c r="N34" s="111"/>
      <c r="O34" s="104"/>
      <c r="P34" s="104"/>
      <c r="Q34" s="104"/>
      <c r="S34" s="112"/>
      <c r="T34" s="113" t="s">
        <v>30</v>
      </c>
      <c r="U34" s="114" t="s">
        <v>31</v>
      </c>
      <c r="V34" s="115"/>
      <c r="W34" s="7"/>
      <c r="Z34" s="40">
        <v>5</v>
      </c>
      <c r="AA34" s="108" t="str">
        <f>IF(AND((COUNT(H24,N24,T24)&gt;1),COUNT($G$13:$G$22)=5),$V$25*$I39,AA33)</f>
        <v xml:space="preserve"> </v>
      </c>
    </row>
    <row r="35" spans="1:33" ht="15" customHeight="1" thickBot="1">
      <c r="A35" s="4"/>
      <c r="B35" s="100"/>
      <c r="D35" s="102"/>
      <c r="E35" s="104"/>
      <c r="F35" s="104"/>
      <c r="G35" s="104"/>
      <c r="H35" s="116"/>
      <c r="I35" s="116"/>
      <c r="J35" s="103"/>
      <c r="K35" s="104"/>
      <c r="L35" s="104"/>
      <c r="M35" s="117" t="s">
        <v>76</v>
      </c>
      <c r="N35" s="78" t="str">
        <f>IF(AND((COUNT(H24,N24,T24)&gt;1),((COUNT(C13:C22)+COUNT(D13:D22))=(COUNT(I13:I22)+COUNT(J13:J22)))),AC35," ")</f>
        <v xml:space="preserve"> </v>
      </c>
      <c r="O35" s="111"/>
      <c r="P35" s="104"/>
      <c r="Q35" s="104"/>
      <c r="R35" s="104"/>
      <c r="S35" s="118"/>
      <c r="T35" s="119" t="s">
        <v>32</v>
      </c>
      <c r="U35" s="120" t="s">
        <v>33</v>
      </c>
      <c r="V35" s="121"/>
      <c r="W35" s="7"/>
      <c r="Z35" s="40">
        <v>6</v>
      </c>
      <c r="AA35" s="108" t="str">
        <f>IF(AND((COUNT(H24,N24,T24)&gt;1),COUNT($G$13:$G$22)=6),$V$25*$I40,AA34)</f>
        <v xml:space="preserve"> </v>
      </c>
      <c r="AC35" s="40" t="e">
        <f>IF(AND(COUNT(S13:S22)&gt;4,(COUNT(I13:I22)+COUNT(J13:J22)+COUNT(K13:K22))=(COUNT(O13:O22)+COUNT(P13:P22)+COUNT(Q13:Q22))),AD35,AE35)</f>
        <v>#VALUE!</v>
      </c>
      <c r="AD35" s="40" t="e">
        <f>IF(((Q30*Q30)/(COUNT(S13:S22)*COUNT(O13:Q13)))&gt;=((H26*O36)*(H26*O36)),0,SQRT(((H26*O36)*(H26*O36))-((Q30*Q30)/(COUNT(S13:S22)*COUNT(O13:Q13)))))</f>
        <v>#VALUE!</v>
      </c>
      <c r="AE35" s="40" t="e">
        <f>IF(((Q30*Q30)/(COUNT(M13:M22)*COUNT(I13:K13)))&gt;=((H26*M36)*(H26*M36)),0,SQRT(((H26*M36)*(H26*M36))-((Q30*Q30)/(COUNT(M13:M22)*COUNT(I13:K13)))))</f>
        <v>#VALUE!</v>
      </c>
    </row>
    <row r="36" spans="1:33" ht="15" customHeight="1" thickTop="1">
      <c r="A36" s="4"/>
      <c r="B36" s="100"/>
      <c r="C36" t="s">
        <v>34</v>
      </c>
      <c r="D36" s="102"/>
      <c r="E36" s="104"/>
      <c r="F36" s="104"/>
      <c r="G36" s="104"/>
      <c r="H36" s="75"/>
      <c r="I36" s="83"/>
      <c r="K36" s="104"/>
      <c r="L36" s="106" t="s">
        <v>77</v>
      </c>
      <c r="M36" s="107">
        <v>0.70709999999999995</v>
      </c>
      <c r="N36" s="107" t="s">
        <v>22</v>
      </c>
      <c r="O36" s="122">
        <v>0.52310000000000001</v>
      </c>
      <c r="P36" s="104" t="s">
        <v>35</v>
      </c>
      <c r="S36" s="112"/>
      <c r="T36" s="123"/>
      <c r="U36" s="124"/>
      <c r="V36" s="16"/>
      <c r="W36" s="7"/>
      <c r="Z36" s="40">
        <v>7</v>
      </c>
      <c r="AA36" s="108" t="str">
        <f>IF(AND((COUNT(H24,N24,T24)&gt;1),COUNT($G$13:$G$22)=7),$V$25*$I41,AA35)</f>
        <v xml:space="preserve"> </v>
      </c>
      <c r="AE36" s="189" t="s">
        <v>136</v>
      </c>
      <c r="AF36" s="189"/>
      <c r="AG36" s="189"/>
    </row>
    <row r="37" spans="1:33" ht="15" customHeight="1" thickBot="1">
      <c r="A37" s="4"/>
      <c r="B37" s="100"/>
      <c r="C37" s="125"/>
      <c r="F37" s="101"/>
      <c r="H37" s="126"/>
      <c r="I37" s="127"/>
      <c r="K37" s="104"/>
      <c r="L37" t="s">
        <v>36</v>
      </c>
      <c r="M37" s="107"/>
      <c r="N37" s="107"/>
      <c r="O37" s="128"/>
      <c r="P37" s="129"/>
      <c r="S37" s="71" t="s">
        <v>37</v>
      </c>
      <c r="T37" s="130" t="str">
        <f>IF(AND((COUNT(H24,N24,T24)&gt;1),((COUNT(C13:C22)+COUNT(D13:D22))=(COUNT(I13:I22)+COUNT(J13:J22)))),AC37," ")</f>
        <v xml:space="preserve"> </v>
      </c>
      <c r="U37" s="131"/>
      <c r="V37" s="132" t="str">
        <f>IF(AND((COUNT(H24,N24,T24)&gt;1),((COUNT(C13:C22)+COUNT(D13:D22))=(COUNT(I13:I22)+COUNT(J13:J22)))),(Q30/D39)*100," ")</f>
        <v xml:space="preserve"> </v>
      </c>
      <c r="W37" s="7"/>
      <c r="Z37" s="40">
        <v>8</v>
      </c>
      <c r="AA37" s="108" t="str">
        <f>IF(AND((COUNT(H24,N24,T24)&gt;1),COUNT($G$13:$G$22)=8),$V$25*$I42,AA36)</f>
        <v xml:space="preserve"> </v>
      </c>
      <c r="AC37" t="str">
        <f>IF(I30&gt;0,(6*Q30/I30)*100," ")</f>
        <v xml:space="preserve"> </v>
      </c>
      <c r="AE37" s="190" t="s">
        <v>135</v>
      </c>
      <c r="AF37" s="189"/>
      <c r="AG37" s="189"/>
    </row>
    <row r="38" spans="1:33" ht="15" customHeight="1" thickBot="1">
      <c r="A38" s="4"/>
      <c r="B38" s="100"/>
      <c r="C38" s="101"/>
      <c r="F38" s="101"/>
      <c r="H38" s="133" t="s">
        <v>38</v>
      </c>
      <c r="I38" s="134" t="s">
        <v>78</v>
      </c>
      <c r="K38" s="101"/>
      <c r="S38" s="71"/>
      <c r="T38" s="130"/>
      <c r="U38" s="131"/>
      <c r="V38" s="132"/>
      <c r="W38" s="7"/>
      <c r="Z38" s="40">
        <v>9</v>
      </c>
      <c r="AA38" s="108" t="str">
        <f>IF(AND((COUNT(H24,N24,T24)&gt;1),COUNT($G$13:$G$22)=9),$V$25*$I43,AA37)</f>
        <v xml:space="preserve"> </v>
      </c>
    </row>
    <row r="39" spans="1:33" ht="15" customHeight="1">
      <c r="A39" s="4"/>
      <c r="B39" s="100"/>
      <c r="C39" s="100" t="s">
        <v>39</v>
      </c>
      <c r="D39" s="78" t="str">
        <f>IF(AND((COUNT(H24,N24,T24)&gt;1),((COUNT(C13:C22)+COUNT(D13:D22))=(COUNT(I13:I22)+COUNT(J13:J22)))),SQRT((O41*O41)+(O43*O43))," ")</f>
        <v xml:space="preserve"> </v>
      </c>
      <c r="E39" s="101"/>
      <c r="H39" s="135">
        <v>5</v>
      </c>
      <c r="I39" s="136">
        <v>0.40300000000000002</v>
      </c>
      <c r="K39" s="101" t="s">
        <v>40</v>
      </c>
      <c r="N39" s="137"/>
      <c r="O39" s="83"/>
      <c r="P39" s="111"/>
      <c r="Q39" s="104"/>
      <c r="R39" s="104"/>
      <c r="S39" s="71" t="s">
        <v>41</v>
      </c>
      <c r="T39" s="130" t="str">
        <f>IF(AND((COUNT(H24,N24,T24)&gt;1),((COUNT(C13:C22)+COUNT(D13:D22))=(COUNT(I13:I22)+COUNT(J13:J22)))),AC39," ")</f>
        <v xml:space="preserve"> </v>
      </c>
      <c r="U39" s="131"/>
      <c r="V39" s="132" t="str">
        <f>IF(AND((COUNT(H24,N24,T24)&gt;1),((COUNT(C13:C22)+COUNT(D13:D22))=(COUNT(I13:I22)+COUNT(J13:J22)))),(N35/D39)*100," ")</f>
        <v xml:space="preserve"> </v>
      </c>
      <c r="W39" s="7"/>
      <c r="Z39" s="40">
        <v>10</v>
      </c>
      <c r="AA39" s="108" t="str">
        <f>IF(AND((COUNT(H24,N24,T24)&gt;1),COUNT($G$13:$G$22)=10),$V$25*$I44,AA38)</f>
        <v xml:space="preserve"> </v>
      </c>
      <c r="AC39" t="str">
        <f>IF(AND((COUNT(H24,N24,T24)=2),(I30&gt;0)),(6*N35/I30)*100,AD39)</f>
        <v/>
      </c>
      <c r="AD39" t="str">
        <f>IF(AND((COUNT(H24,N24,T24)=3),(I30&gt;0)),(6*N35/I30)*100,"")</f>
        <v/>
      </c>
    </row>
    <row r="40" spans="1:33" ht="15" customHeight="1">
      <c r="A40" s="4"/>
      <c r="B40" s="100"/>
      <c r="F40" s="101"/>
      <c r="G40" s="101"/>
      <c r="H40" s="135">
        <v>6</v>
      </c>
      <c r="I40" s="136">
        <v>0.37419999999999998</v>
      </c>
      <c r="K40" s="138"/>
      <c r="L40" s="101"/>
      <c r="N40" s="137"/>
      <c r="O40" s="83"/>
      <c r="P40" s="111"/>
      <c r="Q40" s="104"/>
      <c r="R40" s="104"/>
      <c r="S40" s="71"/>
      <c r="T40" s="130"/>
      <c r="U40" s="131"/>
      <c r="V40" s="132"/>
      <c r="W40" s="7"/>
    </row>
    <row r="41" spans="1:33" ht="15" customHeight="1">
      <c r="A41" s="4"/>
      <c r="C41" s="101"/>
      <c r="D41" s="102"/>
      <c r="E41" s="101"/>
      <c r="F41" s="101"/>
      <c r="G41" s="101"/>
      <c r="H41" s="135">
        <v>7</v>
      </c>
      <c r="I41" s="136">
        <v>0.35339999999999999</v>
      </c>
      <c r="K41" s="101"/>
      <c r="N41" s="139" t="s">
        <v>42</v>
      </c>
      <c r="O41" s="78" t="str">
        <f>IF(AND((COUNT(H24,N24,T24)&gt;1),((COUNT(C13:C22)+COUNT(D13:D22))=(COUNT(I13:I22)+COUNT(J13:J22)))),SQRT((Q30*Q30)+(N35*N35))," ")</f>
        <v xml:space="preserve"> </v>
      </c>
      <c r="Q41" s="104"/>
      <c r="R41" s="104"/>
      <c r="S41" s="71" t="s">
        <v>43</v>
      </c>
      <c r="T41" s="130" t="str">
        <f>IF(AND((COUNT(H24,N24,T24)&gt;1),((COUNT(C13:C22)+COUNT(D13:D22))=(COUNT(I13:I22)+COUNT(J13:J22)))),AC41," ")</f>
        <v xml:space="preserve"> </v>
      </c>
      <c r="U41" s="131"/>
      <c r="V41" s="132" t="str">
        <f>IF(AND((COUNT(H24,N24,T24)&gt;1),((COUNT(C13:C22)+COUNT(D13:D22))=(COUNT(I13:I22)+COUNT(J13:J22)))),(O43/D39)*100," ")</f>
        <v xml:space="preserve"> </v>
      </c>
      <c r="W41" s="7"/>
      <c r="AC41" t="str">
        <f>IF(I30&gt;0,(6*O43/I30)*100," ")</f>
        <v xml:space="preserve"> </v>
      </c>
    </row>
    <row r="42" spans="1:33" ht="15" customHeight="1">
      <c r="A42" s="4"/>
      <c r="C42" s="101"/>
      <c r="D42" s="102"/>
      <c r="E42" s="140"/>
      <c r="F42" s="140"/>
      <c r="G42" s="101"/>
      <c r="H42" s="135">
        <v>8</v>
      </c>
      <c r="I42" s="136">
        <v>0.33750000000000002</v>
      </c>
      <c r="O42" s="141"/>
      <c r="P42" s="104"/>
      <c r="Q42" s="104"/>
      <c r="R42" s="104"/>
      <c r="S42" s="71"/>
      <c r="T42" s="130"/>
      <c r="U42" s="131"/>
      <c r="V42" s="132"/>
      <c r="W42" s="7"/>
      <c r="AC42" t="str">
        <f>IF(I30&gt;0,(6*O41/I30)*100," ")</f>
        <v xml:space="preserve"> </v>
      </c>
    </row>
    <row r="43" spans="1:33" ht="15" customHeight="1">
      <c r="A43" s="4"/>
      <c r="C43" s="101"/>
      <c r="D43" s="102"/>
      <c r="E43" s="101"/>
      <c r="F43" s="101"/>
      <c r="G43" s="101"/>
      <c r="H43" s="142">
        <v>9</v>
      </c>
      <c r="I43" s="136">
        <v>0.32490000000000002</v>
      </c>
      <c r="K43" s="101" t="s">
        <v>79</v>
      </c>
      <c r="M43" s="137"/>
      <c r="N43" s="83" t="s">
        <v>80</v>
      </c>
      <c r="O43" s="78" t="str">
        <f>AA39</f>
        <v xml:space="preserve"> </v>
      </c>
      <c r="P43" s="104"/>
      <c r="Q43" s="104"/>
      <c r="R43" s="104"/>
      <c r="S43" s="71" t="s">
        <v>42</v>
      </c>
      <c r="T43" s="174" t="str">
        <f>IF(AND((COUNT(H24,N24,T24)&gt;1),((COUNT(C13:C22)+COUNT(D13:D22))=(COUNT(I13:I22)+COUNT(J13:J22)))),AC42," ")</f>
        <v xml:space="preserve"> </v>
      </c>
      <c r="U43" s="131"/>
      <c r="V43" s="132" t="str">
        <f>IF(AND((COUNT(H24,N24,T24)&gt;1),((COUNT(C13:C22)+COUNT(D13:D22))=(COUNT(I13:I22)+COUNT(J13:J22)))),(O41/D39)*100," ")</f>
        <v xml:space="preserve"> </v>
      </c>
      <c r="W43" s="7"/>
      <c r="Z43" t="str">
        <f>IF((T43)&lt;=10,"MEASUREMENT SYSTEM IS ACCEPTABLE",Z44)</f>
        <v>MEASUREMENT SYSTEM IS UNACCEPTABLE AND NEEDS IMPROVEMENT</v>
      </c>
    </row>
    <row r="44" spans="1:33" ht="15" customHeight="1" thickBot="1">
      <c r="A44" s="4"/>
      <c r="C44" s="101"/>
      <c r="D44" s="102"/>
      <c r="E44" s="104"/>
      <c r="F44" s="104"/>
      <c r="G44" s="83"/>
      <c r="H44" s="143">
        <v>10</v>
      </c>
      <c r="I44" s="144">
        <v>0.31459999999999999</v>
      </c>
      <c r="L44" t="s">
        <v>81</v>
      </c>
      <c r="Q44" s="104"/>
      <c r="R44" s="104"/>
      <c r="S44" s="145"/>
      <c r="T44" s="146"/>
      <c r="U44" s="147"/>
      <c r="V44" s="148"/>
      <c r="W44" s="7"/>
      <c r="Z44" t="str">
        <f>IF(T43&lt;=30,"MEASUREMENT SYSTEM IS MARGINAL","MEASUREMENT SYSTEM IS UNACCEPTABLE AND NEEDS IMPROVEMENT")</f>
        <v>MEASUREMENT SYSTEM IS UNACCEPTABLE AND NEEDS IMPROVEMENT</v>
      </c>
    </row>
    <row r="45" spans="1:33" ht="15" customHeight="1">
      <c r="A45" s="4"/>
      <c r="C45" s="101"/>
      <c r="D45" s="102"/>
      <c r="E45" s="101"/>
      <c r="F45" s="101"/>
      <c r="G45" s="101"/>
      <c r="O45" s="149"/>
      <c r="P45" s="104"/>
      <c r="Q45" s="150"/>
      <c r="R45" s="104"/>
      <c r="S45" s="104"/>
      <c r="T45" s="104"/>
      <c r="W45" s="7"/>
    </row>
    <row r="46" spans="1:33" ht="15" customHeight="1">
      <c r="A46" s="4"/>
      <c r="B46" s="151" t="s">
        <v>44</v>
      </c>
      <c r="C46" s="101"/>
      <c r="D46" s="102"/>
      <c r="E46" s="140"/>
      <c r="F46" s="140"/>
      <c r="G46" s="101"/>
      <c r="H46" s="101"/>
      <c r="I46" s="101"/>
      <c r="J46" s="101"/>
      <c r="K46" s="152"/>
      <c r="L46" s="153" t="s">
        <v>45</v>
      </c>
      <c r="M46" s="137"/>
      <c r="N46" s="83"/>
      <c r="O46" s="111"/>
      <c r="P46" s="104"/>
      <c r="Q46" s="104"/>
      <c r="R46" s="104"/>
      <c r="S46" s="104"/>
      <c r="T46" s="104"/>
      <c r="W46" s="7"/>
      <c r="Z46" t="str">
        <f>IF((V43)&lt;=10,"MEASUREMENT SYSTEM IS ACCEPTABLE",Z47)</f>
        <v>MEASUREMENT SYSTEM IS UNACCEPTABLE AND NEEDS IMPROVEMENT</v>
      </c>
    </row>
    <row r="47" spans="1:33" ht="15" customHeight="1">
      <c r="A47" s="4"/>
      <c r="B47" s="151" t="s">
        <v>46</v>
      </c>
      <c r="C47" s="101"/>
      <c r="D47" s="102"/>
      <c r="E47" s="101"/>
      <c r="F47" s="101"/>
      <c r="G47" s="101"/>
      <c r="H47" s="101"/>
      <c r="I47" s="101"/>
      <c r="K47" s="152"/>
      <c r="L47" s="101"/>
      <c r="M47" s="153" t="s">
        <v>47</v>
      </c>
      <c r="N47" s="154"/>
      <c r="O47" s="109"/>
      <c r="P47" s="109"/>
      <c r="Q47" s="104"/>
      <c r="R47" s="104"/>
      <c r="S47" s="104"/>
      <c r="T47" s="104"/>
      <c r="W47" s="7"/>
      <c r="Z47" t="str">
        <f>IF(V43&lt;=30,"MEASUREMENT SYSTEM IS MARGINAL","MEASUREMENT SYSTEM IS UNACCEPTABLE AND NEEDS IMPROVEMENT")</f>
        <v>MEASUREMENT SYSTEM IS UNACCEPTABLE AND NEEDS IMPROVEMENT</v>
      </c>
    </row>
    <row r="48" spans="1:33" ht="15" customHeight="1">
      <c r="A48" s="4"/>
      <c r="C48" s="101"/>
      <c r="D48" s="102"/>
      <c r="E48" s="101"/>
      <c r="F48" s="101"/>
      <c r="G48" s="101"/>
      <c r="H48" s="101"/>
      <c r="I48" s="101"/>
      <c r="J48" s="103"/>
      <c r="K48" s="155"/>
      <c r="L48" s="156"/>
      <c r="M48" s="109" t="s">
        <v>48</v>
      </c>
      <c r="N48" s="154"/>
      <c r="O48" s="109"/>
      <c r="P48" s="109"/>
      <c r="Q48" s="104"/>
      <c r="R48" s="104"/>
      <c r="S48" s="104"/>
      <c r="T48" s="104"/>
      <c r="W48" s="7"/>
    </row>
    <row r="49" spans="1:26" ht="15" customHeight="1">
      <c r="A49" s="4"/>
      <c r="B49" s="151" t="s">
        <v>49</v>
      </c>
      <c r="C49" s="101"/>
      <c r="D49" s="102"/>
      <c r="E49" s="101"/>
      <c r="F49" s="101"/>
      <c r="G49" s="101"/>
      <c r="H49" s="101"/>
      <c r="I49" s="101"/>
      <c r="J49" s="149"/>
      <c r="K49" s="155"/>
      <c r="L49" s="156"/>
      <c r="M49" s="109"/>
      <c r="N49" s="154"/>
      <c r="O49" s="109" t="s">
        <v>50</v>
      </c>
      <c r="P49" s="109"/>
      <c r="Q49" s="104"/>
      <c r="R49" s="104"/>
      <c r="S49" s="104"/>
      <c r="T49" s="104"/>
      <c r="W49" s="7"/>
    </row>
    <row r="50" spans="1:26" ht="15" customHeight="1">
      <c r="A50" s="4"/>
      <c r="B50" s="151" t="s">
        <v>51</v>
      </c>
      <c r="C50" s="101"/>
      <c r="D50" s="102"/>
      <c r="E50" s="101"/>
      <c r="F50" s="101"/>
      <c r="G50" s="101"/>
      <c r="H50" s="101"/>
      <c r="I50" s="101"/>
      <c r="J50" s="149"/>
      <c r="K50" s="155"/>
      <c r="L50" s="156"/>
      <c r="M50" s="153" t="s">
        <v>52</v>
      </c>
      <c r="N50" s="102"/>
      <c r="O50" s="104"/>
      <c r="P50" s="104"/>
      <c r="Q50" s="104"/>
      <c r="R50" s="104"/>
      <c r="S50" s="104"/>
      <c r="T50" s="104"/>
      <c r="W50" s="7"/>
      <c r="Z50" t="str">
        <f>IF(V43&lt;=T43,Z46,Z43)</f>
        <v>MEASUREMENT SYSTEM IS UNACCEPTABLE AND NEEDS IMPROVEMENT</v>
      </c>
    </row>
    <row r="51" spans="1:26" ht="15" customHeight="1">
      <c r="A51" s="4"/>
      <c r="B51" s="153"/>
      <c r="C51" s="101"/>
      <c r="D51" s="102"/>
      <c r="E51" s="101"/>
      <c r="F51" s="101"/>
      <c r="G51" s="101"/>
      <c r="H51" s="101"/>
      <c r="I51" s="101"/>
      <c r="J51" s="149"/>
      <c r="K51" s="155"/>
      <c r="L51" s="156"/>
      <c r="M51" s="101"/>
      <c r="N51" s="104"/>
      <c r="O51" s="109" t="s">
        <v>53</v>
      </c>
      <c r="P51" s="104"/>
      <c r="Q51" s="104"/>
      <c r="R51" s="104"/>
      <c r="S51" s="104"/>
      <c r="T51" s="104"/>
      <c r="W51" s="7"/>
    </row>
    <row r="52" spans="1:26" ht="15" customHeight="1">
      <c r="A52" s="4"/>
      <c r="C52" s="101"/>
      <c r="D52" s="102"/>
      <c r="E52" s="101"/>
      <c r="F52" s="101"/>
      <c r="G52" s="101"/>
      <c r="H52" s="101"/>
      <c r="I52" s="101"/>
      <c r="J52" s="149"/>
      <c r="K52" s="101"/>
      <c r="L52" s="153"/>
      <c r="Q52" s="104"/>
      <c r="R52" s="104"/>
      <c r="S52" s="104"/>
      <c r="T52" s="104"/>
      <c r="W52" s="7"/>
    </row>
    <row r="53" spans="1:26" ht="17.149999999999999" customHeight="1">
      <c r="A53" s="4"/>
      <c r="B53" s="100"/>
      <c r="C53" s="101"/>
      <c r="D53" s="157" t="s">
        <v>54</v>
      </c>
      <c r="G53" s="158"/>
      <c r="H53" s="158"/>
      <c r="I53" s="175" t="str">
        <f>IF(AND((COUNT(H24,N24,T24)&gt;1),((COUNT(C13:C22)+COUNT(D13:D22))=(COUNT(I13:I22)+COUNT(J13:J22)))),Z53," ")</f>
        <v xml:space="preserve"> </v>
      </c>
      <c r="K53" s="159"/>
      <c r="L53" s="158"/>
      <c r="M53" s="101"/>
      <c r="N53" s="104"/>
      <c r="P53" s="104"/>
      <c r="Q53" s="104"/>
      <c r="R53" s="104"/>
      <c r="S53" s="104"/>
      <c r="T53" s="104"/>
      <c r="W53" s="7"/>
      <c r="Z53" t="str">
        <f>IF(T43=0,Z46,Z50)</f>
        <v>MEASUREMENT SYSTEM IS UNACCEPTABLE AND NEEDS IMPROVEMENT</v>
      </c>
    </row>
    <row r="54" spans="1:26" ht="6.75" customHeight="1" thickBot="1">
      <c r="A54" s="160"/>
      <c r="B54" s="161"/>
      <c r="C54" s="162"/>
      <c r="D54" s="163"/>
      <c r="E54" s="162"/>
      <c r="F54" s="162"/>
      <c r="G54" s="162"/>
      <c r="H54" s="162"/>
      <c r="I54" s="162"/>
      <c r="J54" s="162"/>
      <c r="K54" s="164"/>
      <c r="L54" s="164"/>
      <c r="M54" s="165"/>
      <c r="N54" s="161"/>
      <c r="O54" s="162"/>
      <c r="P54" s="165"/>
      <c r="Q54" s="166"/>
      <c r="R54" s="166"/>
      <c r="S54" s="165"/>
      <c r="T54" s="165"/>
      <c r="U54" s="167"/>
      <c r="V54" s="167"/>
      <c r="W54" s="168"/>
    </row>
    <row r="55" spans="1:26" ht="17.149999999999999" customHeight="1">
      <c r="B55" s="100"/>
      <c r="C55" s="101"/>
      <c r="D55" s="102"/>
      <c r="E55" s="101"/>
      <c r="F55" s="101"/>
      <c r="G55" s="101"/>
      <c r="H55" s="101"/>
      <c r="I55" s="101"/>
      <c r="J55" s="101"/>
      <c r="K55" s="101"/>
      <c r="L55" s="101"/>
      <c r="M55" s="149"/>
      <c r="N55" s="104"/>
      <c r="O55" s="100"/>
      <c r="P55" s="101"/>
      <c r="Q55" s="104"/>
      <c r="R55" s="104"/>
      <c r="S55" s="140"/>
      <c r="T55" s="104"/>
    </row>
    <row r="56" spans="1:26" ht="17.149999999999999" customHeight="1">
      <c r="B56" s="100"/>
      <c r="C56" s="101"/>
      <c r="D56" s="169"/>
      <c r="E56" s="104"/>
      <c r="F56" s="104"/>
      <c r="G56" s="101"/>
      <c r="H56" s="101"/>
      <c r="I56" s="101"/>
      <c r="J56" s="101"/>
      <c r="K56" s="101"/>
      <c r="L56" s="101"/>
      <c r="M56" s="101"/>
      <c r="N56" s="102"/>
      <c r="O56" s="104"/>
      <c r="P56" s="104"/>
      <c r="Q56" s="104"/>
      <c r="R56" s="104"/>
      <c r="S56" s="104"/>
      <c r="T56" s="104"/>
    </row>
    <row r="57" spans="1:26" ht="17.149999999999999" customHeight="1">
      <c r="B57" s="100"/>
      <c r="C57" s="101"/>
      <c r="D57" s="102"/>
      <c r="E57" s="101"/>
      <c r="F57" s="101"/>
      <c r="G57" s="101"/>
      <c r="H57" s="101"/>
      <c r="I57" s="101"/>
      <c r="J57" s="101"/>
      <c r="K57" s="101"/>
      <c r="L57" s="101"/>
      <c r="M57" s="101"/>
      <c r="N57" s="102"/>
      <c r="O57" s="104"/>
      <c r="P57" s="104"/>
      <c r="Q57" s="104"/>
      <c r="R57" s="104"/>
      <c r="S57" s="104"/>
      <c r="T57" s="104"/>
    </row>
    <row r="58" spans="1:26" ht="17.149999999999999" customHeight="1">
      <c r="B58" s="104"/>
      <c r="C58" s="104"/>
      <c r="D58" s="102"/>
      <c r="E58" s="104"/>
      <c r="F58" s="104"/>
      <c r="G58" s="101"/>
      <c r="H58" s="101"/>
      <c r="I58" s="101"/>
      <c r="J58" s="101"/>
      <c r="K58" s="101"/>
      <c r="L58" s="101"/>
      <c r="M58" s="101"/>
      <c r="N58" s="102"/>
      <c r="O58" s="104"/>
      <c r="P58" s="104"/>
      <c r="Q58" s="104"/>
      <c r="R58" s="104"/>
      <c r="S58" s="104"/>
      <c r="T58" s="104"/>
    </row>
    <row r="59" spans="1:26" ht="17.149999999999999" customHeight="1">
      <c r="B59" s="100"/>
      <c r="C59" s="101"/>
      <c r="D59" s="102"/>
      <c r="E59" s="140"/>
      <c r="F59" s="140"/>
      <c r="G59" s="101"/>
      <c r="H59" s="101"/>
      <c r="I59" s="101"/>
      <c r="J59" s="101"/>
      <c r="K59" s="101"/>
      <c r="L59" s="101"/>
      <c r="M59" s="101"/>
      <c r="N59" s="102"/>
      <c r="O59" s="104"/>
      <c r="P59" s="104"/>
      <c r="Q59" s="104"/>
      <c r="R59" s="104"/>
      <c r="S59" s="104"/>
      <c r="T59" s="104"/>
    </row>
    <row r="60" spans="1:26" ht="17.149999999999999" customHeight="1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1:2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1:2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1:2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1:2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</sheetData>
  <mergeCells count="6">
    <mergeCell ref="D1:W4"/>
    <mergeCell ref="E6:H6"/>
    <mergeCell ref="E7:H7"/>
    <mergeCell ref="E8:H8"/>
    <mergeCell ref="E10:G10"/>
    <mergeCell ref="Q10:S10"/>
  </mergeCells>
  <phoneticPr fontId="32" type="noConversion"/>
  <dataValidations count="1">
    <dataValidation type="decimal" allowBlank="1" showInputMessage="1" showErrorMessage="1" errorTitle="Data Entry Cell" error="Enter only numeric value !" promptTitle="Data Entry Cell" prompt="Enter only numeric value !" sqref="I13:K22 I30 O13:Q22 C13:E22" xr:uid="{0E56ADED-CB82-48F9-90A8-9E73AB11293F}">
      <formula1>-999999999</formula1>
      <formula2>99999999</formula2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F01C0A66FF49A5068204B72FF8D9" ma:contentTypeVersion="16" ma:contentTypeDescription="Create a new document." ma:contentTypeScope="" ma:versionID="5fec076c56f2381967e863b39a361560">
  <xsd:schema xmlns:xsd="http://www.w3.org/2001/XMLSchema" xmlns:xs="http://www.w3.org/2001/XMLSchema" xmlns:p="http://schemas.microsoft.com/office/2006/metadata/properties" xmlns:ns2="60168e3d-5c84-41b1-b7f0-d485a5c7b3b4" xmlns:ns3="8f0a1e8c-63ac-4f09-bcd0-6ffd275b3343" targetNamespace="http://schemas.microsoft.com/office/2006/metadata/properties" ma:root="true" ma:fieldsID="73ecd2d4c746d30d6fa575d467262ac5" ns2:_="" ns3:_="">
    <xsd:import namespace="60168e3d-5c84-41b1-b7f0-d485a5c7b3b4"/>
    <xsd:import namespace="8f0a1e8c-63ac-4f09-bcd0-6ffd275b33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Date_x0020_of_x0020_event" minOccurs="0"/>
                <xsd:element ref="ns3:Event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Defect_x0020_type" minOccurs="0"/>
                <xsd:element ref="ns3:Sub_x0020_Data_x0020_type" minOccurs="0"/>
                <xsd:element ref="ns3:WIPS" minOccurs="0"/>
                <xsd:element ref="ns3:Test_x0020_result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68e3d-5c84-41b1-b7f0-d485a5c7b3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a1e8c-63ac-4f09-bcd0-6ffd275b3343" elementFormDefault="qualified">
    <xsd:import namespace="http://schemas.microsoft.com/office/2006/documentManagement/types"/>
    <xsd:import namespace="http://schemas.microsoft.com/office/infopath/2007/PartnerControls"/>
    <xsd:element name="Date_x0020_of_x0020_event" ma:index="12" nillable="true" ma:displayName="Date of occurrence" ma:format="DateOnly" ma:internalName="Date_x0020_of_x0020_event">
      <xsd:simpleType>
        <xsd:restriction base="dms:DateTime"/>
      </xsd:simpleType>
    </xsd:element>
    <xsd:element name="Event" ma:index="13" nillable="true" ma:displayName="Event" ma:internalName="Event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Defect_x0020_type" ma:index="18" nillable="true" ma:displayName="Defect type" ma:internalName="Defect_x0020_type">
      <xsd:simpleType>
        <xsd:restriction base="dms:Text"/>
      </xsd:simpleType>
    </xsd:element>
    <xsd:element name="Sub_x0020_Data_x0020_type" ma:index="19" nillable="true" ma:displayName="Supporting Data Type" ma:internalName="Sub_x0020_Data_x0020_type">
      <xsd:simpleType>
        <xsd:restriction base="dms:Text"/>
      </xsd:simpleType>
    </xsd:element>
    <xsd:element name="WIPS" ma:index="20" nillable="true" ma:displayName="WIPS" ma:internalName="WIPS">
      <xsd:simpleType>
        <xsd:restriction base="dms:Text"/>
      </xsd:simpleType>
    </xsd:element>
    <xsd:element name="Test_x0020_result" ma:index="21" nillable="true" ma:displayName="Test result" ma:internalName="Test_x0020_result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IPS xmlns="8f0a1e8c-63ac-4f09-bcd0-6ffd275b3343" xsi:nil="true"/>
    <Defect_x0020_type xmlns="8f0a1e8c-63ac-4f09-bcd0-6ffd275b3343" xsi:nil="true"/>
    <Event xmlns="8f0a1e8c-63ac-4f09-bcd0-6ffd275b3343" xsi:nil="true"/>
    <Test_x0020_result xmlns="8f0a1e8c-63ac-4f09-bcd0-6ffd275b3343" xsi:nil="true"/>
    <Sub_x0020_Data_x0020_type xmlns="8f0a1e8c-63ac-4f09-bcd0-6ffd275b3343" xsi:nil="true"/>
    <Date_x0020_of_x0020_event xmlns="8f0a1e8c-63ac-4f09-bcd0-6ffd275b33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D3C58E-A18E-43FD-917F-5E68354D36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168e3d-5c84-41b1-b7f0-d485a5c7b3b4"/>
    <ds:schemaRef ds:uri="8f0a1e8c-63ac-4f09-bcd0-6ffd275b33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E5FEB9-6175-4166-AAA0-CC69804F8571}">
  <ds:schemaRefs>
    <ds:schemaRef ds:uri="http://schemas.microsoft.com/office/2006/metadata/properties"/>
    <ds:schemaRef ds:uri="http://schemas.microsoft.com/office/infopath/2007/PartnerControls"/>
    <ds:schemaRef ds:uri="8f0a1e8c-63ac-4f09-bcd0-6ffd275b3343"/>
  </ds:schemaRefs>
</ds:datastoreItem>
</file>

<file path=customXml/itemProps3.xml><?xml version="1.0" encoding="utf-8"?>
<ds:datastoreItem xmlns:ds="http://schemas.openxmlformats.org/officeDocument/2006/customXml" ds:itemID="{939EFA0F-1A58-4C6B-868C-3FE18A422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>Pilkington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Robert</dc:creator>
  <cp:lastModifiedBy>weihao zeng</cp:lastModifiedBy>
  <cp:lastPrinted>2015-03-10T20:47:25Z</cp:lastPrinted>
  <dcterms:created xsi:type="dcterms:W3CDTF">2007-05-23T13:27:19Z</dcterms:created>
  <dcterms:modified xsi:type="dcterms:W3CDTF">2025-03-23T19:55:52Z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0x0101005379F01C0A66FF49A5068204B72FF8D9</vt:lpwstr>
  </property>
</Properties>
</file>