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weissd2k_ic_ac_uk/Documents/Environmental Geochemistry New/Projects/Yanan/"/>
    </mc:Choice>
  </mc:AlternateContent>
  <xr:revisionPtr revIDLastSave="22" documentId="11_46066FF4BF72209C6DCFFA073C848B98410965C1" xr6:coauthVersionLast="47" xr6:coauthVersionMax="47" xr10:uidLastSave="{3157183B-30C6-496D-852E-0EC886EB3D1C}"/>
  <bookViews>
    <workbookView xWindow="-120" yWindow="312" windowWidth="23016" windowHeight="12360" xr2:uid="{00000000-000D-0000-FFFF-FFFF00000000}"/>
  </bookViews>
  <sheets>
    <sheet name="C0Cs" sheetId="1" r:id="rId1"/>
  </sheets>
  <externalReferences>
    <externalReference r:id="rId2"/>
  </externalReferences>
  <definedNames>
    <definedName name="solver_adj" localSheetId="0" hidden="1">C0Cs!$K$397:$P$398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C0Cs!$Q$396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1" i="1" l="1"/>
  <c r="J27" i="1"/>
  <c r="K52" i="1"/>
  <c r="Q52" i="1" s="1"/>
  <c r="K58" i="1"/>
  <c r="L51" i="1"/>
  <c r="AN27" i="1"/>
  <c r="L32" i="1"/>
  <c r="F30" i="1"/>
  <c r="J411" i="1"/>
  <c r="J410" i="1"/>
  <c r="P410" i="1" s="1"/>
  <c r="J409" i="1"/>
  <c r="P409" i="1" s="1"/>
  <c r="J408" i="1"/>
  <c r="N408" i="1" s="1"/>
  <c r="O408" i="1"/>
  <c r="J407" i="1"/>
  <c r="J406" i="1"/>
  <c r="O406" i="1" s="1"/>
  <c r="J405" i="1"/>
  <c r="P405" i="1" s="1"/>
  <c r="M405" i="1"/>
  <c r="N405" i="1"/>
  <c r="J404" i="1"/>
  <c r="O404" i="1" s="1"/>
  <c r="J403" i="1"/>
  <c r="M403" i="1" s="1"/>
  <c r="N403" i="1"/>
  <c r="J402" i="1"/>
  <c r="L402" i="1" s="1"/>
  <c r="P402" i="1"/>
  <c r="M402" i="1"/>
  <c r="J401" i="1"/>
  <c r="P401" i="1"/>
  <c r="P400" i="1"/>
  <c r="O400" i="1"/>
  <c r="N400" i="1"/>
  <c r="M400" i="1"/>
  <c r="L400" i="1"/>
  <c r="K400" i="1"/>
  <c r="P395" i="1"/>
  <c r="O395" i="1"/>
  <c r="N395" i="1"/>
  <c r="M395" i="1"/>
  <c r="L395" i="1"/>
  <c r="K395" i="1"/>
  <c r="J392" i="1"/>
  <c r="M392" i="1" s="1"/>
  <c r="J391" i="1"/>
  <c r="J390" i="1"/>
  <c r="M390" i="1" s="1"/>
  <c r="J389" i="1"/>
  <c r="J388" i="1"/>
  <c r="M388" i="1"/>
  <c r="J387" i="1"/>
  <c r="J386" i="1"/>
  <c r="M386" i="1"/>
  <c r="J385" i="1"/>
  <c r="J384" i="1"/>
  <c r="M384" i="1"/>
  <c r="J383" i="1"/>
  <c r="J382" i="1"/>
  <c r="M382" i="1" s="1"/>
  <c r="J381" i="1"/>
  <c r="J380" i="1"/>
  <c r="M380" i="1"/>
  <c r="J379" i="1"/>
  <c r="M379" i="1"/>
  <c r="K379" i="1"/>
  <c r="J378" i="1"/>
  <c r="M378" i="1" s="1"/>
  <c r="J377" i="1"/>
  <c r="M377" i="1" s="1"/>
  <c r="J376" i="1"/>
  <c r="M376" i="1" s="1"/>
  <c r="J375" i="1"/>
  <c r="M375" i="1" s="1"/>
  <c r="M374" i="1"/>
  <c r="L374" i="1"/>
  <c r="K374" i="1"/>
  <c r="M369" i="1"/>
  <c r="L369" i="1"/>
  <c r="K369" i="1"/>
  <c r="J366" i="1"/>
  <c r="J365" i="1"/>
  <c r="K365" i="1" s="1"/>
  <c r="L365" i="1"/>
  <c r="J364" i="1"/>
  <c r="L364" i="1"/>
  <c r="J363" i="1"/>
  <c r="L363" i="1" s="1"/>
  <c r="J362" i="1"/>
  <c r="K362" i="1" s="1"/>
  <c r="M362" i="1"/>
  <c r="L362" i="1"/>
  <c r="J361" i="1"/>
  <c r="M361" i="1"/>
  <c r="L361" i="1"/>
  <c r="K361" i="1"/>
  <c r="J360" i="1"/>
  <c r="K360" i="1" s="1"/>
  <c r="M360" i="1"/>
  <c r="L360" i="1"/>
  <c r="J359" i="1"/>
  <c r="M359" i="1"/>
  <c r="L359" i="1"/>
  <c r="K359" i="1"/>
  <c r="J358" i="1"/>
  <c r="K358" i="1" s="1"/>
  <c r="M358" i="1"/>
  <c r="L358" i="1"/>
  <c r="J357" i="1"/>
  <c r="M357" i="1"/>
  <c r="L357" i="1"/>
  <c r="K357" i="1"/>
  <c r="J356" i="1"/>
  <c r="K356" i="1" s="1"/>
  <c r="M356" i="1"/>
  <c r="L356" i="1"/>
  <c r="J355" i="1"/>
  <c r="M355" i="1"/>
  <c r="L355" i="1"/>
  <c r="K355" i="1"/>
  <c r="J354" i="1"/>
  <c r="K354" i="1" s="1"/>
  <c r="M354" i="1"/>
  <c r="L354" i="1"/>
  <c r="J353" i="1"/>
  <c r="M353" i="1"/>
  <c r="L353" i="1"/>
  <c r="K353" i="1"/>
  <c r="J352" i="1"/>
  <c r="K352" i="1" s="1"/>
  <c r="M352" i="1"/>
  <c r="L352" i="1"/>
  <c r="J351" i="1"/>
  <c r="M351" i="1"/>
  <c r="L351" i="1"/>
  <c r="J345" i="1"/>
  <c r="L345" i="1" s="1"/>
  <c r="J346" i="1"/>
  <c r="M346" i="1" s="1"/>
  <c r="L346" i="1"/>
  <c r="J347" i="1"/>
  <c r="L347" i="1" s="1"/>
  <c r="J348" i="1"/>
  <c r="M348" i="1" s="1"/>
  <c r="L348" i="1"/>
  <c r="J350" i="1"/>
  <c r="M350" i="1" s="1"/>
  <c r="K351" i="1"/>
  <c r="J349" i="1"/>
  <c r="M349" i="1"/>
  <c r="K349" i="1"/>
  <c r="K348" i="1"/>
  <c r="M347" i="1"/>
  <c r="K347" i="1"/>
  <c r="M345" i="1"/>
  <c r="K345" i="1"/>
  <c r="M344" i="1"/>
  <c r="L344" i="1"/>
  <c r="K344" i="1"/>
  <c r="M339" i="1"/>
  <c r="L339" i="1"/>
  <c r="K339" i="1"/>
  <c r="J333" i="1"/>
  <c r="K333" i="1" s="1"/>
  <c r="L333" i="1"/>
  <c r="J332" i="1"/>
  <c r="M332" i="1"/>
  <c r="K332" i="1"/>
  <c r="L332" i="1"/>
  <c r="J331" i="1"/>
  <c r="L331" i="1" s="1"/>
  <c r="O331" i="1"/>
  <c r="M331" i="1"/>
  <c r="N331" i="1"/>
  <c r="J330" i="1"/>
  <c r="N330" i="1" s="1"/>
  <c r="J329" i="1"/>
  <c r="O329" i="1" s="1"/>
  <c r="J328" i="1"/>
  <c r="M328" i="1" s="1"/>
  <c r="K328" i="1"/>
  <c r="L328" i="1"/>
  <c r="J327" i="1"/>
  <c r="O327" i="1" s="1"/>
  <c r="M327" i="1"/>
  <c r="L327" i="1"/>
  <c r="K327" i="1"/>
  <c r="N327" i="1"/>
  <c r="J326" i="1"/>
  <c r="N326" i="1" s="1"/>
  <c r="J325" i="1"/>
  <c r="O325" i="1"/>
  <c r="M325" i="1"/>
  <c r="L325" i="1"/>
  <c r="K325" i="1"/>
  <c r="N325" i="1"/>
  <c r="J324" i="1"/>
  <c r="M324" i="1" s="1"/>
  <c r="J323" i="1"/>
  <c r="K323" i="1" s="1"/>
  <c r="L323" i="1"/>
  <c r="J322" i="1"/>
  <c r="N322" i="1"/>
  <c r="L322" i="1"/>
  <c r="J321" i="1"/>
  <c r="K321" i="1" s="1"/>
  <c r="M321" i="1"/>
  <c r="L321" i="1"/>
  <c r="J320" i="1"/>
  <c r="L320" i="1" s="1"/>
  <c r="M320" i="1"/>
  <c r="K320" i="1"/>
  <c r="J319" i="1"/>
  <c r="O319" i="1" s="1"/>
  <c r="O318" i="1"/>
  <c r="N318" i="1"/>
  <c r="M318" i="1"/>
  <c r="L318" i="1"/>
  <c r="K318" i="1"/>
  <c r="O313" i="1"/>
  <c r="N313" i="1"/>
  <c r="M313" i="1"/>
  <c r="L313" i="1"/>
  <c r="K313" i="1"/>
  <c r="J309" i="1"/>
  <c r="N309" i="1" s="1"/>
  <c r="J308" i="1"/>
  <c r="K308" i="1" s="1"/>
  <c r="L308" i="1"/>
  <c r="J307" i="1"/>
  <c r="O307" i="1"/>
  <c r="J306" i="1"/>
  <c r="K306" i="1" s="1"/>
  <c r="L306" i="1"/>
  <c r="J305" i="1"/>
  <c r="N305" i="1"/>
  <c r="M305" i="1"/>
  <c r="K305" i="1"/>
  <c r="L305" i="1"/>
  <c r="J304" i="1"/>
  <c r="O304" i="1" s="1"/>
  <c r="J303" i="1"/>
  <c r="O303" i="1" s="1"/>
  <c r="J302" i="1"/>
  <c r="O302" i="1" s="1"/>
  <c r="O301" i="1"/>
  <c r="N301" i="1"/>
  <c r="M301" i="1"/>
  <c r="L301" i="1"/>
  <c r="K301" i="1"/>
  <c r="O296" i="1"/>
  <c r="N296" i="1"/>
  <c r="M296" i="1"/>
  <c r="L296" i="1"/>
  <c r="J287" i="1"/>
  <c r="L287" i="1"/>
  <c r="J288" i="1"/>
  <c r="L288" i="1" s="1"/>
  <c r="J289" i="1"/>
  <c r="L289" i="1"/>
  <c r="J290" i="1"/>
  <c r="L290" i="1" s="1"/>
  <c r="J291" i="1"/>
  <c r="M291" i="1" s="1"/>
  <c r="L291" i="1"/>
  <c r="J292" i="1"/>
  <c r="L292" i="1" s="1"/>
  <c r="J293" i="1"/>
  <c r="L293" i="1"/>
  <c r="K296" i="1"/>
  <c r="M293" i="1"/>
  <c r="K293" i="1"/>
  <c r="M292" i="1"/>
  <c r="K291" i="1"/>
  <c r="M290" i="1"/>
  <c r="M282" i="1" s="1"/>
  <c r="M289" i="1"/>
  <c r="K289" i="1"/>
  <c r="M288" i="1"/>
  <c r="M287" i="1"/>
  <c r="K287" i="1"/>
  <c r="M286" i="1"/>
  <c r="L286" i="1"/>
  <c r="K286" i="1"/>
  <c r="M281" i="1"/>
  <c r="L281" i="1"/>
  <c r="K281" i="1"/>
  <c r="J277" i="1"/>
  <c r="J276" i="1"/>
  <c r="L276" i="1" s="1"/>
  <c r="J275" i="1"/>
  <c r="M275" i="1" s="1"/>
  <c r="J274" i="1"/>
  <c r="M274" i="1"/>
  <c r="K274" i="1"/>
  <c r="L274" i="1"/>
  <c r="J273" i="1"/>
  <c r="J272" i="1"/>
  <c r="J271" i="1"/>
  <c r="J270" i="1"/>
  <c r="M269" i="1"/>
  <c r="L269" i="1"/>
  <c r="K269" i="1"/>
  <c r="M264" i="1"/>
  <c r="L264" i="1"/>
  <c r="K264" i="1"/>
  <c r="J261" i="1"/>
  <c r="P261" i="1"/>
  <c r="O261" i="1"/>
  <c r="L261" i="1"/>
  <c r="K261" i="1"/>
  <c r="N261" i="1"/>
  <c r="J260" i="1"/>
  <c r="J259" i="1"/>
  <c r="M259" i="1"/>
  <c r="P259" i="1"/>
  <c r="J258" i="1"/>
  <c r="L258" i="1" s="1"/>
  <c r="P258" i="1"/>
  <c r="O258" i="1"/>
  <c r="M258" i="1"/>
  <c r="J257" i="1"/>
  <c r="P257" i="1"/>
  <c r="O257" i="1"/>
  <c r="L257" i="1"/>
  <c r="K257" i="1"/>
  <c r="N257" i="1"/>
  <c r="J256" i="1"/>
  <c r="N256" i="1"/>
  <c r="J255" i="1"/>
  <c r="M255" i="1"/>
  <c r="P255" i="1"/>
  <c r="J254" i="1"/>
  <c r="O254" i="1" s="1"/>
  <c r="J253" i="1"/>
  <c r="L253" i="1" s="1"/>
  <c r="J252" i="1"/>
  <c r="N252" i="1"/>
  <c r="P251" i="1"/>
  <c r="O251" i="1"/>
  <c r="N251" i="1"/>
  <c r="M251" i="1"/>
  <c r="L251" i="1"/>
  <c r="K251" i="1"/>
  <c r="P246" i="1"/>
  <c r="O246" i="1"/>
  <c r="N246" i="1"/>
  <c r="M246" i="1"/>
  <c r="L246" i="1"/>
  <c r="K246" i="1"/>
  <c r="J242" i="1"/>
  <c r="N242" i="1" s="1"/>
  <c r="J241" i="1"/>
  <c r="L241" i="1"/>
  <c r="K241" i="1"/>
  <c r="N241" i="1"/>
  <c r="J240" i="1"/>
  <c r="M240" i="1" s="1"/>
  <c r="J239" i="1"/>
  <c r="M239" i="1"/>
  <c r="L239" i="1"/>
  <c r="J238" i="1"/>
  <c r="J237" i="1"/>
  <c r="L237" i="1" s="1"/>
  <c r="J236" i="1"/>
  <c r="N236" i="1" s="1"/>
  <c r="M236" i="1"/>
  <c r="L236" i="1"/>
  <c r="K236" i="1"/>
  <c r="J235" i="1"/>
  <c r="M235" i="1" s="1"/>
  <c r="L235" i="1"/>
  <c r="J234" i="1"/>
  <c r="J233" i="1"/>
  <c r="N233" i="1" s="1"/>
  <c r="N232" i="1"/>
  <c r="M232" i="1"/>
  <c r="L232" i="1"/>
  <c r="K232" i="1"/>
  <c r="N227" i="1"/>
  <c r="M227" i="1"/>
  <c r="L39" i="1" s="1"/>
  <c r="L227" i="1"/>
  <c r="K227" i="1"/>
  <c r="J223" i="1"/>
  <c r="K223" i="1" s="1"/>
  <c r="J222" i="1"/>
  <c r="L222" i="1"/>
  <c r="J221" i="1"/>
  <c r="M221" i="1" s="1"/>
  <c r="J220" i="1"/>
  <c r="M220" i="1" s="1"/>
  <c r="J219" i="1"/>
  <c r="K219" i="1"/>
  <c r="J218" i="1"/>
  <c r="L218" i="1" s="1"/>
  <c r="J217" i="1"/>
  <c r="M217" i="1" s="1"/>
  <c r="J216" i="1"/>
  <c r="M216" i="1"/>
  <c r="L216" i="1"/>
  <c r="K216" i="1"/>
  <c r="N216" i="1"/>
  <c r="J215" i="1"/>
  <c r="K215" i="1" s="1"/>
  <c r="J214" i="1"/>
  <c r="L214" i="1" s="1"/>
  <c r="N213" i="1"/>
  <c r="M213" i="1"/>
  <c r="L213" i="1"/>
  <c r="K213" i="1"/>
  <c r="N208" i="1"/>
  <c r="M208" i="1"/>
  <c r="L208" i="1"/>
  <c r="K208" i="1"/>
  <c r="J205" i="1"/>
  <c r="J204" i="1"/>
  <c r="L204" i="1"/>
  <c r="K204" i="1"/>
  <c r="M204" i="1"/>
  <c r="J203" i="1"/>
  <c r="M203" i="1" s="1"/>
  <c r="N203" i="1"/>
  <c r="J202" i="1"/>
  <c r="M202" i="1" s="1"/>
  <c r="N202" i="1"/>
  <c r="L202" i="1"/>
  <c r="K202" i="1"/>
  <c r="J201" i="1"/>
  <c r="N201" i="1" s="1"/>
  <c r="M201" i="1"/>
  <c r="L201" i="1"/>
  <c r="J200" i="1"/>
  <c r="N200" i="1" s="1"/>
  <c r="J199" i="1"/>
  <c r="N199" i="1" s="1"/>
  <c r="J198" i="1"/>
  <c r="M198" i="1"/>
  <c r="J197" i="1"/>
  <c r="O196" i="1"/>
  <c r="N196" i="1"/>
  <c r="M196" i="1"/>
  <c r="L196" i="1"/>
  <c r="K196" i="1"/>
  <c r="O191" i="1"/>
  <c r="N191" i="1"/>
  <c r="M191" i="1"/>
  <c r="L191" i="1"/>
  <c r="K191" i="1"/>
  <c r="J188" i="1"/>
  <c r="O188" i="1" s="1"/>
  <c r="J187" i="1"/>
  <c r="M187" i="1" s="1"/>
  <c r="J186" i="1"/>
  <c r="O186" i="1" s="1"/>
  <c r="J185" i="1"/>
  <c r="M185" i="1" s="1"/>
  <c r="J184" i="1"/>
  <c r="O184" i="1" s="1"/>
  <c r="J183" i="1"/>
  <c r="M183" i="1" s="1"/>
  <c r="J182" i="1"/>
  <c r="O182" i="1" s="1"/>
  <c r="O181" i="1"/>
  <c r="N181" i="1"/>
  <c r="M181" i="1"/>
  <c r="L181" i="1"/>
  <c r="K181" i="1"/>
  <c r="O176" i="1"/>
  <c r="N176" i="1"/>
  <c r="M176" i="1"/>
  <c r="L176" i="1"/>
  <c r="K176" i="1"/>
  <c r="J173" i="1"/>
  <c r="M173" i="1" s="1"/>
  <c r="J172" i="1"/>
  <c r="M172" i="1"/>
  <c r="J171" i="1"/>
  <c r="L171" i="1"/>
  <c r="K171" i="1"/>
  <c r="N171" i="1"/>
  <c r="J170" i="1"/>
  <c r="M170" i="1" s="1"/>
  <c r="K170" i="1"/>
  <c r="N170" i="1"/>
  <c r="J169" i="1"/>
  <c r="M169" i="1" s="1"/>
  <c r="J168" i="1"/>
  <c r="M168" i="1" s="1"/>
  <c r="J167" i="1"/>
  <c r="L167" i="1"/>
  <c r="K167" i="1"/>
  <c r="N167" i="1"/>
  <c r="J166" i="1"/>
  <c r="L166" i="1" s="1"/>
  <c r="J165" i="1"/>
  <c r="M165" i="1"/>
  <c r="L165" i="1"/>
  <c r="N164" i="1"/>
  <c r="M164" i="1"/>
  <c r="L164" i="1"/>
  <c r="K164" i="1"/>
  <c r="N159" i="1"/>
  <c r="M159" i="1"/>
  <c r="L159" i="1"/>
  <c r="K159" i="1"/>
  <c r="J156" i="1"/>
  <c r="M156" i="1" s="1"/>
  <c r="J155" i="1"/>
  <c r="M155" i="1" s="1"/>
  <c r="J154" i="1"/>
  <c r="M154" i="1" s="1"/>
  <c r="J153" i="1"/>
  <c r="M153" i="1"/>
  <c r="J152" i="1"/>
  <c r="M152" i="1" s="1"/>
  <c r="J151" i="1"/>
  <c r="M151" i="1" s="1"/>
  <c r="J150" i="1"/>
  <c r="M150" i="1" s="1"/>
  <c r="J149" i="1"/>
  <c r="M149" i="1"/>
  <c r="J148" i="1"/>
  <c r="M148" i="1" s="1"/>
  <c r="M147" i="1"/>
  <c r="L147" i="1"/>
  <c r="K147" i="1"/>
  <c r="M142" i="1"/>
  <c r="L142" i="1"/>
  <c r="K142" i="1"/>
  <c r="J139" i="1"/>
  <c r="L139" i="1" s="1"/>
  <c r="J138" i="1"/>
  <c r="M138" i="1" s="1"/>
  <c r="L138" i="1"/>
  <c r="K138" i="1"/>
  <c r="J137" i="1"/>
  <c r="L137" i="1" s="1"/>
  <c r="J136" i="1"/>
  <c r="M136" i="1" s="1"/>
  <c r="L136" i="1"/>
  <c r="K136" i="1"/>
  <c r="J135" i="1"/>
  <c r="L135" i="1" s="1"/>
  <c r="J134" i="1"/>
  <c r="M134" i="1" s="1"/>
  <c r="L134" i="1"/>
  <c r="K134" i="1"/>
  <c r="J133" i="1"/>
  <c r="L133" i="1" s="1"/>
  <c r="J132" i="1"/>
  <c r="M132" i="1" s="1"/>
  <c r="L132" i="1"/>
  <c r="K132" i="1"/>
  <c r="J131" i="1"/>
  <c r="L131" i="1" s="1"/>
  <c r="L126" i="1" s="1"/>
  <c r="M130" i="1"/>
  <c r="L130" i="1"/>
  <c r="K130" i="1"/>
  <c r="M125" i="1"/>
  <c r="L125" i="1"/>
  <c r="K125" i="1"/>
  <c r="J122" i="1"/>
  <c r="N122" i="1"/>
  <c r="J121" i="1"/>
  <c r="J120" i="1"/>
  <c r="M120" i="1"/>
  <c r="L120" i="1"/>
  <c r="J119" i="1"/>
  <c r="M119" i="1"/>
  <c r="J118" i="1"/>
  <c r="J117" i="1"/>
  <c r="M117" i="1" s="1"/>
  <c r="L117" i="1"/>
  <c r="K117" i="1"/>
  <c r="N117" i="1"/>
  <c r="J116" i="1"/>
  <c r="M116" i="1" s="1"/>
  <c r="J115" i="1"/>
  <c r="M115" i="1" s="1"/>
  <c r="J114" i="1"/>
  <c r="L114" i="1"/>
  <c r="K114" i="1"/>
  <c r="N114" i="1"/>
  <c r="J113" i="1"/>
  <c r="M113" i="1" s="1"/>
  <c r="N113" i="1"/>
  <c r="N112" i="1"/>
  <c r="M112" i="1"/>
  <c r="L112" i="1"/>
  <c r="K112" i="1"/>
  <c r="N107" i="1"/>
  <c r="M107" i="1"/>
  <c r="L107" i="1"/>
  <c r="K107" i="1"/>
  <c r="J104" i="1"/>
  <c r="L104" i="1" s="1"/>
  <c r="J103" i="1"/>
  <c r="M103" i="1" s="1"/>
  <c r="J102" i="1"/>
  <c r="M102" i="1"/>
  <c r="L102" i="1"/>
  <c r="J101" i="1"/>
  <c r="J100" i="1"/>
  <c r="M100" i="1"/>
  <c r="L100" i="1"/>
  <c r="J99" i="1"/>
  <c r="M99" i="1"/>
  <c r="L99" i="1"/>
  <c r="J98" i="1"/>
  <c r="M98" i="1" s="1"/>
  <c r="J97" i="1"/>
  <c r="M97" i="1" s="1"/>
  <c r="L97" i="1"/>
  <c r="J96" i="1"/>
  <c r="L96" i="1" s="1"/>
  <c r="J95" i="1"/>
  <c r="M95" i="1" s="1"/>
  <c r="J94" i="1"/>
  <c r="M94" i="1"/>
  <c r="L94" i="1"/>
  <c r="J93" i="1"/>
  <c r="M92" i="1"/>
  <c r="L92" i="1"/>
  <c r="K92" i="1"/>
  <c r="M87" i="1"/>
  <c r="L87" i="1"/>
  <c r="K87" i="1"/>
  <c r="J84" i="1"/>
  <c r="M84" i="1" s="1"/>
  <c r="J83" i="1"/>
  <c r="N83" i="1" s="1"/>
  <c r="O83" i="1"/>
  <c r="L83" i="1"/>
  <c r="K83" i="1"/>
  <c r="J82" i="1"/>
  <c r="M82" i="1" s="1"/>
  <c r="J81" i="1"/>
  <c r="N81" i="1" s="1"/>
  <c r="O81" i="1"/>
  <c r="L81" i="1"/>
  <c r="K81" i="1"/>
  <c r="J80" i="1"/>
  <c r="M80" i="1" s="1"/>
  <c r="J79" i="1"/>
  <c r="N79" i="1" s="1"/>
  <c r="O79" i="1"/>
  <c r="L79" i="1"/>
  <c r="K79" i="1"/>
  <c r="J78" i="1"/>
  <c r="M78" i="1" s="1"/>
  <c r="J77" i="1"/>
  <c r="N77" i="1" s="1"/>
  <c r="O77" i="1"/>
  <c r="L77" i="1"/>
  <c r="K77" i="1"/>
  <c r="J76" i="1"/>
  <c r="M76" i="1" s="1"/>
  <c r="J75" i="1"/>
  <c r="N75" i="1" s="1"/>
  <c r="O75" i="1"/>
  <c r="L75" i="1"/>
  <c r="K75" i="1"/>
  <c r="J74" i="1"/>
  <c r="M74" i="1" s="1"/>
  <c r="O73" i="1"/>
  <c r="N73" i="1"/>
  <c r="M73" i="1"/>
  <c r="L73" i="1"/>
  <c r="K73" i="1"/>
  <c r="O68" i="1"/>
  <c r="N68" i="1"/>
  <c r="M68" i="1"/>
  <c r="L68" i="1"/>
  <c r="K68" i="1"/>
  <c r="J65" i="1"/>
  <c r="J64" i="1"/>
  <c r="M64" i="1"/>
  <c r="L64" i="1"/>
  <c r="J63" i="1"/>
  <c r="J62" i="1"/>
  <c r="M62" i="1"/>
  <c r="L62" i="1"/>
  <c r="J61" i="1"/>
  <c r="J60" i="1"/>
  <c r="M60" i="1"/>
  <c r="L60" i="1"/>
  <c r="J59" i="1"/>
  <c r="J58" i="1"/>
  <c r="M58" i="1"/>
  <c r="L58" i="1"/>
  <c r="J57" i="1"/>
  <c r="O56" i="1"/>
  <c r="N56" i="1"/>
  <c r="M56" i="1"/>
  <c r="L56" i="1"/>
  <c r="K56" i="1"/>
  <c r="O51" i="1"/>
  <c r="N51" i="1"/>
  <c r="M51" i="1"/>
  <c r="BV49" i="1"/>
  <c r="BE48" i="1"/>
  <c r="BD48" i="1"/>
  <c r="BC48" i="1"/>
  <c r="BB48" i="1"/>
  <c r="BA48" i="1"/>
  <c r="AZ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BE47" i="1"/>
  <c r="BD47" i="1"/>
  <c r="BC47" i="1"/>
  <c r="BB47" i="1"/>
  <c r="BA47" i="1"/>
  <c r="AZ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BE46" i="1"/>
  <c r="Y46" i="1"/>
  <c r="BC46" i="1"/>
  <c r="W46" i="1"/>
  <c r="AG46" i="1"/>
  <c r="AY46" i="1" s="1"/>
  <c r="AS46" i="1"/>
  <c r="M46" i="1"/>
  <c r="G46" i="1"/>
  <c r="AQ46" i="1"/>
  <c r="AM46" i="1"/>
  <c r="AK46" i="1"/>
  <c r="F46" i="1"/>
  <c r="AJ46" i="1" s="1"/>
  <c r="E46" i="1"/>
  <c r="Q46" i="1"/>
  <c r="Z46" i="1"/>
  <c r="BD46" i="1" s="1"/>
  <c r="X46" i="1"/>
  <c r="BB46" i="1" s="1"/>
  <c r="V46" i="1"/>
  <c r="AZ46" i="1" s="1"/>
  <c r="T46" i="1"/>
  <c r="S46" i="1"/>
  <c r="AE46" i="1" s="1"/>
  <c r="AW46" i="1" s="1"/>
  <c r="R46" i="1"/>
  <c r="P46" i="1"/>
  <c r="N46" i="1"/>
  <c r="H46" i="1"/>
  <c r="AR46" i="1"/>
  <c r="L46" i="1"/>
  <c r="AP46" i="1" s="1"/>
  <c r="BS41" i="1" s="1" a="1"/>
  <c r="BS41" i="1" s="1"/>
  <c r="BW49" i="1" s="1"/>
  <c r="K46" i="1"/>
  <c r="AO46" i="1" s="1"/>
  <c r="J46" i="1"/>
  <c r="AN46" i="1" s="1"/>
  <c r="D46" i="1"/>
  <c r="AL46" i="1"/>
  <c r="AH46" i="1"/>
  <c r="BE45" i="1"/>
  <c r="Y45" i="1"/>
  <c r="BC45" i="1" s="1"/>
  <c r="W45" i="1"/>
  <c r="BA45" i="1" s="1"/>
  <c r="AS45" i="1"/>
  <c r="AM45" i="1"/>
  <c r="G45" i="1"/>
  <c r="AK45" i="1" s="1"/>
  <c r="F45" i="1"/>
  <c r="AJ45" i="1" s="1"/>
  <c r="AG45" i="1"/>
  <c r="AY45" i="1" s="1"/>
  <c r="Z45" i="1"/>
  <c r="BD45" i="1"/>
  <c r="X45" i="1"/>
  <c r="BB45" i="1" s="1"/>
  <c r="V45" i="1"/>
  <c r="AZ45" i="1" s="1"/>
  <c r="T45" i="1"/>
  <c r="S45" i="1"/>
  <c r="R45" i="1"/>
  <c r="Q45" i="1"/>
  <c r="AC45" i="1" s="1"/>
  <c r="AU45" i="1" s="1"/>
  <c r="P45" i="1"/>
  <c r="N45" i="1"/>
  <c r="AR45" i="1" s="1"/>
  <c r="H45" i="1"/>
  <c r="AL45" i="1" s="1"/>
  <c r="M45" i="1"/>
  <c r="L45" i="1"/>
  <c r="AP45" i="1"/>
  <c r="K45" i="1"/>
  <c r="J45" i="1"/>
  <c r="AN45" i="1" s="1"/>
  <c r="D45" i="1"/>
  <c r="E45" i="1"/>
  <c r="AH45" i="1"/>
  <c r="B45" i="1"/>
  <c r="BV48" i="1"/>
  <c r="B41" i="1"/>
  <c r="BV44" i="1"/>
  <c r="BE44" i="1"/>
  <c r="BD44" i="1"/>
  <c r="BC44" i="1"/>
  <c r="X44" i="1"/>
  <c r="BB44" i="1" s="1"/>
  <c r="V44" i="1"/>
  <c r="AZ44" i="1" s="1"/>
  <c r="E44" i="1"/>
  <c r="AI44" i="1"/>
  <c r="AG44" i="1"/>
  <c r="AY44" i="1" s="1"/>
  <c r="AF44" i="1"/>
  <c r="AX44" i="1" s="1"/>
  <c r="AE44" i="1"/>
  <c r="AW44" i="1" s="1"/>
  <c r="W44" i="1"/>
  <c r="BA44" i="1"/>
  <c r="R44" i="1"/>
  <c r="F44" i="1"/>
  <c r="Q44" i="1"/>
  <c r="AC44" i="1" s="1"/>
  <c r="AU44" i="1" s="1"/>
  <c r="P44" i="1"/>
  <c r="L44" i="1"/>
  <c r="K44" i="1"/>
  <c r="AO44" i="1"/>
  <c r="J44" i="1"/>
  <c r="D44" i="1"/>
  <c r="B44" i="1"/>
  <c r="BV47" i="1"/>
  <c r="BE43" i="1"/>
  <c r="BD43" i="1"/>
  <c r="BC43" i="1"/>
  <c r="W43" i="1"/>
  <c r="BA43" i="1"/>
  <c r="AG43" i="1"/>
  <c r="AY43" i="1" s="1"/>
  <c r="J43" i="1"/>
  <c r="D43" i="1"/>
  <c r="AH43" i="1" s="1"/>
  <c r="E43" i="1"/>
  <c r="AI43" i="1" s="1"/>
  <c r="AF43" i="1"/>
  <c r="AX43" i="1" s="1"/>
  <c r="AE43" i="1"/>
  <c r="AW43" i="1"/>
  <c r="X43" i="1"/>
  <c r="BB43" i="1"/>
  <c r="V43" i="1"/>
  <c r="AZ43" i="1"/>
  <c r="R43" i="1"/>
  <c r="Q43" i="1"/>
  <c r="P43" i="1"/>
  <c r="L43" i="1"/>
  <c r="F43" i="1"/>
  <c r="AJ43" i="1" s="1"/>
  <c r="AP43" i="1"/>
  <c r="K43" i="1"/>
  <c r="B43" i="1"/>
  <c r="BV46" i="1" s="1"/>
  <c r="B39" i="1"/>
  <c r="BV42" i="1"/>
  <c r="BE42" i="1"/>
  <c r="BD42" i="1"/>
  <c r="BC42" i="1"/>
  <c r="X42" i="1"/>
  <c r="BB42" i="1" s="1"/>
  <c r="V42" i="1"/>
  <c r="AZ42" i="1"/>
  <c r="AG42" i="1"/>
  <c r="AY42" i="1"/>
  <c r="AF42" i="1"/>
  <c r="AX42" i="1" s="1"/>
  <c r="AS42" i="1"/>
  <c r="AR42" i="1"/>
  <c r="AQ42" i="1"/>
  <c r="L42" i="1"/>
  <c r="F42" i="1"/>
  <c r="AP42" i="1" s="1"/>
  <c r="AM42" i="1"/>
  <c r="AL42" i="1"/>
  <c r="AK42" i="1"/>
  <c r="E42" i="1"/>
  <c r="AI42" i="1" s="1"/>
  <c r="AE42" i="1"/>
  <c r="AW42" i="1"/>
  <c r="W42" i="1"/>
  <c r="AC42" i="1" s="1"/>
  <c r="AU42" i="1" s="1"/>
  <c r="R42" i="1"/>
  <c r="Q42" i="1"/>
  <c r="P42" i="1"/>
  <c r="K42" i="1"/>
  <c r="AO42" i="1"/>
  <c r="J42" i="1"/>
  <c r="D42" i="1"/>
  <c r="B42" i="1"/>
  <c r="BV45" i="1"/>
  <c r="BE41" i="1"/>
  <c r="BD41" i="1"/>
  <c r="BC41" i="1"/>
  <c r="X41" i="1"/>
  <c r="BB41" i="1" s="1"/>
  <c r="V41" i="1"/>
  <c r="AZ41" i="1"/>
  <c r="AG41" i="1"/>
  <c r="AY41" i="1"/>
  <c r="AS41" i="1"/>
  <c r="AR41" i="1"/>
  <c r="AQ41" i="1"/>
  <c r="L41" i="1"/>
  <c r="F41" i="1"/>
  <c r="AP41" i="1"/>
  <c r="J41" i="1"/>
  <c r="D41" i="1"/>
  <c r="AN41" i="1" s="1"/>
  <c r="AM41" i="1"/>
  <c r="AL41" i="1"/>
  <c r="AK41" i="1"/>
  <c r="AJ41" i="1"/>
  <c r="E41" i="1"/>
  <c r="AI41" i="1"/>
  <c r="AF41" i="1"/>
  <c r="AX41" i="1" s="1"/>
  <c r="AE41" i="1"/>
  <c r="AW41" i="1"/>
  <c r="W41" i="1"/>
  <c r="BA41" i="1" s="1"/>
  <c r="R41" i="1"/>
  <c r="AD41" i="1"/>
  <c r="AV41" i="1" s="1"/>
  <c r="Q41" i="1"/>
  <c r="P41" i="1"/>
  <c r="K41" i="1"/>
  <c r="AO41" i="1" s="1"/>
  <c r="BY40" i="1"/>
  <c r="BX40" i="1"/>
  <c r="BW40" i="1"/>
  <c r="BJ40" i="1"/>
  <c r="BJ46" i="1" s="1"/>
  <c r="BM40" i="1" s="1"/>
  <c r="BM46" i="1" s="1"/>
  <c r="BP40" i="1" s="1"/>
  <c r="BP46" i="1" s="1"/>
  <c r="BS40" i="1" s="1"/>
  <c r="Y40" i="1"/>
  <c r="BC40" i="1" s="1"/>
  <c r="X40" i="1"/>
  <c r="BB40" i="1"/>
  <c r="W40" i="1"/>
  <c r="BA40" i="1"/>
  <c r="O40" i="1"/>
  <c r="AS40" i="1" s="1"/>
  <c r="I40" i="1"/>
  <c r="AM40" i="1" s="1"/>
  <c r="H40" i="1"/>
  <c r="AL40" i="1"/>
  <c r="E40" i="1"/>
  <c r="AC40" i="1" s="1"/>
  <c r="AU40" i="1" s="1"/>
  <c r="D40" i="1"/>
  <c r="AA40" i="1"/>
  <c r="U40" i="1"/>
  <c r="BE40" i="1"/>
  <c r="Z40" i="1"/>
  <c r="AF40" i="1" s="1"/>
  <c r="Q40" i="1"/>
  <c r="V40" i="1"/>
  <c r="AZ40" i="1"/>
  <c r="T40" i="1"/>
  <c r="S40" i="1"/>
  <c r="R40" i="1"/>
  <c r="P40" i="1"/>
  <c r="N40" i="1"/>
  <c r="AR40" i="1" s="1"/>
  <c r="M40" i="1"/>
  <c r="G40" i="1"/>
  <c r="AQ40" i="1"/>
  <c r="L40" i="1"/>
  <c r="K40" i="1"/>
  <c r="AO40" i="1" s="1"/>
  <c r="J40" i="1"/>
  <c r="AN40" i="1" s="1"/>
  <c r="AX40" i="1"/>
  <c r="AK40" i="1"/>
  <c r="F40" i="1"/>
  <c r="AJ40" i="1" s="1"/>
  <c r="B40" i="1"/>
  <c r="BV43" i="1"/>
  <c r="BE39" i="1"/>
  <c r="BD39" i="1"/>
  <c r="AG39" i="1"/>
  <c r="AY39" i="1" s="1"/>
  <c r="AF39" i="1"/>
  <c r="AX39" i="1"/>
  <c r="AS39" i="1"/>
  <c r="AR39" i="1"/>
  <c r="AM39" i="1"/>
  <c r="AL39" i="1"/>
  <c r="E39" i="1"/>
  <c r="AI39" i="1" s="1"/>
  <c r="F39" i="1"/>
  <c r="AJ39" i="1" s="1"/>
  <c r="X39" i="1"/>
  <c r="R39" i="1"/>
  <c r="AD39" i="1"/>
  <c r="AV39" i="1"/>
  <c r="Y39" i="1"/>
  <c r="BC39" i="1"/>
  <c r="BB39" i="1"/>
  <c r="W39" i="1"/>
  <c r="BA39" i="1"/>
  <c r="V39" i="1"/>
  <c r="AZ39" i="1"/>
  <c r="S39" i="1"/>
  <c r="Q39" i="1"/>
  <c r="P39" i="1"/>
  <c r="M39" i="1"/>
  <c r="AQ39" i="1" s="1"/>
  <c r="G39" i="1"/>
  <c r="AP39" i="1"/>
  <c r="K39" i="1"/>
  <c r="AO39" i="1" s="1"/>
  <c r="J39" i="1"/>
  <c r="AN39" i="1" s="1"/>
  <c r="D39" i="1"/>
  <c r="AH39" i="1" s="1"/>
  <c r="AK39" i="1"/>
  <c r="BE38" i="1"/>
  <c r="BD38" i="1"/>
  <c r="W38" i="1"/>
  <c r="BA38" i="1"/>
  <c r="AG38" i="1"/>
  <c r="AY38" i="1"/>
  <c r="AS38" i="1"/>
  <c r="AR38" i="1"/>
  <c r="AM38" i="1"/>
  <c r="AL38" i="1"/>
  <c r="F38" i="1"/>
  <c r="AJ38" i="1"/>
  <c r="E38" i="1"/>
  <c r="AI38" i="1"/>
  <c r="AF38" i="1"/>
  <c r="AX38" i="1" s="1"/>
  <c r="Q38" i="1"/>
  <c r="AC38" i="1" s="1"/>
  <c r="AU38" i="1" s="1"/>
  <c r="CA41" i="1" s="1"/>
  <c r="Y38" i="1"/>
  <c r="BC38" i="1" s="1"/>
  <c r="X38" i="1"/>
  <c r="BB38" i="1"/>
  <c r="V38" i="1"/>
  <c r="AZ38" i="1" s="1"/>
  <c r="BZ41" i="1" s="1"/>
  <c r="S38" i="1"/>
  <c r="R38" i="1"/>
  <c r="P38" i="1"/>
  <c r="M38" i="1"/>
  <c r="L38" i="1"/>
  <c r="AP38" i="1"/>
  <c r="K38" i="1"/>
  <c r="AO38" i="1" s="1"/>
  <c r="J38" i="1"/>
  <c r="AN38" i="1" s="1"/>
  <c r="D38" i="1"/>
  <c r="G38" i="1"/>
  <c r="AD38" i="1"/>
  <c r="AV38" i="1" s="1"/>
  <c r="AH38" i="1"/>
  <c r="BG41" i="1" s="1" a="1"/>
  <c r="BH41" i="1" s="1"/>
  <c r="BY41" i="1" s="1"/>
  <c r="B38" i="1"/>
  <c r="BV41" i="1" s="1"/>
  <c r="AG37" i="1"/>
  <c r="AY37" i="1"/>
  <c r="AC37" i="1"/>
  <c r="AU37" i="1"/>
  <c r="AB37" i="1"/>
  <c r="AT37" i="1"/>
  <c r="AF37" i="1"/>
  <c r="AX37" i="1" s="1"/>
  <c r="AE37" i="1"/>
  <c r="AW37" i="1"/>
  <c r="AD37" i="1"/>
  <c r="AV37" i="1"/>
  <c r="AG36" i="1"/>
  <c r="AY36" i="1"/>
  <c r="AF36" i="1"/>
  <c r="AX36" i="1" s="1"/>
  <c r="AD36" i="1"/>
  <c r="AV36" i="1"/>
  <c r="AC36" i="1"/>
  <c r="AU36" i="1"/>
  <c r="B35" i="1"/>
  <c r="BV35" i="1"/>
  <c r="BE35" i="1"/>
  <c r="Z35" i="1"/>
  <c r="BD35" i="1" s="1"/>
  <c r="X35" i="1"/>
  <c r="BB35" i="1"/>
  <c r="V35" i="1"/>
  <c r="AZ35" i="1"/>
  <c r="AG35" i="1"/>
  <c r="AY35" i="1"/>
  <c r="AS35" i="1"/>
  <c r="N35" i="1"/>
  <c r="AR35" i="1"/>
  <c r="L35" i="1"/>
  <c r="AP35" i="1" s="1"/>
  <c r="J35" i="1"/>
  <c r="AN35" i="1"/>
  <c r="AM35" i="1"/>
  <c r="E35" i="1"/>
  <c r="AI35" i="1" s="1"/>
  <c r="D35" i="1"/>
  <c r="AH35" i="1"/>
  <c r="Y35" i="1"/>
  <c r="BC35" i="1" s="1"/>
  <c r="W35" i="1"/>
  <c r="BA35" i="1"/>
  <c r="T35" i="1"/>
  <c r="AF35" i="1" s="1"/>
  <c r="AX35" i="1" s="1"/>
  <c r="S35" i="1"/>
  <c r="R35" i="1"/>
  <c r="Q35" i="1"/>
  <c r="P35" i="1"/>
  <c r="M35" i="1"/>
  <c r="AQ35" i="1"/>
  <c r="K35" i="1"/>
  <c r="AO35" i="1"/>
  <c r="H35" i="1"/>
  <c r="G35" i="1"/>
  <c r="AK35" i="1"/>
  <c r="F35" i="1"/>
  <c r="AJ35" i="1" s="1"/>
  <c r="AB35" i="1"/>
  <c r="AT35" i="1"/>
  <c r="BE34" i="1"/>
  <c r="Y34" i="1"/>
  <c r="BC34" i="1"/>
  <c r="AS34" i="1"/>
  <c r="M34" i="1"/>
  <c r="AQ34" i="1" s="1"/>
  <c r="K34" i="1"/>
  <c r="AO34" i="1"/>
  <c r="AM34" i="1"/>
  <c r="F34" i="1"/>
  <c r="AJ34" i="1"/>
  <c r="AG34" i="1"/>
  <c r="AY34" i="1"/>
  <c r="Z34" i="1"/>
  <c r="BD34" i="1"/>
  <c r="X34" i="1"/>
  <c r="BB34" i="1"/>
  <c r="W34" i="1"/>
  <c r="BA34" i="1"/>
  <c r="V34" i="1"/>
  <c r="AZ34" i="1"/>
  <c r="T34" i="1"/>
  <c r="S34" i="1"/>
  <c r="AE34" i="1" s="1"/>
  <c r="AW34" i="1" s="1"/>
  <c r="R34" i="1"/>
  <c r="Q34" i="1"/>
  <c r="P34" i="1"/>
  <c r="N34" i="1"/>
  <c r="AR34" i="1"/>
  <c r="L34" i="1"/>
  <c r="AP34" i="1" s="1"/>
  <c r="J34" i="1"/>
  <c r="AN34" i="1"/>
  <c r="H34" i="1"/>
  <c r="AL34" i="1" s="1"/>
  <c r="G34" i="1"/>
  <c r="E34" i="1"/>
  <c r="AI34" i="1" s="1"/>
  <c r="D34" i="1"/>
  <c r="AH34" i="1"/>
  <c r="B34" i="1"/>
  <c r="B33" i="1"/>
  <c r="BV33" i="1"/>
  <c r="BE33" i="1"/>
  <c r="BD33" i="1"/>
  <c r="W33" i="1"/>
  <c r="BA33" i="1"/>
  <c r="AF33" i="1"/>
  <c r="AX33" i="1" s="1"/>
  <c r="AS33" i="1"/>
  <c r="AR33" i="1"/>
  <c r="K33" i="1"/>
  <c r="AO33" i="1" s="1"/>
  <c r="J33" i="1"/>
  <c r="AN33" i="1" s="1"/>
  <c r="AM33" i="1"/>
  <c r="AL33" i="1"/>
  <c r="G33" i="1"/>
  <c r="AK33" i="1"/>
  <c r="F33" i="1"/>
  <c r="AJ33" i="1" s="1"/>
  <c r="AG33" i="1"/>
  <c r="AY33" i="1" s="1"/>
  <c r="X33" i="1"/>
  <c r="BB33" i="1" s="1"/>
  <c r="R33" i="1"/>
  <c r="Y33" i="1"/>
  <c r="BC33" i="1" s="1"/>
  <c r="V33" i="1"/>
  <c r="AZ33" i="1" s="1"/>
  <c r="S33" i="1"/>
  <c r="Q33" i="1"/>
  <c r="P33" i="1"/>
  <c r="M33" i="1"/>
  <c r="AQ33" i="1" s="1"/>
  <c r="L33" i="1"/>
  <c r="AP33" i="1"/>
  <c r="AE33" i="1"/>
  <c r="AW33" i="1" s="1"/>
  <c r="E33" i="1"/>
  <c r="AI33" i="1"/>
  <c r="D33" i="1"/>
  <c r="AH33" i="1" s="1"/>
  <c r="B32" i="1"/>
  <c r="BV32" i="1"/>
  <c r="BJ26" i="1"/>
  <c r="BJ32" i="1"/>
  <c r="BM26" i="1"/>
  <c r="BM32" i="1"/>
  <c r="BP26" i="1" s="1"/>
  <c r="BP32" i="1" s="1"/>
  <c r="BS26" i="1" s="1"/>
  <c r="BE32" i="1"/>
  <c r="BD32" i="1"/>
  <c r="BC32" i="1"/>
  <c r="X32" i="1"/>
  <c r="BB32" i="1"/>
  <c r="AE32" i="1"/>
  <c r="AW32" i="1"/>
  <c r="AS32" i="1"/>
  <c r="AR32" i="1"/>
  <c r="AQ32" i="1"/>
  <c r="J32" i="1"/>
  <c r="AN32" i="1"/>
  <c r="AM32" i="1"/>
  <c r="AL32" i="1"/>
  <c r="AK32" i="1"/>
  <c r="AG32" i="1"/>
  <c r="AY32" i="1"/>
  <c r="AF32" i="1"/>
  <c r="AX32" i="1"/>
  <c r="W32" i="1"/>
  <c r="BA32" i="1"/>
  <c r="V32" i="1"/>
  <c r="AZ32" i="1"/>
  <c r="BZ32" i="1" s="1"/>
  <c r="BK8" i="1" s="1"/>
  <c r="D32" i="1"/>
  <c r="AH32" i="1"/>
  <c r="E32" i="1"/>
  <c r="AI32" i="1"/>
  <c r="F32" i="1"/>
  <c r="AJ32" i="1"/>
  <c r="R32" i="1"/>
  <c r="Q32" i="1"/>
  <c r="P32" i="1"/>
  <c r="AP32" i="1"/>
  <c r="K32" i="1"/>
  <c r="AO32" i="1" s="1"/>
  <c r="B31" i="1"/>
  <c r="BV31" i="1" s="1"/>
  <c r="BE31" i="1"/>
  <c r="BD31" i="1"/>
  <c r="BC31" i="1"/>
  <c r="X31" i="1"/>
  <c r="BB31" i="1"/>
  <c r="AG31" i="1"/>
  <c r="AY31" i="1"/>
  <c r="AF31" i="1"/>
  <c r="AX31" i="1"/>
  <c r="AE31" i="1"/>
  <c r="AW31" i="1"/>
  <c r="AS31" i="1"/>
  <c r="AR31" i="1"/>
  <c r="AQ31" i="1"/>
  <c r="K31" i="1"/>
  <c r="AO31" i="1" s="1"/>
  <c r="AM31" i="1"/>
  <c r="AL31" i="1"/>
  <c r="AK31" i="1"/>
  <c r="D31" i="1"/>
  <c r="AH31" i="1"/>
  <c r="F31" i="1"/>
  <c r="AD31" i="1" s="1"/>
  <c r="AV31" i="1" s="1"/>
  <c r="R31" i="1"/>
  <c r="W31" i="1"/>
  <c r="BA31" i="1"/>
  <c r="V31" i="1"/>
  <c r="AZ31" i="1"/>
  <c r="Q31" i="1"/>
  <c r="P31" i="1"/>
  <c r="L31" i="1"/>
  <c r="AP31" i="1"/>
  <c r="J31" i="1"/>
  <c r="AN31" i="1"/>
  <c r="AJ31" i="1"/>
  <c r="E31" i="1"/>
  <c r="AC31" i="1" s="1"/>
  <c r="AU31" i="1" s="1"/>
  <c r="BE30" i="1"/>
  <c r="BD30" i="1"/>
  <c r="Y30" i="1"/>
  <c r="BC30" i="1"/>
  <c r="AG30" i="1"/>
  <c r="AY30" i="1"/>
  <c r="AF30" i="1"/>
  <c r="AX30" i="1"/>
  <c r="AS30" i="1"/>
  <c r="AR30" i="1"/>
  <c r="L30" i="1"/>
  <c r="AP30" i="1"/>
  <c r="J30" i="1"/>
  <c r="AN30" i="1"/>
  <c r="AM30" i="1"/>
  <c r="AL30" i="1"/>
  <c r="BZ30" i="1" s="1"/>
  <c r="BK6" i="1" s="1"/>
  <c r="CD12" i="1" s="1"/>
  <c r="CD13" i="1" s="1"/>
  <c r="AJ30" i="1"/>
  <c r="E30" i="1"/>
  <c r="AI30" i="1"/>
  <c r="G30" i="1"/>
  <c r="S30" i="1"/>
  <c r="AE30" i="1"/>
  <c r="AW30" i="1"/>
  <c r="X30" i="1"/>
  <c r="BB30" i="1"/>
  <c r="W30" i="1"/>
  <c r="BA30" i="1"/>
  <c r="V30" i="1"/>
  <c r="AZ30" i="1"/>
  <c r="R30" i="1"/>
  <c r="Q30" i="1"/>
  <c r="AC30" i="1" s="1"/>
  <c r="AU30" i="1" s="1"/>
  <c r="P30" i="1"/>
  <c r="M30" i="1"/>
  <c r="AQ30" i="1" s="1"/>
  <c r="K30" i="1"/>
  <c r="AO30" i="1" s="1"/>
  <c r="AK30" i="1"/>
  <c r="AD30" i="1"/>
  <c r="AV30" i="1"/>
  <c r="D30" i="1"/>
  <c r="AH30" i="1"/>
  <c r="B30" i="1"/>
  <c r="BV30" i="1" s="1"/>
  <c r="B29" i="1"/>
  <c r="BV29" i="1"/>
  <c r="BE29" i="1"/>
  <c r="BD29" i="1"/>
  <c r="BC29" i="1"/>
  <c r="X29" i="1"/>
  <c r="BB29" i="1"/>
  <c r="W29" i="1"/>
  <c r="BA29" i="1" s="1"/>
  <c r="V29" i="1"/>
  <c r="AZ29" i="1" s="1"/>
  <c r="AE29" i="1"/>
  <c r="AW29" i="1"/>
  <c r="AS29" i="1"/>
  <c r="AR29" i="1"/>
  <c r="AQ29" i="1"/>
  <c r="J29" i="1"/>
  <c r="AN29" i="1"/>
  <c r="AM29" i="1"/>
  <c r="AL29" i="1"/>
  <c r="AK29" i="1"/>
  <c r="F29" i="1"/>
  <c r="AD29" i="1" s="1"/>
  <c r="AV29" i="1" s="1"/>
  <c r="AJ29" i="1"/>
  <c r="AG29" i="1"/>
  <c r="AY29" i="1" s="1"/>
  <c r="AF29" i="1"/>
  <c r="AX29" i="1" s="1"/>
  <c r="R29" i="1"/>
  <c r="Q29" i="1"/>
  <c r="P29" i="1"/>
  <c r="L29" i="1"/>
  <c r="AP29" i="1"/>
  <c r="K29" i="1"/>
  <c r="AO29" i="1"/>
  <c r="E29" i="1"/>
  <c r="D29" i="1"/>
  <c r="AB29" i="1" s="1"/>
  <c r="AT29" i="1" s="1"/>
  <c r="AH29" i="1"/>
  <c r="B28" i="1"/>
  <c r="BJ4" i="1" s="1"/>
  <c r="BV28" i="1"/>
  <c r="BE28" i="1"/>
  <c r="W28" i="1"/>
  <c r="BA28" i="1"/>
  <c r="AS28" i="1"/>
  <c r="M28" i="1"/>
  <c r="AQ28" i="1"/>
  <c r="L28" i="1"/>
  <c r="AP28" i="1"/>
  <c r="AM28" i="1"/>
  <c r="H28" i="1"/>
  <c r="AL28" i="1"/>
  <c r="G28" i="1"/>
  <c r="AK28" i="1"/>
  <c r="D28" i="1"/>
  <c r="AH28" i="1" s="1"/>
  <c r="AG28" i="1"/>
  <c r="AY28" i="1" s="1"/>
  <c r="Z28" i="1"/>
  <c r="BD28" i="1"/>
  <c r="Y28" i="1"/>
  <c r="BC28" i="1"/>
  <c r="X28" i="1"/>
  <c r="BB28" i="1" s="1"/>
  <c r="V28" i="1"/>
  <c r="AZ28" i="1" s="1"/>
  <c r="T28" i="1"/>
  <c r="S28" i="1"/>
  <c r="AE28" i="1" s="1"/>
  <c r="AW28" i="1" s="1"/>
  <c r="R28" i="1"/>
  <c r="Q28" i="1"/>
  <c r="P28" i="1"/>
  <c r="N28" i="1"/>
  <c r="AR28" i="1"/>
  <c r="K28" i="1"/>
  <c r="AO28" i="1"/>
  <c r="J28" i="1"/>
  <c r="AN28" i="1" s="1"/>
  <c r="F28" i="1"/>
  <c r="AJ28" i="1"/>
  <c r="E28" i="1"/>
  <c r="AI28" i="1"/>
  <c r="CN27" i="1"/>
  <c r="BE27" i="1"/>
  <c r="Z27" i="1"/>
  <c r="BD27" i="1"/>
  <c r="Y27" i="1"/>
  <c r="BC27" i="1" s="1"/>
  <c r="AG27" i="1"/>
  <c r="AY27" i="1" s="1"/>
  <c r="F27" i="1"/>
  <c r="AJ27" i="1" s="1"/>
  <c r="X27" i="1"/>
  <c r="R27" i="1"/>
  <c r="AS27" i="1"/>
  <c r="N27" i="1"/>
  <c r="AR27" i="1" s="1"/>
  <c r="M27" i="1"/>
  <c r="AQ27" i="1"/>
  <c r="K27" i="1"/>
  <c r="AO27" i="1"/>
  <c r="AM27" i="1"/>
  <c r="E27" i="1"/>
  <c r="AI27" i="1"/>
  <c r="H27" i="1"/>
  <c r="T27" i="1"/>
  <c r="AF27" i="1"/>
  <c r="AX27" i="1" s="1"/>
  <c r="G27" i="1"/>
  <c r="AE27" i="1" s="1"/>
  <c r="S27" i="1"/>
  <c r="AW27" i="1"/>
  <c r="W27" i="1"/>
  <c r="BA27" i="1"/>
  <c r="V27" i="1"/>
  <c r="AZ27" i="1" s="1"/>
  <c r="Q27" i="1"/>
  <c r="P27" i="1"/>
  <c r="L27" i="1"/>
  <c r="AP27" i="1"/>
  <c r="AL27" i="1"/>
  <c r="AC27" i="1"/>
  <c r="AU27" i="1" s="1"/>
  <c r="D27" i="1"/>
  <c r="B27" i="1"/>
  <c r="CN26" i="1"/>
  <c r="BV26" i="1"/>
  <c r="BV40" i="1" s="1"/>
  <c r="G24" i="1"/>
  <c r="BN20" i="1"/>
  <c r="BL20" i="1"/>
  <c r="BJ20" i="1"/>
  <c r="BN18" i="1"/>
  <c r="BL18" i="1"/>
  <c r="BJ18" i="1"/>
  <c r="BN17" i="1"/>
  <c r="BL17" i="1"/>
  <c r="BJ17" i="1"/>
  <c r="BN16" i="1"/>
  <c r="BL16" i="1"/>
  <c r="BJ16" i="1"/>
  <c r="BN15" i="1"/>
  <c r="BL15" i="1"/>
  <c r="BJ15" i="1"/>
  <c r="CG2" i="1"/>
  <c r="CM2" i="1" s="1"/>
  <c r="CN1" i="1"/>
  <c r="BN14" i="1"/>
  <c r="BL14" i="1"/>
  <c r="BJ14" i="1"/>
  <c r="BN13" i="1"/>
  <c r="BL13" i="1"/>
  <c r="BJ13" i="1"/>
  <c r="X5" i="1"/>
  <c r="X9" i="1"/>
  <c r="X13" i="1" s="1"/>
  <c r="X17" i="1" s="1"/>
  <c r="X21" i="1" s="1"/>
  <c r="BN12" i="1"/>
  <c r="BL12" i="1"/>
  <c r="BJ12" i="1"/>
  <c r="X8" i="1"/>
  <c r="X12" i="1"/>
  <c r="X16" i="1" s="1"/>
  <c r="X20" i="1" s="1"/>
  <c r="BN11" i="1"/>
  <c r="BL11" i="1"/>
  <c r="BJ11" i="1"/>
  <c r="BN10" i="1"/>
  <c r="BL10" i="1"/>
  <c r="CG3" i="1"/>
  <c r="BN9" i="1"/>
  <c r="BL9" i="1"/>
  <c r="BJ9" i="1"/>
  <c r="BN8" i="1"/>
  <c r="BL8" i="1"/>
  <c r="BJ8" i="1"/>
  <c r="BN7" i="1"/>
  <c r="BL7" i="1"/>
  <c r="BJ7" i="1"/>
  <c r="BN6" i="1"/>
  <c r="BL6" i="1"/>
  <c r="X6" i="1"/>
  <c r="X7" i="1" s="1"/>
  <c r="X10" i="1" s="1"/>
  <c r="X11" i="1" s="1"/>
  <c r="X14" i="1" s="1"/>
  <c r="X15" i="1" s="1"/>
  <c r="X18" i="1" s="1"/>
  <c r="X19" i="1" s="1"/>
  <c r="X22" i="1" s="1"/>
  <c r="X23" i="1" s="1"/>
  <c r="CU5" i="1"/>
  <c r="CG5" i="1"/>
  <c r="BN5" i="1"/>
  <c r="BL5" i="1"/>
  <c r="BJ5" i="1"/>
  <c r="BN4" i="1"/>
  <c r="BL4" i="1"/>
  <c r="Y4" i="1"/>
  <c r="CE3" i="1"/>
  <c r="Z3" i="1"/>
  <c r="CE2" i="1"/>
  <c r="CE6" i="1" s="1"/>
  <c r="CE12" i="1" s="1"/>
  <c r="CE8" i="1"/>
  <c r="AD28" i="1"/>
  <c r="AV28" i="1" s="1"/>
  <c r="AO43" i="1"/>
  <c r="Y5" i="1"/>
  <c r="Z4" i="1"/>
  <c r="AN42" i="1"/>
  <c r="D36" i="1"/>
  <c r="AB36" i="1" s="1"/>
  <c r="AT36" i="1" s="1"/>
  <c r="AH42" i="1"/>
  <c r="AB42" i="1"/>
  <c r="AT42" i="1" s="1"/>
  <c r="BZ46" i="1"/>
  <c r="BK17" i="1"/>
  <c r="CE5" i="1"/>
  <c r="CE11" i="1" s="1"/>
  <c r="CI11" i="1" s="1"/>
  <c r="BJ3" i="1"/>
  <c r="BV27" i="1"/>
  <c r="AC29" i="1"/>
  <c r="AU29" i="1" s="1"/>
  <c r="BJ6" i="1"/>
  <c r="AB32" i="1"/>
  <c r="AT32" i="1"/>
  <c r="CA32" i="1" s="1"/>
  <c r="BM8" i="1" s="1"/>
  <c r="AK38" i="1"/>
  <c r="AE38" i="1"/>
  <c r="AW38" i="1" s="1"/>
  <c r="AQ38" i="1"/>
  <c r="AH44" i="1"/>
  <c r="AB44" i="1"/>
  <c r="AT44" i="1"/>
  <c r="BV34" i="1"/>
  <c r="BJ10" i="1"/>
  <c r="AK34" i="1"/>
  <c r="AF34" i="1"/>
  <c r="AX34" i="1"/>
  <c r="AC43" i="1"/>
  <c r="AU43" i="1" s="1"/>
  <c r="CA46" i="1" s="1"/>
  <c r="BM17" i="1" s="1"/>
  <c r="CI2" i="1"/>
  <c r="AH27" i="1"/>
  <c r="AF28" i="1"/>
  <c r="AX28" i="1"/>
  <c r="AC28" i="1"/>
  <c r="AU28" i="1" s="1"/>
  <c r="AL35" i="1"/>
  <c r="L168" i="1"/>
  <c r="L172" i="1"/>
  <c r="AC32" i="1"/>
  <c r="AU32" i="1"/>
  <c r="AB34" i="1"/>
  <c r="AT34" i="1"/>
  <c r="CA34" i="1" s="1"/>
  <c r="BM10" i="1" s="1"/>
  <c r="CF24" i="1" s="1"/>
  <c r="CF25" i="1" s="1"/>
  <c r="AC35" i="1"/>
  <c r="AU35" i="1"/>
  <c r="AD35" i="1"/>
  <c r="AV35" i="1" s="1"/>
  <c r="AE35" i="1"/>
  <c r="AW35" i="1" s="1"/>
  <c r="AB39" i="1"/>
  <c r="AT39" i="1" s="1"/>
  <c r="AE39" i="1"/>
  <c r="AW39" i="1"/>
  <c r="AB41" i="1"/>
  <c r="AT41" i="1" s="1"/>
  <c r="AD45" i="1"/>
  <c r="AV45" i="1"/>
  <c r="AD32" i="1"/>
  <c r="AV32" i="1"/>
  <c r="AB33" i="1"/>
  <c r="AT33" i="1" s="1"/>
  <c r="AC34" i="1"/>
  <c r="AU34" i="1" s="1"/>
  <c r="AI45" i="1"/>
  <c r="AO45" i="1"/>
  <c r="AD46" i="1"/>
  <c r="AV46" i="1"/>
  <c r="AB30" i="1"/>
  <c r="AT30" i="1"/>
  <c r="CA30" i="1" s="1"/>
  <c r="BM6" i="1" s="1"/>
  <c r="CF12" i="1" s="1"/>
  <c r="CF13" i="1" s="1"/>
  <c r="CK2" i="1"/>
  <c r="CN2" i="1" s="1"/>
  <c r="AB31" i="1"/>
  <c r="AT31" i="1" s="1"/>
  <c r="AC33" i="1"/>
  <c r="AU33" i="1"/>
  <c r="AD34" i="1"/>
  <c r="AV34" i="1" s="1"/>
  <c r="AE40" i="1"/>
  <c r="AW40" i="1" s="1"/>
  <c r="AB43" i="1"/>
  <c r="AT43" i="1"/>
  <c r="AD43" i="1"/>
  <c r="AV43" i="1"/>
  <c r="AN44" i="1"/>
  <c r="AJ44" i="1"/>
  <c r="AI46" i="1"/>
  <c r="AB38" i="1"/>
  <c r="AT38" i="1"/>
  <c r="AD40" i="1"/>
  <c r="AV40" i="1"/>
  <c r="AP40" i="1"/>
  <c r="AB45" i="1"/>
  <c r="AT45" i="1"/>
  <c r="AF45" i="1"/>
  <c r="AX45" i="1"/>
  <c r="AB46" i="1"/>
  <c r="AT46" i="1" s="1"/>
  <c r="AF46" i="1"/>
  <c r="AX46" i="1" s="1"/>
  <c r="G36" i="1"/>
  <c r="AE36" i="1" s="1"/>
  <c r="AW36" i="1" s="1"/>
  <c r="M143" i="1"/>
  <c r="K366" i="1"/>
  <c r="N115" i="1"/>
  <c r="N116" i="1"/>
  <c r="N119" i="1"/>
  <c r="N120" i="1"/>
  <c r="N168" i="1"/>
  <c r="N172" i="1"/>
  <c r="N183" i="1"/>
  <c r="N185" i="1"/>
  <c r="N187" i="1"/>
  <c r="O197" i="1"/>
  <c r="K197" i="1"/>
  <c r="O198" i="1"/>
  <c r="O205" i="1"/>
  <c r="K205" i="1"/>
  <c r="M238" i="1"/>
  <c r="L238" i="1"/>
  <c r="K238" i="1"/>
  <c r="M271" i="1"/>
  <c r="L271" i="1"/>
  <c r="K271" i="1"/>
  <c r="M366" i="1"/>
  <c r="P407" i="1"/>
  <c r="L407" i="1"/>
  <c r="O407" i="1"/>
  <c r="K407" i="1"/>
  <c r="N407" i="1"/>
  <c r="M407" i="1"/>
  <c r="N58" i="1"/>
  <c r="N60" i="1"/>
  <c r="N62" i="1"/>
  <c r="N64" i="1"/>
  <c r="N74" i="1"/>
  <c r="N76" i="1"/>
  <c r="N78" i="1"/>
  <c r="N80" i="1"/>
  <c r="N82" i="1"/>
  <c r="N84" i="1"/>
  <c r="K115" i="1"/>
  <c r="K116" i="1"/>
  <c r="K119" i="1"/>
  <c r="K120" i="1"/>
  <c r="K148" i="1"/>
  <c r="K149" i="1"/>
  <c r="K150" i="1"/>
  <c r="K151" i="1"/>
  <c r="K152" i="1"/>
  <c r="K153" i="1"/>
  <c r="K154" i="1"/>
  <c r="K155" i="1"/>
  <c r="K156" i="1"/>
  <c r="N165" i="1"/>
  <c r="N169" i="1"/>
  <c r="N173" i="1"/>
  <c r="K168" i="1"/>
  <c r="K172" i="1"/>
  <c r="K183" i="1"/>
  <c r="O183" i="1"/>
  <c r="K185" i="1"/>
  <c r="O185" i="1"/>
  <c r="K187" i="1"/>
  <c r="O187" i="1"/>
  <c r="L197" i="1"/>
  <c r="K198" i="1"/>
  <c r="O199" i="1"/>
  <c r="K199" i="1"/>
  <c r="O200" i="1"/>
  <c r="L205" i="1"/>
  <c r="K214" i="1"/>
  <c r="L215" i="1"/>
  <c r="L217" i="1"/>
  <c r="L219" i="1"/>
  <c r="L221" i="1"/>
  <c r="L223" i="1"/>
  <c r="K217" i="1"/>
  <c r="K218" i="1"/>
  <c r="K221" i="1"/>
  <c r="K222" i="1"/>
  <c r="M234" i="1"/>
  <c r="L234" i="1"/>
  <c r="K234" i="1"/>
  <c r="N238" i="1"/>
  <c r="M260" i="1"/>
  <c r="P260" i="1"/>
  <c r="L260" i="1"/>
  <c r="O260" i="1"/>
  <c r="K260" i="1"/>
  <c r="M272" i="1"/>
  <c r="L272" i="1"/>
  <c r="K272" i="1"/>
  <c r="M57" i="1"/>
  <c r="O58" i="1"/>
  <c r="O60" i="1"/>
  <c r="O62" i="1"/>
  <c r="O64" i="1"/>
  <c r="M59" i="1"/>
  <c r="K60" i="1"/>
  <c r="M61" i="1"/>
  <c r="K62" i="1"/>
  <c r="M63" i="1"/>
  <c r="K64" i="1"/>
  <c r="M65" i="1"/>
  <c r="K74" i="1"/>
  <c r="O74" i="1"/>
  <c r="O69" i="1" s="1"/>
  <c r="O76" i="1"/>
  <c r="O78" i="1"/>
  <c r="O80" i="1"/>
  <c r="O82" i="1"/>
  <c r="O84" i="1"/>
  <c r="M75" i="1"/>
  <c r="K76" i="1"/>
  <c r="M77" i="1"/>
  <c r="K78" i="1"/>
  <c r="M79" i="1"/>
  <c r="M69" i="1" s="1"/>
  <c r="K80" i="1"/>
  <c r="M81" i="1"/>
  <c r="K82" i="1"/>
  <c r="M83" i="1"/>
  <c r="K84" i="1"/>
  <c r="K93" i="1"/>
  <c r="K94" i="1"/>
  <c r="K95" i="1"/>
  <c r="K96" i="1"/>
  <c r="K97" i="1"/>
  <c r="K98" i="1"/>
  <c r="K99" i="1"/>
  <c r="K100" i="1"/>
  <c r="K101" i="1"/>
  <c r="K102" i="1"/>
  <c r="K103" i="1"/>
  <c r="K104" i="1"/>
  <c r="M114" i="1"/>
  <c r="M118" i="1"/>
  <c r="M122" i="1"/>
  <c r="L115" i="1"/>
  <c r="L119" i="1"/>
  <c r="L148" i="1"/>
  <c r="L149" i="1"/>
  <c r="L150" i="1"/>
  <c r="L151" i="1"/>
  <c r="L152" i="1"/>
  <c r="L153" i="1"/>
  <c r="L154" i="1"/>
  <c r="L155" i="1"/>
  <c r="L156" i="1"/>
  <c r="K165" i="1"/>
  <c r="K169" i="1"/>
  <c r="K173" i="1"/>
  <c r="M167" i="1"/>
  <c r="M171" i="1"/>
  <c r="L183" i="1"/>
  <c r="L185" i="1"/>
  <c r="L187" i="1"/>
  <c r="M197" i="1"/>
  <c r="L198" i="1"/>
  <c r="L199" i="1"/>
  <c r="K200" i="1"/>
  <c r="O201" i="1"/>
  <c r="K201" i="1"/>
  <c r="O202" i="1"/>
  <c r="N204" i="1"/>
  <c r="M205" i="1"/>
  <c r="M214" i="1"/>
  <c r="M215" i="1"/>
  <c r="M218" i="1"/>
  <c r="M219" i="1"/>
  <c r="M222" i="1"/>
  <c r="M223" i="1"/>
  <c r="N234" i="1"/>
  <c r="M256" i="1"/>
  <c r="P256" i="1"/>
  <c r="L256" i="1"/>
  <c r="O256" i="1"/>
  <c r="K256" i="1"/>
  <c r="N260" i="1"/>
  <c r="L273" i="1"/>
  <c r="M273" i="1"/>
  <c r="K273" i="1"/>
  <c r="L277" i="1"/>
  <c r="M277" i="1"/>
  <c r="K277" i="1"/>
  <c r="L303" i="1"/>
  <c r="N303" i="1"/>
  <c r="M303" i="1"/>
  <c r="K303" i="1"/>
  <c r="K307" i="1"/>
  <c r="L307" i="1"/>
  <c r="N307" i="1"/>
  <c r="M307" i="1"/>
  <c r="N197" i="1"/>
  <c r="N198" i="1"/>
  <c r="M199" i="1"/>
  <c r="L200" i="1"/>
  <c r="O203" i="1"/>
  <c r="K203" i="1"/>
  <c r="O204" i="1"/>
  <c r="N205" i="1"/>
  <c r="N214" i="1"/>
  <c r="N215" i="1"/>
  <c r="N217" i="1"/>
  <c r="N218" i="1"/>
  <c r="N219" i="1"/>
  <c r="N221" i="1"/>
  <c r="N222" i="1"/>
  <c r="N223" i="1"/>
  <c r="M242" i="1"/>
  <c r="L242" i="1"/>
  <c r="K242" i="1"/>
  <c r="M252" i="1"/>
  <c r="P252" i="1"/>
  <c r="L252" i="1"/>
  <c r="O252" i="1"/>
  <c r="K252" i="1"/>
  <c r="M270" i="1"/>
  <c r="L270" i="1"/>
  <c r="K270" i="1"/>
  <c r="K276" i="1"/>
  <c r="N235" i="1"/>
  <c r="N239" i="1"/>
  <c r="N255" i="1"/>
  <c r="N259" i="1"/>
  <c r="O322" i="1"/>
  <c r="O326" i="1"/>
  <c r="O330" i="1"/>
  <c r="L381" i="1"/>
  <c r="K381" i="1"/>
  <c r="L383" i="1"/>
  <c r="K383" i="1"/>
  <c r="L385" i="1"/>
  <c r="K385" i="1"/>
  <c r="L387" i="1"/>
  <c r="K387" i="1"/>
  <c r="L389" i="1"/>
  <c r="K389" i="1"/>
  <c r="L391" i="1"/>
  <c r="K391" i="1"/>
  <c r="P411" i="1"/>
  <c r="L411" i="1"/>
  <c r="O411" i="1"/>
  <c r="K411" i="1"/>
  <c r="M233" i="1"/>
  <c r="M228" i="1" s="1"/>
  <c r="K235" i="1"/>
  <c r="M237" i="1"/>
  <c r="K239" i="1"/>
  <c r="M241" i="1"/>
  <c r="M253" i="1"/>
  <c r="K255" i="1"/>
  <c r="O255" i="1"/>
  <c r="M257" i="1"/>
  <c r="K259" i="1"/>
  <c r="O259" i="1"/>
  <c r="M261" i="1"/>
  <c r="O305" i="1"/>
  <c r="O309" i="1"/>
  <c r="N320" i="1"/>
  <c r="N324" i="1"/>
  <c r="N328" i="1"/>
  <c r="N332" i="1"/>
  <c r="K322" i="1"/>
  <c r="K326" i="1"/>
  <c r="K330" i="1"/>
  <c r="M381" i="1"/>
  <c r="M383" i="1"/>
  <c r="M385" i="1"/>
  <c r="M387" i="1"/>
  <c r="M389" i="1"/>
  <c r="M391" i="1"/>
  <c r="M404" i="1"/>
  <c r="P404" i="1"/>
  <c r="L404" i="1"/>
  <c r="M411" i="1"/>
  <c r="L255" i="1"/>
  <c r="L259" i="1"/>
  <c r="M276" i="1"/>
  <c r="O320" i="1"/>
  <c r="M322" i="1"/>
  <c r="O324" i="1"/>
  <c r="M326" i="1"/>
  <c r="M330" i="1"/>
  <c r="O328" i="1"/>
  <c r="O332" i="1"/>
  <c r="M340" i="1"/>
  <c r="L380" i="1"/>
  <c r="K380" i="1"/>
  <c r="L382" i="1"/>
  <c r="K382" i="1"/>
  <c r="K384" i="1"/>
  <c r="K386" i="1"/>
  <c r="K388" i="1"/>
  <c r="K390" i="1"/>
  <c r="K392" i="1"/>
  <c r="L384" i="1"/>
  <c r="L386" i="1"/>
  <c r="L388" i="1"/>
  <c r="L390" i="1"/>
  <c r="L392" i="1"/>
  <c r="O403" i="1"/>
  <c r="P403" i="1"/>
  <c r="P408" i="1"/>
  <c r="L403" i="1"/>
  <c r="L408" i="1"/>
  <c r="K403" i="1"/>
  <c r="K404" i="1"/>
  <c r="M408" i="1"/>
  <c r="N411" i="1"/>
  <c r="N402" i="1"/>
  <c r="N406" i="1"/>
  <c r="N410" i="1"/>
  <c r="K402" i="1"/>
  <c r="K406" i="1"/>
  <c r="K410" i="1"/>
  <c r="O192" i="1"/>
  <c r="BG44" i="1"/>
  <c r="BG43" i="1"/>
  <c r="BH45" i="1"/>
  <c r="BH42" i="1"/>
  <c r="CI8" i="1"/>
  <c r="CE14" i="1"/>
  <c r="L143" i="1"/>
  <c r="K69" i="1"/>
  <c r="M52" i="1"/>
  <c r="BS44" i="1"/>
  <c r="BS43" i="1"/>
  <c r="BT43" i="1"/>
  <c r="BT42" i="1"/>
  <c r="BY49" i="1" s="1"/>
  <c r="BT45" i="1"/>
  <c r="BT44" i="1"/>
  <c r="BK12" i="1"/>
  <c r="CI6" i="1"/>
  <c r="M265" i="1"/>
  <c r="O177" i="1"/>
  <c r="CF11" i="1"/>
  <c r="BZ47" i="1"/>
  <c r="BK18" i="1"/>
  <c r="CH21" i="1" s="1"/>
  <c r="CH22" i="1" s="1"/>
  <c r="N192" i="1"/>
  <c r="N69" i="1"/>
  <c r="K192" i="1"/>
  <c r="CH18" i="1"/>
  <c r="CH19" i="1"/>
  <c r="CH17" i="1"/>
  <c r="Z5" i="1"/>
  <c r="Y6" i="1"/>
  <c r="CE18" i="1"/>
  <c r="CI18" i="1" s="1"/>
  <c r="CI12" i="1"/>
  <c r="CH3" i="1"/>
  <c r="CH4" i="1"/>
  <c r="CH2" i="1"/>
  <c r="CI14" i="1"/>
  <c r="CE20" i="1"/>
  <c r="CF23" i="1"/>
  <c r="Y7" i="1"/>
  <c r="Z6" i="1"/>
  <c r="CE17" i="1"/>
  <c r="CE23" i="1" s="1"/>
  <c r="CI23" i="1" s="1"/>
  <c r="CI33" i="1" s="1"/>
  <c r="CI34" i="1" s="1"/>
  <c r="CH20" i="1"/>
  <c r="CE26" i="1"/>
  <c r="CI20" i="1"/>
  <c r="AB27" i="1" l="1"/>
  <c r="AT27" i="1" s="1"/>
  <c r="CF17" i="1"/>
  <c r="CF18" i="1"/>
  <c r="CF19" i="1" s="1"/>
  <c r="M370" i="1"/>
  <c r="BM12" i="1"/>
  <c r="CI17" i="1"/>
  <c r="CJ18" i="1"/>
  <c r="CJ19" i="1" s="1"/>
  <c r="CJ17" i="1"/>
  <c r="Z7" i="1"/>
  <c r="Y8" i="1"/>
  <c r="CE24" i="1"/>
  <c r="CI24" i="1" s="1"/>
  <c r="M209" i="1"/>
  <c r="BP27" i="1" a="1"/>
  <c r="CD11" i="1"/>
  <c r="CG11" i="1"/>
  <c r="CM5" i="1"/>
  <c r="CK5" i="1"/>
  <c r="CN5" i="1" s="1"/>
  <c r="CK3" i="1"/>
  <c r="CN3" i="1" s="1"/>
  <c r="CG9" i="1"/>
  <c r="CM3" i="1"/>
  <c r="BH44" i="1"/>
  <c r="CA35" i="1"/>
  <c r="BM11" i="1" s="1"/>
  <c r="BG27" i="1" a="1"/>
  <c r="CA45" i="1"/>
  <c r="BM16" i="1" s="1"/>
  <c r="CI3" i="1"/>
  <c r="CE9" i="1"/>
  <c r="BG33" i="1" a="1"/>
  <c r="BJ33" i="1" a="1"/>
  <c r="BZ33" i="1"/>
  <c r="BK9" i="1" s="1"/>
  <c r="BP33" i="1" a="1"/>
  <c r="BZ34" i="1"/>
  <c r="BK10" i="1" s="1"/>
  <c r="K143" i="1"/>
  <c r="Q143" i="1" s="1"/>
  <c r="BZ28" i="1"/>
  <c r="BK4" i="1" s="1"/>
  <c r="CD17" i="1"/>
  <c r="CD18" i="1"/>
  <c r="CD19" i="1" s="1"/>
  <c r="CA31" i="1"/>
  <c r="BM7" i="1" s="1"/>
  <c r="AI29" i="1"/>
  <c r="BJ27" i="1" s="1" a="1"/>
  <c r="D24" i="1"/>
  <c r="BG42" i="1"/>
  <c r="BX41" i="1" s="1"/>
  <c r="BG45" i="1"/>
  <c r="BH43" i="1"/>
  <c r="BS42" i="1"/>
  <c r="BX49" i="1" s="1"/>
  <c r="BS45" i="1"/>
  <c r="BT41" i="1"/>
  <c r="CI5" i="1"/>
  <c r="BB27" i="1"/>
  <c r="BZ27" i="1" s="1"/>
  <c r="AD27" i="1"/>
  <c r="AV27" i="1" s="1"/>
  <c r="CA27" i="1" s="1"/>
  <c r="BM33" i="1" a="1"/>
  <c r="BS27" i="1" a="1"/>
  <c r="BZ35" i="1"/>
  <c r="BK11" i="1" s="1"/>
  <c r="BG47" i="1" a="1"/>
  <c r="BZ42" i="1"/>
  <c r="BG41" i="1"/>
  <c r="BW41" i="1" s="1"/>
  <c r="O247" i="1"/>
  <c r="K88" i="1"/>
  <c r="CA42" i="1"/>
  <c r="CG8" i="1"/>
  <c r="AD44" i="1"/>
  <c r="AV44" i="1" s="1"/>
  <c r="CA47" i="1" s="1"/>
  <c r="BM18" i="1" s="1"/>
  <c r="AP44" i="1"/>
  <c r="BP41" i="1" s="1" a="1"/>
  <c r="AK27" i="1"/>
  <c r="AH41" i="1"/>
  <c r="K118" i="1"/>
  <c r="N118" i="1"/>
  <c r="N108" i="1" s="1"/>
  <c r="L118" i="1"/>
  <c r="CG6" i="1"/>
  <c r="O57" i="1"/>
  <c r="K57" i="1"/>
  <c r="N57" i="1"/>
  <c r="L57" i="1"/>
  <c r="L61" i="1"/>
  <c r="K61" i="1"/>
  <c r="N61" i="1"/>
  <c r="O61" i="1"/>
  <c r="L65" i="1"/>
  <c r="K65" i="1"/>
  <c r="N65" i="1"/>
  <c r="O65" i="1"/>
  <c r="M96" i="1"/>
  <c r="M104" i="1"/>
  <c r="L282" i="1"/>
  <c r="AE45" i="1"/>
  <c r="AW45" i="1" s="1"/>
  <c r="AQ45" i="1"/>
  <c r="BP47" i="1" s="1" a="1"/>
  <c r="AI31" i="1"/>
  <c r="BM27" i="1" s="1" a="1"/>
  <c r="AH40" i="1"/>
  <c r="AB40" i="1"/>
  <c r="AT40" i="1" s="1"/>
  <c r="CA43" i="1" s="1"/>
  <c r="BM14" i="1" s="1"/>
  <c r="BA42" i="1"/>
  <c r="AD33" i="1"/>
  <c r="AV33" i="1" s="1"/>
  <c r="CA33" i="1" s="1"/>
  <c r="BM9" i="1" s="1"/>
  <c r="AI40" i="1"/>
  <c r="AC41" i="1"/>
  <c r="AU41" i="1" s="1"/>
  <c r="AJ42" i="1"/>
  <c r="BM41" i="1" s="1" a="1"/>
  <c r="AD42" i="1"/>
  <c r="AV42" i="1" s="1"/>
  <c r="AN43" i="1"/>
  <c r="BM47" i="1" s="1" a="1"/>
  <c r="L59" i="1"/>
  <c r="K59" i="1"/>
  <c r="N59" i="1"/>
  <c r="O59" i="1"/>
  <c r="L63" i="1"/>
  <c r="K63" i="1"/>
  <c r="N63" i="1"/>
  <c r="O63" i="1"/>
  <c r="L93" i="1"/>
  <c r="M93" i="1"/>
  <c r="L101" i="1"/>
  <c r="M101" i="1"/>
  <c r="AB28" i="1"/>
  <c r="AT28" i="1" s="1"/>
  <c r="CA28" i="1" s="1"/>
  <c r="BM4" i="1" s="1"/>
  <c r="AC39" i="1"/>
  <c r="AU39" i="1" s="1"/>
  <c r="BD40" i="1"/>
  <c r="AC46" i="1"/>
  <c r="AU46" i="1" s="1"/>
  <c r="CA49" i="1" s="1"/>
  <c r="BM20" i="1" s="1"/>
  <c r="BA46" i="1"/>
  <c r="BZ49" i="1" s="1"/>
  <c r="BK20" i="1" s="1"/>
  <c r="M121" i="1"/>
  <c r="M108" i="1" s="1"/>
  <c r="N121" i="1"/>
  <c r="M131" i="1"/>
  <c r="M133" i="1"/>
  <c r="M135" i="1"/>
  <c r="M137" i="1"/>
  <c r="M139" i="1"/>
  <c r="M166" i="1"/>
  <c r="M160" i="1" s="1"/>
  <c r="L169" i="1"/>
  <c r="L160" i="1" s="1"/>
  <c r="M200" i="1"/>
  <c r="M192" i="1" s="1"/>
  <c r="K233" i="1"/>
  <c r="O253" i="1"/>
  <c r="P254" i="1"/>
  <c r="K375" i="1"/>
  <c r="K377" i="1"/>
  <c r="L406" i="1"/>
  <c r="O410" i="1"/>
  <c r="L233" i="1"/>
  <c r="L228" i="1" s="1"/>
  <c r="P253" i="1"/>
  <c r="P247" i="1" s="1"/>
  <c r="M306" i="1"/>
  <c r="M308" i="1"/>
  <c r="O321" i="1"/>
  <c r="M323" i="1"/>
  <c r="L330" i="1"/>
  <c r="M333" i="1"/>
  <c r="L350" i="1"/>
  <c r="L340" i="1" s="1"/>
  <c r="L375" i="1"/>
  <c r="L377" i="1"/>
  <c r="K405" i="1"/>
  <c r="M406" i="1"/>
  <c r="N409" i="1"/>
  <c r="L410" i="1"/>
  <c r="K290" i="1"/>
  <c r="O306" i="1"/>
  <c r="O297" i="1" s="1"/>
  <c r="O308" i="1"/>
  <c r="O323" i="1"/>
  <c r="O333" i="1"/>
  <c r="L405" i="1"/>
  <c r="L396" i="1" s="1"/>
  <c r="P406" i="1"/>
  <c r="P396" i="1" s="1"/>
  <c r="K409" i="1"/>
  <c r="M410" i="1"/>
  <c r="N182" i="1"/>
  <c r="N177" i="1" s="1"/>
  <c r="N184" i="1"/>
  <c r="N186" i="1"/>
  <c r="N188" i="1"/>
  <c r="N254" i="1"/>
  <c r="N302" i="1"/>
  <c r="N304" i="1"/>
  <c r="N319" i="1"/>
  <c r="N329" i="1"/>
  <c r="L409" i="1"/>
  <c r="AG40" i="1"/>
  <c r="AY40" i="1" s="1"/>
  <c r="L74" i="1"/>
  <c r="L76" i="1"/>
  <c r="L78" i="1"/>
  <c r="L80" i="1"/>
  <c r="L82" i="1"/>
  <c r="L84" i="1"/>
  <c r="K113" i="1"/>
  <c r="K182" i="1"/>
  <c r="K184" i="1"/>
  <c r="K186" i="1"/>
  <c r="K188" i="1"/>
  <c r="N220" i="1"/>
  <c r="N209" i="1" s="1"/>
  <c r="N237" i="1"/>
  <c r="N240" i="1"/>
  <c r="K254" i="1"/>
  <c r="L275" i="1"/>
  <c r="L265" i="1" s="1"/>
  <c r="K302" i="1"/>
  <c r="K304" i="1"/>
  <c r="L309" i="1"/>
  <c r="K319" i="1"/>
  <c r="K314" i="1" s="1"/>
  <c r="L324" i="1"/>
  <c r="K329" i="1"/>
  <c r="K346" i="1"/>
  <c r="K340" i="1" s="1"/>
  <c r="K376" i="1"/>
  <c r="K378" i="1"/>
  <c r="O405" i="1"/>
  <c r="M409" i="1"/>
  <c r="L95" i="1"/>
  <c r="L103" i="1"/>
  <c r="L113" i="1"/>
  <c r="L108" i="1" s="1"/>
  <c r="N166" i="1"/>
  <c r="N160" i="1" s="1"/>
  <c r="L170" i="1"/>
  <c r="L182" i="1"/>
  <c r="L184" i="1"/>
  <c r="L186" i="1"/>
  <c r="L188" i="1"/>
  <c r="L203" i="1"/>
  <c r="L192" i="1" s="1"/>
  <c r="Q192" i="1" s="1"/>
  <c r="K220" i="1"/>
  <c r="K209" i="1" s="1"/>
  <c r="K237" i="1"/>
  <c r="K240" i="1"/>
  <c r="N253" i="1"/>
  <c r="L254" i="1"/>
  <c r="L247" i="1" s="1"/>
  <c r="N258" i="1"/>
  <c r="K275" i="1"/>
  <c r="K265" i="1" s="1"/>
  <c r="Q265" i="1" s="1"/>
  <c r="L302" i="1"/>
  <c r="L304" i="1"/>
  <c r="K309" i="1"/>
  <c r="L319" i="1"/>
  <c r="N321" i="1"/>
  <c r="K324" i="1"/>
  <c r="L329" i="1"/>
  <c r="K331" i="1"/>
  <c r="K350" i="1"/>
  <c r="L376" i="1"/>
  <c r="L378" i="1"/>
  <c r="O402" i="1"/>
  <c r="N404" i="1"/>
  <c r="K408" i="1"/>
  <c r="O409" i="1"/>
  <c r="L98" i="1"/>
  <c r="L116" i="1"/>
  <c r="K131" i="1"/>
  <c r="K126" i="1" s="1"/>
  <c r="K133" i="1"/>
  <c r="K135" i="1"/>
  <c r="K137" i="1"/>
  <c r="K139" i="1"/>
  <c r="K166" i="1"/>
  <c r="K160" i="1" s="1"/>
  <c r="L173" i="1"/>
  <c r="M182" i="1"/>
  <c r="M184" i="1"/>
  <c r="M186" i="1"/>
  <c r="M188" i="1"/>
  <c r="L220" i="1"/>
  <c r="L209" i="1" s="1"/>
  <c r="L240" i="1"/>
  <c r="K253" i="1"/>
  <c r="K247" i="1" s="1"/>
  <c r="M254" i="1"/>
  <c r="M247" i="1" s="1"/>
  <c r="K258" i="1"/>
  <c r="K288" i="1"/>
  <c r="K282" i="1" s="1"/>
  <c r="Q282" i="1" s="1"/>
  <c r="K292" i="1"/>
  <c r="M302" i="1"/>
  <c r="M304" i="1"/>
  <c r="N306" i="1"/>
  <c r="N308" i="1"/>
  <c r="M309" i="1"/>
  <c r="M319" i="1"/>
  <c r="N323" i="1"/>
  <c r="L326" i="1"/>
  <c r="M329" i="1"/>
  <c r="N333" i="1"/>
  <c r="Q209" i="1" l="1"/>
  <c r="CJ23" i="1"/>
  <c r="CJ24" i="1"/>
  <c r="BN28" i="1"/>
  <c r="BY31" i="1" s="1"/>
  <c r="BM31" i="1"/>
  <c r="BN29" i="1"/>
  <c r="BM28" i="1"/>
  <c r="BX31" i="1" s="1"/>
  <c r="BN27" i="1"/>
  <c r="BM29" i="1"/>
  <c r="BN30" i="1"/>
  <c r="BM27" i="1"/>
  <c r="BW31" i="1" s="1"/>
  <c r="BM30" i="1"/>
  <c r="BN31" i="1"/>
  <c r="BN42" i="1"/>
  <c r="BY45" i="1" s="1"/>
  <c r="BM43" i="1"/>
  <c r="BN45" i="1"/>
  <c r="BM45" i="1"/>
  <c r="BN44" i="1"/>
  <c r="BM41" i="1"/>
  <c r="BW45" i="1" s="1"/>
  <c r="BN43" i="1"/>
  <c r="BM44" i="1"/>
  <c r="BM42" i="1"/>
  <c r="BX45" i="1" s="1"/>
  <c r="BN41" i="1"/>
  <c r="BQ47" i="1"/>
  <c r="BP51" i="1"/>
  <c r="BP49" i="1"/>
  <c r="BQ50" i="1"/>
  <c r="BP47" i="1"/>
  <c r="BW48" i="1" s="1"/>
  <c r="BP50" i="1"/>
  <c r="BQ51" i="1"/>
  <c r="BQ49" i="1"/>
  <c r="BQ48" i="1"/>
  <c r="BY48" i="1" s="1"/>
  <c r="BP48" i="1"/>
  <c r="BX48" i="1" s="1"/>
  <c r="CA15" i="1"/>
  <c r="BM3" i="1"/>
  <c r="CA16" i="1"/>
  <c r="N297" i="1"/>
  <c r="L52" i="1"/>
  <c r="BZ44" i="1"/>
  <c r="BK15" i="1" s="1"/>
  <c r="BJ47" i="1" a="1"/>
  <c r="BK3" i="1"/>
  <c r="BZ15" i="1"/>
  <c r="CD21" i="1"/>
  <c r="CD22" i="1" s="1"/>
  <c r="CD20" i="1"/>
  <c r="BH31" i="1"/>
  <c r="BG31" i="1"/>
  <c r="BH30" i="1"/>
  <c r="BG27" i="1"/>
  <c r="BW27" i="1" s="1"/>
  <c r="BH28" i="1"/>
  <c r="BG30" i="1"/>
  <c r="BH29" i="1"/>
  <c r="BG29" i="1"/>
  <c r="BG28" i="1"/>
  <c r="BX27" i="1" s="1"/>
  <c r="BH27" i="1"/>
  <c r="BY27" i="1" s="1"/>
  <c r="CM11" i="1"/>
  <c r="CK11" i="1"/>
  <c r="CN11" i="1" s="1"/>
  <c r="CG17" i="1"/>
  <c r="Y9" i="1"/>
  <c r="Z8" i="1"/>
  <c r="L88" i="1"/>
  <c r="Q88" i="1" s="1"/>
  <c r="Q247" i="1"/>
  <c r="BM48" i="1"/>
  <c r="BX46" i="1" s="1"/>
  <c r="BN48" i="1"/>
  <c r="BY46" i="1" s="1"/>
  <c r="BN49" i="1"/>
  <c r="BN47" i="1"/>
  <c r="BM47" i="1"/>
  <c r="BW46" i="1" s="1"/>
  <c r="BN50" i="1"/>
  <c r="BN51" i="1"/>
  <c r="BM51" i="1"/>
  <c r="BM50" i="1"/>
  <c r="BM49" i="1"/>
  <c r="BJ41" i="1" a="1"/>
  <c r="BZ43" i="1"/>
  <c r="BK14" i="1" s="1"/>
  <c r="M396" i="1"/>
  <c r="O314" i="1"/>
  <c r="K370" i="1"/>
  <c r="N52" i="1"/>
  <c r="BZ31" i="1"/>
  <c r="BK7" i="1" s="1"/>
  <c r="CA29" i="1"/>
  <c r="BM5" i="1" s="1"/>
  <c r="CF27" i="1"/>
  <c r="CF26" i="1"/>
  <c r="BQ35" i="1"/>
  <c r="BP36" i="1"/>
  <c r="BP37" i="1"/>
  <c r="BP34" i="1"/>
  <c r="BX34" i="1" s="1"/>
  <c r="BQ34" i="1"/>
  <c r="BY34" i="1" s="1"/>
  <c r="BQ33" i="1"/>
  <c r="BP33" i="1"/>
  <c r="BW34" i="1" s="1"/>
  <c r="BQ37" i="1"/>
  <c r="BP35" i="1"/>
  <c r="BQ36" i="1"/>
  <c r="Q160" i="1"/>
  <c r="N396" i="1"/>
  <c r="N247" i="1"/>
  <c r="L177" i="1"/>
  <c r="K297" i="1"/>
  <c r="L69" i="1"/>
  <c r="Q69" i="1" s="1"/>
  <c r="K396" i="1"/>
  <c r="Q396" i="1" s="1"/>
  <c r="BP41" i="1"/>
  <c r="BW47" i="1" s="1"/>
  <c r="BQ45" i="1"/>
  <c r="BQ41" i="1"/>
  <c r="BP43" i="1"/>
  <c r="BQ44" i="1"/>
  <c r="BP42" i="1"/>
  <c r="BX47" i="1" s="1"/>
  <c r="BQ42" i="1"/>
  <c r="BY47" i="1" s="1"/>
  <c r="BP44" i="1"/>
  <c r="BP45" i="1"/>
  <c r="BQ43" i="1"/>
  <c r="BK13" i="1"/>
  <c r="BZ38" i="1"/>
  <c r="BZ19" i="1"/>
  <c r="CD5" i="1"/>
  <c r="CD6" i="1"/>
  <c r="CD7" i="1" s="1"/>
  <c r="BK33" i="1"/>
  <c r="BJ36" i="1"/>
  <c r="BJ33" i="1"/>
  <c r="BW30" i="1" s="1"/>
  <c r="BJ34" i="1"/>
  <c r="BX30" i="1" s="1"/>
  <c r="BJ37" i="1"/>
  <c r="BK37" i="1"/>
  <c r="BK34" i="1"/>
  <c r="BY30" i="1" s="1"/>
  <c r="BK35" i="1"/>
  <c r="BJ35" i="1"/>
  <c r="BK36" i="1"/>
  <c r="CJ9" i="1"/>
  <c r="CJ10" i="1" s="1"/>
  <c r="CJ8" i="1"/>
  <c r="CJ14" i="1"/>
  <c r="CJ15" i="1"/>
  <c r="CJ16" i="1" s="1"/>
  <c r="CJ3" i="1"/>
  <c r="CJ4" i="1" s="1"/>
  <c r="CJ2" i="1"/>
  <c r="M297" i="1"/>
  <c r="O396" i="1"/>
  <c r="L314" i="1"/>
  <c r="Q314" i="1" s="1"/>
  <c r="K177" i="1"/>
  <c r="Q177" i="1" s="1"/>
  <c r="CF6" i="1"/>
  <c r="CF7" i="1" s="1"/>
  <c r="CF5" i="1"/>
  <c r="O52" i="1"/>
  <c r="CJ20" i="1"/>
  <c r="CJ21" i="1"/>
  <c r="CJ22" i="1" s="1"/>
  <c r="BG47" i="1"/>
  <c r="BW42" i="1" s="1"/>
  <c r="BH49" i="1"/>
  <c r="BH50" i="1"/>
  <c r="BH48" i="1"/>
  <c r="BG48" i="1"/>
  <c r="BX42" i="1" s="1"/>
  <c r="BG51" i="1"/>
  <c r="BH51" i="1"/>
  <c r="BG49" i="1"/>
  <c r="BH47" i="1"/>
  <c r="BY42" i="1" s="1"/>
  <c r="BG50" i="1"/>
  <c r="BK28" i="1"/>
  <c r="BY29" i="1" s="1"/>
  <c r="BK31" i="1"/>
  <c r="BK30" i="1"/>
  <c r="BK29" i="1"/>
  <c r="BJ31" i="1"/>
  <c r="BJ28" i="1"/>
  <c r="BX29" i="1" s="1"/>
  <c r="BJ27" i="1"/>
  <c r="BW29" i="1" s="1"/>
  <c r="BJ30" i="1"/>
  <c r="BJ29" i="1"/>
  <c r="BK27" i="1"/>
  <c r="BZ29" i="1"/>
  <c r="BK5" i="1" s="1"/>
  <c r="Q340" i="1"/>
  <c r="K108" i="1"/>
  <c r="Q108" i="1" s="1"/>
  <c r="L370" i="1"/>
  <c r="K228" i="1"/>
  <c r="Q228" i="1" s="1"/>
  <c r="M126" i="1"/>
  <c r="CM6" i="1"/>
  <c r="CK6" i="1"/>
  <c r="CN6" i="1" s="1"/>
  <c r="CG12" i="1"/>
  <c r="CG14" i="1"/>
  <c r="CK8" i="1"/>
  <c r="CN8" i="1" s="1"/>
  <c r="CM8" i="1"/>
  <c r="CD26" i="1"/>
  <c r="CD27" i="1"/>
  <c r="CA44" i="1"/>
  <c r="BM15" i="1" s="1"/>
  <c r="BH35" i="1"/>
  <c r="BG36" i="1"/>
  <c r="BH33" i="1"/>
  <c r="BY28" i="1" s="1"/>
  <c r="BH37" i="1"/>
  <c r="BG37" i="1"/>
  <c r="BH34" i="1"/>
  <c r="BG35" i="1"/>
  <c r="BG34" i="1"/>
  <c r="BX28" i="1" s="1"/>
  <c r="BG33" i="1"/>
  <c r="BW28" i="1" s="1"/>
  <c r="BH36" i="1"/>
  <c r="CG15" i="1"/>
  <c r="CK9" i="1"/>
  <c r="CN9" i="1" s="1"/>
  <c r="CM9" i="1"/>
  <c r="BQ31" i="1"/>
  <c r="BP31" i="1"/>
  <c r="BP27" i="1"/>
  <c r="BW33" i="1" s="1"/>
  <c r="BP30" i="1"/>
  <c r="BQ30" i="1"/>
  <c r="BQ29" i="1"/>
  <c r="BQ28" i="1"/>
  <c r="BY33" i="1" s="1"/>
  <c r="BQ27" i="1"/>
  <c r="BP28" i="1"/>
  <c r="BX33" i="1" s="1"/>
  <c r="BP29" i="1"/>
  <c r="CH23" i="1"/>
  <c r="CH24" i="1"/>
  <c r="BM13" i="1"/>
  <c r="CA38" i="1"/>
  <c r="BT31" i="1"/>
  <c r="BT30" i="1"/>
  <c r="BS31" i="1"/>
  <c r="BS28" i="1"/>
  <c r="BX35" i="1" s="1"/>
  <c r="BS29" i="1"/>
  <c r="BT27" i="1"/>
  <c r="BS30" i="1"/>
  <c r="BT28" i="1"/>
  <c r="BY35" i="1" s="1"/>
  <c r="BT29" i="1"/>
  <c r="BS27" i="1"/>
  <c r="BW35" i="1" s="1"/>
  <c r="CF15" i="1"/>
  <c r="CF16" i="1" s="1"/>
  <c r="CF14" i="1"/>
  <c r="CE15" i="1"/>
  <c r="CI9" i="1"/>
  <c r="Q126" i="1"/>
  <c r="CF21" i="1"/>
  <c r="CF22" i="1" s="1"/>
  <c r="CF20" i="1"/>
  <c r="M314" i="1"/>
  <c r="M177" i="1"/>
  <c r="L297" i="1"/>
  <c r="N228" i="1"/>
  <c r="N314" i="1"/>
  <c r="M88" i="1"/>
  <c r="BZ45" i="1"/>
  <c r="BK16" i="1" s="1"/>
  <c r="BM34" i="1"/>
  <c r="BX32" i="1" s="1"/>
  <c r="BN34" i="1"/>
  <c r="BY32" i="1" s="1"/>
  <c r="BN35" i="1"/>
  <c r="BN36" i="1"/>
  <c r="BM36" i="1"/>
  <c r="BN33" i="1"/>
  <c r="BN37" i="1"/>
  <c r="BM35" i="1"/>
  <c r="BM37" i="1"/>
  <c r="BM33" i="1"/>
  <c r="BW32" i="1" s="1"/>
  <c r="CD24" i="1"/>
  <c r="CD25" i="1" s="1"/>
  <c r="CD23" i="1"/>
  <c r="CA19" i="1"/>
  <c r="CH9" i="1" l="1"/>
  <c r="CH10" i="1" s="1"/>
  <c r="CH8" i="1"/>
  <c r="BZ20" i="1"/>
  <c r="BZ22" i="1" s="1"/>
  <c r="Q297" i="1"/>
  <c r="BK42" i="1"/>
  <c r="BY43" i="1" s="1"/>
  <c r="BK45" i="1"/>
  <c r="BJ43" i="1"/>
  <c r="BJ42" i="1"/>
  <c r="BX43" i="1" s="1"/>
  <c r="BJ41" i="1"/>
  <c r="BW43" i="1" s="1"/>
  <c r="BK44" i="1"/>
  <c r="BJ45" i="1"/>
  <c r="BK43" i="1"/>
  <c r="BK41" i="1"/>
  <c r="BJ44" i="1"/>
  <c r="BZ16" i="1"/>
  <c r="BZ18" i="1" s="1"/>
  <c r="CF31" i="1"/>
  <c r="CT4" i="1" s="1"/>
  <c r="CF30" i="1"/>
  <c r="CF2" i="1"/>
  <c r="CF3" i="1"/>
  <c r="CF4" i="1" s="1"/>
  <c r="CG23" i="1"/>
  <c r="CK17" i="1"/>
  <c r="CN17" i="1" s="1"/>
  <c r="CM17" i="1"/>
  <c r="CG21" i="1"/>
  <c r="CM15" i="1"/>
  <c r="CK15" i="1"/>
  <c r="CN15" i="1" s="1"/>
  <c r="CK14" i="1"/>
  <c r="CN14" i="1" s="1"/>
  <c r="CG20" i="1"/>
  <c r="CM14" i="1"/>
  <c r="BZ39" i="1"/>
  <c r="CF9" i="1"/>
  <c r="CF10" i="1" s="1"/>
  <c r="CF8" i="1"/>
  <c r="BZ24" i="1"/>
  <c r="CA24" i="1"/>
  <c r="CD30" i="1"/>
  <c r="CD31" i="1"/>
  <c r="CR4" i="1" s="1"/>
  <c r="CD3" i="1"/>
  <c r="CD4" i="1" s="1"/>
  <c r="CD2" i="1"/>
  <c r="CH15" i="1"/>
  <c r="CH16" i="1" s="1"/>
  <c r="CH14" i="1"/>
  <c r="CA20" i="1"/>
  <c r="CA22" i="1" s="1"/>
  <c r="CJ5" i="1"/>
  <c r="CJ6" i="1"/>
  <c r="CJ7" i="1" s="1"/>
  <c r="CM12" i="1"/>
  <c r="CG18" i="1"/>
  <c r="CK12" i="1"/>
  <c r="CN12" i="1" s="1"/>
  <c r="CJ31" i="1"/>
  <c r="CU4" i="1" s="1"/>
  <c r="CH5" i="1"/>
  <c r="CH6" i="1"/>
  <c r="CH7" i="1" s="1"/>
  <c r="CH31" i="1"/>
  <c r="CS4" i="1" s="1"/>
  <c r="CH30" i="1"/>
  <c r="CD14" i="1"/>
  <c r="CD15" i="1"/>
  <c r="CD16" i="1" s="1"/>
  <c r="BZ25" i="1"/>
  <c r="CA25" i="1"/>
  <c r="Z9" i="1"/>
  <c r="Y10" i="1"/>
  <c r="Q370" i="1"/>
  <c r="CH12" i="1"/>
  <c r="CH13" i="1" s="1"/>
  <c r="CH11" i="1"/>
  <c r="CA39" i="1"/>
  <c r="CE21" i="1"/>
  <c r="CI15" i="1"/>
  <c r="BK49" i="1"/>
  <c r="BK47" i="1"/>
  <c r="BJ48" i="1"/>
  <c r="BX44" i="1" s="1"/>
  <c r="BJ51" i="1"/>
  <c r="BJ49" i="1"/>
  <c r="BJ50" i="1"/>
  <c r="BK50" i="1"/>
  <c r="BK51" i="1"/>
  <c r="BK48" i="1"/>
  <c r="BY44" i="1" s="1"/>
  <c r="BJ47" i="1"/>
  <c r="BW44" i="1" s="1"/>
  <c r="CA17" i="1"/>
  <c r="CA18" i="1"/>
  <c r="CJ11" i="1"/>
  <c r="CJ12" i="1"/>
  <c r="CJ13" i="1" s="1"/>
  <c r="CD9" i="1"/>
  <c r="CD10" i="1" s="1"/>
  <c r="CD8" i="1"/>
  <c r="CJ30" i="1"/>
  <c r="BZ17" i="1" l="1"/>
  <c r="CA3" i="1"/>
  <c r="CA2" i="1"/>
  <c r="CA6" i="1"/>
  <c r="CA8" i="1"/>
  <c r="CA12" i="1"/>
  <c r="CA9" i="1"/>
  <c r="BZ11" i="1"/>
  <c r="BZ8" i="1"/>
  <c r="BZ12" i="1"/>
  <c r="CK18" i="1"/>
  <c r="CN18" i="1" s="1"/>
  <c r="CM18" i="1"/>
  <c r="CG24" i="1"/>
  <c r="CM23" i="1"/>
  <c r="CK23" i="1"/>
  <c r="BZ21" i="1"/>
  <c r="BZ4" i="1"/>
  <c r="BZ3" i="1"/>
  <c r="CM20" i="1"/>
  <c r="CK20" i="1"/>
  <c r="CN20" i="1" s="1"/>
  <c r="CG26" i="1"/>
  <c r="CM26" i="1" s="1"/>
  <c r="CH34" i="1"/>
  <c r="CS3" i="1"/>
  <c r="CH33" i="1"/>
  <c r="CR3" i="1"/>
  <c r="CR38" i="1" s="1"/>
  <c r="CD34" i="1"/>
  <c r="CD33" i="1"/>
  <c r="CF34" i="1"/>
  <c r="CF33" i="1"/>
  <c r="CT3" i="1"/>
  <c r="CT11" i="1" s="1"/>
  <c r="BZ2" i="1"/>
  <c r="BZ6" i="1"/>
  <c r="BZ5" i="1"/>
  <c r="CU47" i="1"/>
  <c r="CU12" i="1"/>
  <c r="CU51" i="1"/>
  <c r="CU42" i="1"/>
  <c r="CU31" i="1"/>
  <c r="CU16" i="1"/>
  <c r="CU60" i="1"/>
  <c r="CU35" i="1"/>
  <c r="CU14" i="1"/>
  <c r="CU21" i="1"/>
  <c r="CU50" i="1"/>
  <c r="CU30" i="1"/>
  <c r="CU33" i="1"/>
  <c r="CU39" i="1"/>
  <c r="CU43" i="1"/>
  <c r="CU65" i="1"/>
  <c r="CU57" i="1"/>
  <c r="CU37" i="1"/>
  <c r="CU32" i="1"/>
  <c r="CU18" i="1"/>
  <c r="CU53" i="1"/>
  <c r="CU66" i="1"/>
  <c r="CU36" i="1"/>
  <c r="CU15" i="1"/>
  <c r="CU10" i="1"/>
  <c r="CU13" i="1"/>
  <c r="CU20" i="1"/>
  <c r="CU63" i="1"/>
  <c r="CU56" i="1"/>
  <c r="CU38" i="1"/>
  <c r="CU41" i="1"/>
  <c r="CU58" i="1"/>
  <c r="CU8" i="1"/>
  <c r="CU3" i="1"/>
  <c r="CU49" i="1" s="1"/>
  <c r="CJ33" i="1"/>
  <c r="CJ34" i="1"/>
  <c r="CR10" i="1"/>
  <c r="CR14" i="1"/>
  <c r="CR15" i="1"/>
  <c r="CR20" i="1"/>
  <c r="CR47" i="1"/>
  <c r="CR58" i="1"/>
  <c r="CR45" i="1"/>
  <c r="CR13" i="1"/>
  <c r="CR53" i="1"/>
  <c r="CR40" i="1"/>
  <c r="CR39" i="1"/>
  <c r="CR43" i="1"/>
  <c r="CR41" i="1"/>
  <c r="CR27" i="1"/>
  <c r="CR57" i="1"/>
  <c r="CR17" i="1"/>
  <c r="CR22" i="1"/>
  <c r="CR24" i="1"/>
  <c r="CR29" i="1"/>
  <c r="CR33" i="1"/>
  <c r="CR46" i="1"/>
  <c r="CR49" i="1"/>
  <c r="CR60" i="1"/>
  <c r="CR25" i="1"/>
  <c r="CR9" i="1"/>
  <c r="CR16" i="1"/>
  <c r="CR8" i="1"/>
  <c r="CR21" i="1"/>
  <c r="CR66" i="1"/>
  <c r="CR37" i="1"/>
  <c r="CR59" i="1"/>
  <c r="CR44" i="1"/>
  <c r="CR48" i="1"/>
  <c r="CR55" i="1"/>
  <c r="CR23" i="1"/>
  <c r="CR63" i="1"/>
  <c r="CR19" i="1"/>
  <c r="CR34" i="1"/>
  <c r="CE27" i="1"/>
  <c r="CE33" i="1" s="1"/>
  <c r="CE34" i="1" s="1"/>
  <c r="CI21" i="1"/>
  <c r="CS63" i="1"/>
  <c r="CS60" i="1"/>
  <c r="CS36" i="1"/>
  <c r="CS20" i="1"/>
  <c r="CS29" i="1"/>
  <c r="CS13" i="1"/>
  <c r="CS8" i="1"/>
  <c r="CS61" i="1"/>
  <c r="CS58" i="1"/>
  <c r="CS35" i="1"/>
  <c r="CS19" i="1"/>
  <c r="CS45" i="1"/>
  <c r="CS10" i="1"/>
  <c r="CS14" i="1"/>
  <c r="CS53" i="1"/>
  <c r="CS48" i="1"/>
  <c r="CS49" i="1"/>
  <c r="CS44" i="1"/>
  <c r="CS17" i="1"/>
  <c r="CS33" i="1"/>
  <c r="CS34" i="1"/>
  <c r="CS7" i="1"/>
  <c r="CS66" i="1"/>
  <c r="CS50" i="1"/>
  <c r="CS22" i="1"/>
  <c r="CS32" i="1"/>
  <c r="CS6" i="1"/>
  <c r="CS42" i="1"/>
  <c r="CS24" i="1"/>
  <c r="CS39" i="1"/>
  <c r="CS43" i="1"/>
  <c r="CS31" i="1"/>
  <c r="CS30" i="1"/>
  <c r="CS64" i="1"/>
  <c r="CS28" i="1"/>
  <c r="CS65" i="1"/>
  <c r="CS47" i="1"/>
  <c r="CS21" i="1"/>
  <c r="CS25" i="1"/>
  <c r="CS15" i="1"/>
  <c r="CS59" i="1"/>
  <c r="CS18" i="1"/>
  <c r="CS41" i="1"/>
  <c r="CS55" i="1"/>
  <c r="CS46" i="1"/>
  <c r="CS40" i="1"/>
  <c r="CS26" i="1"/>
  <c r="CS57" i="1"/>
  <c r="CS16" i="1"/>
  <c r="CS62" i="1"/>
  <c r="CS54" i="1"/>
  <c r="CS23" i="1"/>
  <c r="CS27" i="1"/>
  <c r="CS9" i="1"/>
  <c r="CS51" i="1"/>
  <c r="CS12" i="1"/>
  <c r="CS11" i="1"/>
  <c r="CS37" i="1"/>
  <c r="CS52" i="1"/>
  <c r="CS56" i="1"/>
  <c r="CS38" i="1"/>
  <c r="CA21" i="1"/>
  <c r="Z10" i="1"/>
  <c r="Y11" i="1"/>
  <c r="CT48" i="1"/>
  <c r="CT10" i="1"/>
  <c r="CT27" i="1"/>
  <c r="CT57" i="1"/>
  <c r="CT18" i="1"/>
  <c r="CT66" i="1"/>
  <c r="CT47" i="1"/>
  <c r="CT60" i="1"/>
  <c r="CT44" i="1"/>
  <c r="CT23" i="1"/>
  <c r="CT65" i="1"/>
  <c r="CT9" i="1"/>
  <c r="CT32" i="1"/>
  <c r="CT41" i="1"/>
  <c r="CT22" i="1"/>
  <c r="CT14" i="1"/>
  <c r="CT63" i="1"/>
  <c r="CT50" i="1"/>
  <c r="CT20" i="1"/>
  <c r="CT64" i="1"/>
  <c r="CT26" i="1"/>
  <c r="CT30" i="1"/>
  <c r="CT21" i="1"/>
  <c r="CT25" i="1"/>
  <c r="CT8" i="1"/>
  <c r="CT6" i="1"/>
  <c r="CT49" i="1"/>
  <c r="CT7" i="1"/>
  <c r="CT62" i="1"/>
  <c r="CT36" i="1"/>
  <c r="CT59" i="1"/>
  <c r="CT53" i="1"/>
  <c r="CT29" i="1"/>
  <c r="CT19" i="1"/>
  <c r="CT46" i="1"/>
  <c r="CT12" i="1"/>
  <c r="CT33" i="1"/>
  <c r="CT24" i="1"/>
  <c r="CT16" i="1"/>
  <c r="CT45" i="1"/>
  <c r="CT55" i="1"/>
  <c r="CT42" i="1"/>
  <c r="CT37" i="1"/>
  <c r="CT39" i="1"/>
  <c r="CT28" i="1"/>
  <c r="CT52" i="1"/>
  <c r="CT35" i="1"/>
  <c r="CT43" i="1"/>
  <c r="CT58" i="1"/>
  <c r="CT54" i="1"/>
  <c r="CT51" i="1"/>
  <c r="CT38" i="1"/>
  <c r="CT61" i="1"/>
  <c r="CT56" i="1"/>
  <c r="CT31" i="1"/>
  <c r="CA5" i="1"/>
  <c r="CA4" i="1"/>
  <c r="CM21" i="1"/>
  <c r="CG27" i="1"/>
  <c r="CK21" i="1"/>
  <c r="CN21" i="1" s="1"/>
  <c r="CT40" i="1" l="1"/>
  <c r="CT13" i="1"/>
  <c r="CT34" i="1"/>
  <c r="CT15" i="1"/>
  <c r="CT17" i="1"/>
  <c r="CG33" i="1"/>
  <c r="CM27" i="1"/>
  <c r="CA11" i="1"/>
  <c r="CA10" i="1"/>
  <c r="CR56" i="1"/>
  <c r="CR52" i="1"/>
  <c r="CR32" i="1"/>
  <c r="CR12" i="1"/>
  <c r="CR35" i="1"/>
  <c r="CR26" i="1"/>
  <c r="CR64" i="1"/>
  <c r="CU40" i="1"/>
  <c r="CU22" i="1"/>
  <c r="CU9" i="1"/>
  <c r="CU6" i="1"/>
  <c r="CU24" i="1"/>
  <c r="CU17" i="1"/>
  <c r="CU19" i="1"/>
  <c r="CK33" i="1"/>
  <c r="CN23" i="1"/>
  <c r="BZ10" i="1"/>
  <c r="BZ9" i="1"/>
  <c r="CU34" i="1"/>
  <c r="CR6" i="1"/>
  <c r="CR50" i="1"/>
  <c r="CR11" i="1"/>
  <c r="CR51" i="1"/>
  <c r="CR65" i="1"/>
  <c r="CR31" i="1"/>
  <c r="CR30" i="1"/>
  <c r="CR62" i="1"/>
  <c r="CU48" i="1"/>
  <c r="CU27" i="1"/>
  <c r="CU64" i="1"/>
  <c r="CU54" i="1"/>
  <c r="CU25" i="1"/>
  <c r="CU7" i="1"/>
  <c r="CU26" i="1"/>
  <c r="CU29" i="1"/>
  <c r="CM24" i="1"/>
  <c r="CK24" i="1"/>
  <c r="CN24" i="1" s="1"/>
  <c r="Z11" i="1"/>
  <c r="Y12" i="1"/>
  <c r="CR7" i="1"/>
  <c r="CR54" i="1"/>
  <c r="CR28" i="1"/>
  <c r="CR18" i="1"/>
  <c r="CR61" i="1"/>
  <c r="CR36" i="1"/>
  <c r="CR42" i="1"/>
  <c r="CU23" i="1"/>
  <c r="CU62" i="1"/>
  <c r="CU11" i="1"/>
  <c r="CU45" i="1"/>
  <c r="CU28" i="1"/>
  <c r="CU46" i="1"/>
  <c r="CU59" i="1"/>
  <c r="CU61" i="1"/>
  <c r="CU44" i="1"/>
  <c r="CU52" i="1"/>
  <c r="CU55" i="1"/>
  <c r="Z12" i="1" l="1"/>
  <c r="Y13" i="1"/>
  <c r="CK36" i="1"/>
  <c r="CK34" i="1"/>
  <c r="CK37" i="1" s="1"/>
  <c r="CG36" i="1"/>
  <c r="CG37" i="1" s="1"/>
  <c r="CG34" i="1"/>
  <c r="Y14" i="1" l="1"/>
  <c r="Z13" i="1"/>
  <c r="Z14" i="1" l="1"/>
  <c r="Y15" i="1"/>
  <c r="Y16" i="1" l="1"/>
  <c r="Z15" i="1"/>
  <c r="Z16" i="1" l="1"/>
  <c r="Y17" i="1"/>
  <c r="Y18" i="1" l="1"/>
  <c r="Z17" i="1"/>
  <c r="Z18" i="1" l="1"/>
  <c r="Y19" i="1"/>
  <c r="Z19" i="1" l="1"/>
  <c r="Y20" i="1"/>
  <c r="Y21" i="1" l="1"/>
  <c r="Z20" i="1"/>
  <c r="Z21" i="1" l="1"/>
  <c r="Y22" i="1"/>
  <c r="Y23" i="1" l="1"/>
  <c r="Z23" i="1" s="1"/>
  <c r="Z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Bullen, Jay</author>
  </authors>
  <commentList>
    <comment ref="B4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Bullen, Jay:</t>
        </r>
        <r>
          <rPr>
            <sz val="9"/>
            <color indexed="81"/>
            <rFont val="Tahoma"/>
            <family val="2"/>
          </rPr>
          <t xml:space="preserve">
remove Cs_3 as the experiments appear faulty, as there is no systematic trend in the amount of Cr(VI) removed as a function of sorbent mass --&gt; the results vary randomly</t>
        </r>
      </text>
    </comment>
    <comment ref="J4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Bullen, Jay:</t>
        </r>
        <r>
          <rPr>
            <sz val="9"/>
            <color indexed="81"/>
            <rFont val="Tahoma"/>
            <family val="2"/>
          </rPr>
          <t xml:space="preserve">
replace 246 with 395</t>
        </r>
      </text>
    </comment>
    <comment ref="K4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Bullen, Jay:</t>
        </r>
        <r>
          <rPr>
            <sz val="9"/>
            <color indexed="81"/>
            <rFont val="Tahoma"/>
            <family val="2"/>
          </rPr>
          <t xml:space="preserve">
replace 246 with 395</t>
        </r>
      </text>
    </comment>
    <comment ref="L4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Bullen, Jay:</t>
        </r>
        <r>
          <rPr>
            <sz val="9"/>
            <color indexed="81"/>
            <rFont val="Tahoma"/>
            <family val="2"/>
          </rPr>
          <t xml:space="preserve">
replace 246 with 395</t>
        </r>
      </text>
    </comment>
    <comment ref="M4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Bullen, Jay:</t>
        </r>
        <r>
          <rPr>
            <sz val="9"/>
            <color indexed="81"/>
            <rFont val="Tahoma"/>
            <family val="2"/>
          </rPr>
          <t xml:space="preserve">
replace 246 with 395</t>
        </r>
      </text>
    </comment>
    <comment ref="N40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Bullen, Jay:</t>
        </r>
        <r>
          <rPr>
            <sz val="9"/>
            <color indexed="81"/>
            <rFont val="Tahoma"/>
            <family val="2"/>
          </rPr>
          <t xml:space="preserve">
replace 246 with 395</t>
        </r>
      </text>
    </comment>
    <comment ref="O40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Bullen, Jay:</t>
        </r>
        <r>
          <rPr>
            <sz val="9"/>
            <color indexed="81"/>
            <rFont val="Tahoma"/>
            <family val="2"/>
          </rPr>
          <t xml:space="preserve">
replace 246 with 395</t>
        </r>
      </text>
    </comment>
  </commentList>
</comments>
</file>

<file path=xl/sharedStrings.xml><?xml version="1.0" encoding="utf-8"?>
<sst xmlns="http://schemas.openxmlformats.org/spreadsheetml/2006/main" count="293" uniqueCount="90">
  <si>
    <t>stick plot</t>
  </si>
  <si>
    <t>increase</t>
  </si>
  <si>
    <t>normal distribution</t>
  </si>
  <si>
    <t>gridlines</t>
  </si>
  <si>
    <t>data set</t>
  </si>
  <si>
    <t>k2</t>
  </si>
  <si>
    <t>height</t>
  </si>
  <si>
    <t>k'</t>
  </si>
  <si>
    <t>box</t>
  </si>
  <si>
    <t>k2 C0</t>
  </si>
  <si>
    <t>k2 Cs</t>
  </si>
  <si>
    <t>k' C0</t>
  </si>
  <si>
    <t>k' Cs</t>
  </si>
  <si>
    <t>avg</t>
  </si>
  <si>
    <t>stdev</t>
  </si>
  <si>
    <t>shift</t>
  </si>
  <si>
    <t>C0</t>
  </si>
  <si>
    <t>max</t>
  </si>
  <si>
    <t>min</t>
  </si>
  <si>
    <t>Cs</t>
  </si>
  <si>
    <t>Table</t>
  </si>
  <si>
    <t>experiments</t>
  </si>
  <si>
    <t>literature sources</t>
  </si>
  <si>
    <t>uncertainties in slope</t>
  </si>
  <si>
    <t>C0 (mg g-1)</t>
  </si>
  <si>
    <t>initial rate</t>
  </si>
  <si>
    <t>qe (mg g-1)</t>
  </si>
  <si>
    <t>k2 (g mg-1 min-1)</t>
  </si>
  <si>
    <t>k0 (mg L-1 min-1)</t>
  </si>
  <si>
    <t>log C0</t>
  </si>
  <si>
    <t>log initial rate</t>
  </si>
  <si>
    <t>log k'</t>
  </si>
  <si>
    <t>log k2</t>
  </si>
  <si>
    <t>uncertainties</t>
  </si>
  <si>
    <t>ID</t>
  </si>
  <si>
    <t>data set (C0)</t>
  </si>
  <si>
    <t>slope (order of reaction)</t>
  </si>
  <si>
    <t>m</t>
  </si>
  <si>
    <t>c</t>
  </si>
  <si>
    <t>k2 slope</t>
  </si>
  <si>
    <t>k' slope</t>
  </si>
  <si>
    <t>As(V)/Fe2O3</t>
  </si>
  <si>
    <t>As(V)/laterite</t>
  </si>
  <si>
    <t>As(III)/HFO</t>
  </si>
  <si>
    <t>HPO4-2/iron hydroxide</t>
  </si>
  <si>
    <t>Cu(II)/soil</t>
  </si>
  <si>
    <t>Pb(II)/soil</t>
  </si>
  <si>
    <t>Hg(II)/raw activated sludge</t>
  </si>
  <si>
    <t>Cr(VI)/activated carbon</t>
  </si>
  <si>
    <t>Rose Bengal dye/ZnCl2-activated carbon</t>
  </si>
  <si>
    <t>Cs (g L-1)</t>
  </si>
  <si>
    <t>Cr(VI)/Fe2O3</t>
  </si>
  <si>
    <t>Cr(VI)/Mg-Al-CO3</t>
  </si>
  <si>
    <t>Cr(VI)/chitin</t>
  </si>
  <si>
    <t>Cu(II)/Fe2O3</t>
  </si>
  <si>
    <t>Zn(II)/Fe2O3</t>
  </si>
  <si>
    <t>Hg(II)/Lessonia nigrescens</t>
  </si>
  <si>
    <t>Hg(II)/Lessonia trabeculata</t>
  </si>
  <si>
    <t>don't use as they did not capture the initial kinetics (&lt;60% adsorption progress)</t>
  </si>
  <si>
    <t>Eriochrome Black-T dye/TiO2</t>
  </si>
  <si>
    <t>Cs_14</t>
  </si>
  <si>
    <t>methylene blue/rafia fibres</t>
  </si>
  <si>
    <t>C0 experiments</t>
  </si>
  <si>
    <t>proof_1</t>
  </si>
  <si>
    <t xml:space="preserve"> </t>
  </si>
  <si>
    <t>SSE</t>
  </si>
  <si>
    <t>experimental</t>
  </si>
  <si>
    <t>model</t>
  </si>
  <si>
    <t>C0 (mg L-1) and qt (mg g-1)</t>
  </si>
  <si>
    <t>time (minutes)</t>
  </si>
  <si>
    <t>proof_2</t>
  </si>
  <si>
    <t>proof_3</t>
  </si>
  <si>
    <t>proof_4</t>
  </si>
  <si>
    <t>proof_5a (1)</t>
  </si>
  <si>
    <t>proof_5b</t>
  </si>
  <si>
    <t>proof_7</t>
  </si>
  <si>
    <t>proof_8</t>
  </si>
  <si>
    <t>proof_9</t>
  </si>
  <si>
    <t>Cs_1</t>
  </si>
  <si>
    <t>Cs (g L-1) and qt (mg g-1)</t>
  </si>
  <si>
    <t>Cs_2</t>
  </si>
  <si>
    <t>Cs_3</t>
  </si>
  <si>
    <t>Cs_9</t>
  </si>
  <si>
    <t>Cs_10</t>
  </si>
  <si>
    <t>Cs_13</t>
  </si>
  <si>
    <t>Cs_11</t>
  </si>
  <si>
    <t>time (min)</t>
  </si>
  <si>
    <t/>
  </si>
  <si>
    <t>Cs_12</t>
  </si>
  <si>
    <t>Cs_3 repeat with data series in different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</si>
</sst>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7" fillId="0" borderId="0" xfId="0" applyFont="1"/>
    <xf numFmtId="0" fontId="8" fillId="0" borderId="0" xfId="0" applyFont="1"/>
  </cellXfs>
  <cellStyles count="33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17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34381658581401"/>
          <c:y val="4.2082917284354898E-2"/>
          <c:w val="0.45677343355227901"/>
          <c:h val="0.770612773604294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C0Cs!$C$29</c:f>
              <c:strCache>
                <c:ptCount val="1"/>
                <c:pt idx="0">
                  <c:v>As(III)/HFO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C0Cs!$AH$29:$AJ$29</c:f>
              <c:numCache>
                <c:formatCode>General</c:formatCode>
                <c:ptCount val="3"/>
                <c:pt idx="0">
                  <c:v>1.6989700043360187</c:v>
                </c:pt>
                <c:pt idx="1">
                  <c:v>1.8750612633917001</c:v>
                </c:pt>
                <c:pt idx="2">
                  <c:v>2</c:v>
                </c:pt>
              </c:numCache>
            </c:numRef>
          </c:xVal>
          <c:yVal>
            <c:numRef>
              <c:f>C0Cs!$AN$29:$AP$29</c:f>
              <c:numCache>
                <c:formatCode>General</c:formatCode>
                <c:ptCount val="3"/>
                <c:pt idx="0">
                  <c:v>-0.64203628799552204</c:v>
                </c:pt>
                <c:pt idx="1">
                  <c:v>-0.52199833561726383</c:v>
                </c:pt>
                <c:pt idx="2">
                  <c:v>-0.44219329484466569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92-4103-B0B1-02E696036DD6}"/>
            </c:ext>
          </c:extLst>
        </c:ser>
        <c:ser>
          <c:idx val="1"/>
          <c:order val="1"/>
          <c:tx>
            <c:strRef>
              <c:f>C0Cs!$C$27</c:f>
              <c:strCache>
                <c:ptCount val="1"/>
                <c:pt idx="0">
                  <c:v>As(V)/Fe2O3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0000">
                  <a:alpha val="90000"/>
                </a:srgb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C0Cs!$AH$27:$AL$27</c:f>
              <c:numCache>
                <c:formatCode>General</c:formatCode>
                <c:ptCount val="5"/>
                <c:pt idx="0">
                  <c:v>0</c:v>
                </c:pt>
                <c:pt idx="1">
                  <c:v>0.3010299956639812</c:v>
                </c:pt>
                <c:pt idx="2">
                  <c:v>0.6020599913279624</c:v>
                </c:pt>
                <c:pt idx="3">
                  <c:v>0.90308998699194354</c:v>
                </c:pt>
                <c:pt idx="4">
                  <c:v>1</c:v>
                </c:pt>
              </c:numCache>
            </c:numRef>
          </c:xVal>
          <c:yVal>
            <c:numRef>
              <c:f>C0Cs!$AN$27:$AR$27</c:f>
              <c:numCache>
                <c:formatCode>General</c:formatCode>
                <c:ptCount val="5"/>
                <c:pt idx="0">
                  <c:v>-2.4669887812095403</c:v>
                </c:pt>
                <c:pt idx="1">
                  <c:v>-2.2165386550214068</c:v>
                </c:pt>
                <c:pt idx="2">
                  <c:v>-1.9475578456050224</c:v>
                </c:pt>
                <c:pt idx="3">
                  <c:v>-1.6070905730142251</c:v>
                </c:pt>
                <c:pt idx="4">
                  <c:v>-1.5414859512609389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92-4103-B0B1-02E696036DD6}"/>
            </c:ext>
          </c:extLst>
        </c:ser>
        <c:ser>
          <c:idx val="2"/>
          <c:order val="2"/>
          <c:tx>
            <c:strRef>
              <c:f>C0Cs!$C$28</c:f>
              <c:strCache>
                <c:ptCount val="1"/>
                <c:pt idx="0">
                  <c:v>As(V)/laterite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C0Cs!$AH$28:$AL$28</c:f>
              <c:numCache>
                <c:formatCode>General</c:formatCode>
                <c:ptCount val="5"/>
                <c:pt idx="0">
                  <c:v>-0.3010299956639812</c:v>
                </c:pt>
                <c:pt idx="1">
                  <c:v>0.3010299956639812</c:v>
                </c:pt>
                <c:pt idx="2">
                  <c:v>0.55630250076728727</c:v>
                </c:pt>
                <c:pt idx="3">
                  <c:v>0.63346845557958653</c:v>
                </c:pt>
                <c:pt idx="4">
                  <c:v>0.76342799356293722</c:v>
                </c:pt>
              </c:numCache>
            </c:numRef>
          </c:xVal>
          <c:yVal>
            <c:numRef>
              <c:f>C0Cs!$AN$28:$AR$28</c:f>
              <c:numCache>
                <c:formatCode>General</c:formatCode>
                <c:ptCount val="5"/>
                <c:pt idx="0">
                  <c:v>-2.1700384687098375</c:v>
                </c:pt>
                <c:pt idx="1">
                  <c:v>-1.9853231111757506</c:v>
                </c:pt>
                <c:pt idx="2">
                  <c:v>-1.9087865184882153</c:v>
                </c:pt>
                <c:pt idx="3">
                  <c:v>-1.9031432887870106</c:v>
                </c:pt>
                <c:pt idx="4">
                  <c:v>-1.7274631978462591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92-4103-B0B1-02E696036DD6}"/>
            </c:ext>
          </c:extLst>
        </c:ser>
        <c:ser>
          <c:idx val="3"/>
          <c:order val="3"/>
          <c:tx>
            <c:strRef>
              <c:f>C0Cs!$C$30</c:f>
              <c:strCache>
                <c:ptCount val="1"/>
                <c:pt idx="0">
                  <c:v>HPO4-2/iron hydroxide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C0Cs!$AH$30:$AK$30</c:f>
              <c:numCache>
                <c:formatCode>General</c:formatCode>
                <c:ptCount val="4"/>
                <c:pt idx="0">
                  <c:v>0.44715803134221921</c:v>
                </c:pt>
                <c:pt idx="1">
                  <c:v>1.146128035678238</c:v>
                </c:pt>
                <c:pt idx="2">
                  <c:v>1.7242758696007889</c:v>
                </c:pt>
                <c:pt idx="3">
                  <c:v>2.0413926851582249</c:v>
                </c:pt>
              </c:numCache>
            </c:numRef>
          </c:xVal>
          <c:yVal>
            <c:numRef>
              <c:f>C0Cs!$AN$30:$AQ$30</c:f>
              <c:numCache>
                <c:formatCode>General</c:formatCode>
                <c:ptCount val="4"/>
                <c:pt idx="0">
                  <c:v>-1.1077117010643784</c:v>
                </c:pt>
                <c:pt idx="1">
                  <c:v>-1.2048888952691359</c:v>
                </c:pt>
                <c:pt idx="2">
                  <c:v>-0.68149548390076009</c:v>
                </c:pt>
                <c:pt idx="3">
                  <c:v>-0.25798934574548049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E92-4103-B0B1-02E696036DD6}"/>
            </c:ext>
          </c:extLst>
        </c:ser>
        <c:ser>
          <c:idx val="11"/>
          <c:order val="4"/>
          <c:tx>
            <c:strRef>
              <c:f>C0Cs!$C$34</c:f>
              <c:strCache>
                <c:ptCount val="1"/>
                <c:pt idx="0">
                  <c:v>Cr(VI)/activated carbon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solidFill>
                <a:srgbClr val="FF0000"/>
              </a:solidFill>
              <a:ln w="15875">
                <a:solidFill>
                  <a:schemeClr val="tx1"/>
                </a:solidFill>
              </a:ln>
              <a:effectLst/>
            </c:spPr>
          </c:marker>
          <c:xVal>
            <c:numRef>
              <c:f>C0Cs!$AH$34:$AL$34</c:f>
              <c:numCache>
                <c:formatCode>General</c:formatCode>
                <c:ptCount val="5"/>
                <c:pt idx="0">
                  <c:v>2</c:v>
                </c:pt>
                <c:pt idx="1">
                  <c:v>2.3010299956639813</c:v>
                </c:pt>
                <c:pt idx="2">
                  <c:v>2.4771212547196626</c:v>
                </c:pt>
                <c:pt idx="3">
                  <c:v>2.6020599913279625</c:v>
                </c:pt>
                <c:pt idx="4">
                  <c:v>2.6989700043360187</c:v>
                </c:pt>
              </c:numCache>
            </c:numRef>
          </c:xVal>
          <c:yVal>
            <c:numRef>
              <c:f>C0Cs!$AN$34:$AR$34</c:f>
              <c:numCache>
                <c:formatCode>General</c:formatCode>
                <c:ptCount val="5"/>
                <c:pt idx="0">
                  <c:v>-0.56416682916747962</c:v>
                </c:pt>
                <c:pt idx="1">
                  <c:v>-0.32408495066880288</c:v>
                </c:pt>
                <c:pt idx="2">
                  <c:v>-7.2494966660089408E-2</c:v>
                </c:pt>
                <c:pt idx="3">
                  <c:v>0.1439486965059249</c:v>
                </c:pt>
                <c:pt idx="4">
                  <c:v>0.27222455608969748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E92-4103-B0B1-02E696036DD6}"/>
            </c:ext>
          </c:extLst>
        </c:ser>
        <c:ser>
          <c:idx val="6"/>
          <c:order val="5"/>
          <c:tx>
            <c:strRef>
              <c:f>C0Cs!$C$31</c:f>
              <c:strCache>
                <c:ptCount val="1"/>
                <c:pt idx="0">
                  <c:v>Cu(II)/soil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0070C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C0Cs!$AH$31:$AJ$31</c:f>
              <c:numCache>
                <c:formatCode>General</c:formatCode>
                <c:ptCount val="3"/>
                <c:pt idx="0">
                  <c:v>1.3010299956639813</c:v>
                </c:pt>
                <c:pt idx="1">
                  <c:v>1.6989700043360187</c:v>
                </c:pt>
                <c:pt idx="2">
                  <c:v>2</c:v>
                </c:pt>
              </c:numCache>
            </c:numRef>
          </c:xVal>
          <c:yVal>
            <c:numRef>
              <c:f>C0Cs!$AN$31:$AP$31</c:f>
              <c:numCache>
                <c:formatCode>General</c:formatCode>
                <c:ptCount val="3"/>
                <c:pt idx="0">
                  <c:v>-0.88340260926296499</c:v>
                </c:pt>
                <c:pt idx="1">
                  <c:v>-0.75900725722138618</c:v>
                </c:pt>
                <c:pt idx="2">
                  <c:v>-0.55029313371950961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E92-4103-B0B1-02E696036DD6}"/>
            </c:ext>
          </c:extLst>
        </c:ser>
        <c:ser>
          <c:idx val="8"/>
          <c:order val="7"/>
          <c:tx>
            <c:strRef>
              <c:f>C0Cs!$C$32</c:f>
              <c:strCache>
                <c:ptCount val="1"/>
                <c:pt idx="0">
                  <c:v>Pb(II)/soil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rgbClr val="0070C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C0Cs!$AH$32:$AJ$32</c:f>
              <c:numCache>
                <c:formatCode>General</c:formatCode>
                <c:ptCount val="3"/>
                <c:pt idx="0">
                  <c:v>1.3010299956639813</c:v>
                </c:pt>
                <c:pt idx="1">
                  <c:v>1.6989700043360187</c:v>
                </c:pt>
                <c:pt idx="2">
                  <c:v>2</c:v>
                </c:pt>
              </c:numCache>
            </c:numRef>
          </c:xVal>
          <c:yVal>
            <c:numRef>
              <c:f>C0Cs!$AN$32:$AP$32</c:f>
              <c:numCache>
                <c:formatCode>General</c:formatCode>
                <c:ptCount val="3"/>
                <c:pt idx="0">
                  <c:v>-1.0398252631729723</c:v>
                </c:pt>
                <c:pt idx="1">
                  <c:v>-0.90619168189510024</c:v>
                </c:pt>
                <c:pt idx="2">
                  <c:v>-0.37799173094446975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E92-4103-B0B1-02E696036DD6}"/>
            </c:ext>
          </c:extLst>
        </c:ser>
        <c:ser>
          <c:idx val="10"/>
          <c:order val="8"/>
          <c:tx>
            <c:strRef>
              <c:f>C0Cs!$C$33</c:f>
              <c:strCache>
                <c:ptCount val="1"/>
                <c:pt idx="0">
                  <c:v>Hg(II)/raw activated sludge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rgbClr val="0070C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C0Cs!$AH$33:$AK$33</c:f>
              <c:numCache>
                <c:formatCode>General</c:formatCode>
                <c:ptCount val="4"/>
                <c:pt idx="0">
                  <c:v>1.6989700043360187</c:v>
                </c:pt>
                <c:pt idx="1">
                  <c:v>2</c:v>
                </c:pt>
                <c:pt idx="2">
                  <c:v>2.1760912590556813</c:v>
                </c:pt>
                <c:pt idx="3">
                  <c:v>2.3010299956639813</c:v>
                </c:pt>
              </c:numCache>
            </c:numRef>
          </c:xVal>
          <c:yVal>
            <c:numRef>
              <c:f>C0Cs!$AN$33:$AQ$33</c:f>
              <c:numCache>
                <c:formatCode>General</c:formatCode>
                <c:ptCount val="4"/>
                <c:pt idx="0">
                  <c:v>-5.8765764844723213E-2</c:v>
                </c:pt>
                <c:pt idx="1">
                  <c:v>0.19028144334941022</c:v>
                </c:pt>
                <c:pt idx="2">
                  <c:v>0.60685320585332891</c:v>
                </c:pt>
                <c:pt idx="3">
                  <c:v>0.82980986549097424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E92-4103-B0B1-02E696036DD6}"/>
            </c:ext>
          </c:extLst>
        </c:ser>
        <c:ser>
          <c:idx val="12"/>
          <c:order val="9"/>
          <c:tx>
            <c:strRef>
              <c:f>C0Cs!$C$35</c:f>
              <c:strCache>
                <c:ptCount val="1"/>
                <c:pt idx="0">
                  <c:v>Rose Bengal dye/ZnCl2-activated carbon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FFC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C0Cs!$AH$35:$AL$35</c:f>
              <c:numCache>
                <c:formatCode>General</c:formatCode>
                <c:ptCount val="5"/>
                <c:pt idx="0">
                  <c:v>1</c:v>
                </c:pt>
                <c:pt idx="1">
                  <c:v>1.3010299956639813</c:v>
                </c:pt>
                <c:pt idx="2">
                  <c:v>1.4771212547196624</c:v>
                </c:pt>
                <c:pt idx="3">
                  <c:v>1.6020599913279623</c:v>
                </c:pt>
                <c:pt idx="4">
                  <c:v>1.6989700043360187</c:v>
                </c:pt>
              </c:numCache>
            </c:numRef>
          </c:xVal>
          <c:yVal>
            <c:numRef>
              <c:f>C0Cs!$AN$35:$AR$35</c:f>
              <c:numCache>
                <c:formatCode>General</c:formatCode>
                <c:ptCount val="5"/>
                <c:pt idx="0">
                  <c:v>1.167420581071368</c:v>
                </c:pt>
                <c:pt idx="1">
                  <c:v>1.2492268541468041</c:v>
                </c:pt>
                <c:pt idx="2">
                  <c:v>1.4278978303433811</c:v>
                </c:pt>
                <c:pt idx="3">
                  <c:v>1.4882193319627002</c:v>
                </c:pt>
                <c:pt idx="4">
                  <c:v>1.565778224938444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E92-4103-B0B1-02E696036DD6}"/>
            </c:ext>
          </c:extLst>
        </c:ser>
        <c:ser>
          <c:idx val="13"/>
          <c:order val="13"/>
          <c:tx>
            <c:v>gridlines</c:v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C0Cs!$X$3:$X$21</c:f>
              <c:numCache>
                <c:formatCode>General</c:formatCode>
                <c:ptCount val="19"/>
                <c:pt idx="0">
                  <c:v>-10</c:v>
                </c:pt>
                <c:pt idx="1">
                  <c:v>10</c:v>
                </c:pt>
                <c:pt idx="2">
                  <c:v>10</c:v>
                </c:pt>
                <c:pt idx="3">
                  <c:v>-10</c:v>
                </c:pt>
                <c:pt idx="4">
                  <c:v>-10</c:v>
                </c:pt>
                <c:pt idx="5">
                  <c:v>10</c:v>
                </c:pt>
                <c:pt idx="6">
                  <c:v>10</c:v>
                </c:pt>
                <c:pt idx="7">
                  <c:v>-10</c:v>
                </c:pt>
                <c:pt idx="8">
                  <c:v>-10</c:v>
                </c:pt>
                <c:pt idx="9">
                  <c:v>10</c:v>
                </c:pt>
                <c:pt idx="10">
                  <c:v>10</c:v>
                </c:pt>
                <c:pt idx="11">
                  <c:v>-10</c:v>
                </c:pt>
                <c:pt idx="12">
                  <c:v>-10</c:v>
                </c:pt>
                <c:pt idx="13">
                  <c:v>10</c:v>
                </c:pt>
                <c:pt idx="14">
                  <c:v>10</c:v>
                </c:pt>
                <c:pt idx="15">
                  <c:v>-10</c:v>
                </c:pt>
                <c:pt idx="16">
                  <c:v>-10</c:v>
                </c:pt>
                <c:pt idx="17">
                  <c:v>10</c:v>
                </c:pt>
                <c:pt idx="18">
                  <c:v>10</c:v>
                </c:pt>
              </c:numCache>
            </c:numRef>
          </c:xVal>
          <c:yVal>
            <c:numRef>
              <c:f>C0Cs!$Y$3:$Y$21</c:f>
              <c:numCache>
                <c:formatCode>General</c:formatCode>
                <c:ptCount val="19"/>
                <c:pt idx="0">
                  <c:v>-16</c:v>
                </c:pt>
                <c:pt idx="1">
                  <c:v>4</c:v>
                </c:pt>
                <c:pt idx="2">
                  <c:v>6</c:v>
                </c:pt>
                <c:pt idx="3">
                  <c:v>-14</c:v>
                </c:pt>
                <c:pt idx="4">
                  <c:v>-12</c:v>
                </c:pt>
                <c:pt idx="5">
                  <c:v>8</c:v>
                </c:pt>
                <c:pt idx="6">
                  <c:v>10</c:v>
                </c:pt>
                <c:pt idx="7">
                  <c:v>-10</c:v>
                </c:pt>
                <c:pt idx="8">
                  <c:v>-8</c:v>
                </c:pt>
                <c:pt idx="9">
                  <c:v>12</c:v>
                </c:pt>
                <c:pt idx="10">
                  <c:v>14</c:v>
                </c:pt>
                <c:pt idx="11">
                  <c:v>-6</c:v>
                </c:pt>
                <c:pt idx="12">
                  <c:v>-4</c:v>
                </c:pt>
                <c:pt idx="13">
                  <c:v>16</c:v>
                </c:pt>
                <c:pt idx="14">
                  <c:v>18</c:v>
                </c:pt>
                <c:pt idx="15">
                  <c:v>-2</c:v>
                </c:pt>
                <c:pt idx="16">
                  <c:v>0</c:v>
                </c:pt>
                <c:pt idx="17">
                  <c:v>20</c:v>
                </c:pt>
                <c:pt idx="18">
                  <c:v>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E92-4103-B0B1-02E696036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2295880"/>
        <c:axId val="-2119830472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6"/>
                <c:tx>
                  <c:strRef>
                    <c:extLst>
                      <c:ext uri="{02D57815-91ED-43cb-92C2-25804820EDAC}">
                        <c15:formulaRef>
                          <c15:sqref>[1]proof!$U$44</c15:sqref>
                        </c15:formulaRef>
                      </c:ext>
                    </c:extLst>
                    <c:strCache>
                      <c:ptCount val="1"/>
                      <c:pt idx="0">
                        <c:v>Zn(II)/soil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rgbClr val="0070C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[1]proof!$U$47:$V$47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[1]proof!$U$48:$V$48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A-FE92-4103-B0B1-02E696036DD6}"/>
                  </c:ext>
                </c:extLst>
              </c15:ser>
            </c15:filteredScatterSeries>
            <c15:filteredScatterSeries>
              <c15:ser>
                <c:idx val="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[1]proof!$Z$44</c15:sqref>
                        </c15:formulaRef>
                      </c:ext>
                    </c:extLst>
                    <c:strCache>
                      <c:ptCount val="1"/>
                      <c:pt idx="0">
                        <c:v>Rhodamine B/MgO-Fe-Co-Mn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rgbClr val="FFC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[1]proof!$Z$47:$AD$47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1.4771212547196624</c:v>
                      </c:pt>
                      <c:pt idx="2">
                        <c:v>1.7781512503836436</c:v>
                      </c:pt>
                      <c:pt idx="3">
                        <c:v>1.9030899869919435</c:v>
                      </c:pt>
                      <c:pt idx="4">
                        <c:v>2.0791812460476247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[1]proof!$Z$48:$AD$48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2.3725785885270665</c:v>
                      </c:pt>
                      <c:pt idx="1">
                        <c:v>3.0233282507857901</c:v>
                      </c:pt>
                      <c:pt idx="2">
                        <c:v>3.0530705031241099</c:v>
                      </c:pt>
                      <c:pt idx="3">
                        <c:v>3.0533501653152375</c:v>
                      </c:pt>
                      <c:pt idx="4">
                        <c:v>3.2714196482588012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E92-4103-B0B1-02E696036DD6}"/>
                  </c:ext>
                </c:extLst>
              </c15:ser>
            </c15:filteredScatterSeries>
            <c15:filteredScatterSeries>
              <c15:ser>
                <c:idx val="4"/>
                <c:order val="11"/>
                <c:tx>
                  <c:v>1st order</c:v>
                </c:tx>
                <c:spPr>
                  <a:ln w="2540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[1]proof!$Q$57:$R$57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-0.5</c:v>
                      </c:pt>
                      <c:pt idx="1">
                        <c:v>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[1]proof!$Q$58:$R$58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-3</c:v>
                      </c:pt>
                      <c:pt idx="1">
                        <c:v>1.5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E92-4103-B0B1-02E696036DD6}"/>
                  </c:ext>
                </c:extLst>
              </c15:ser>
            </c15:filteredScatterSeries>
            <c15:filteredScatterSeries>
              <c15:ser>
                <c:idx val="5"/>
                <c:order val="12"/>
                <c:tx>
                  <c:v>gridlines</c:v>
                </c:tx>
                <c:spPr>
                  <a:ln w="25400" cap="rnd">
                    <a:solidFill>
                      <a:schemeClr val="tx1">
                        <a:alpha val="2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[1]proof!$Q$61:$Q$92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-1.5</c:v>
                      </c:pt>
                      <c:pt idx="1">
                        <c:v>5</c:v>
                      </c:pt>
                      <c:pt idx="2">
                        <c:v>5</c:v>
                      </c:pt>
                      <c:pt idx="3">
                        <c:v>-1.5</c:v>
                      </c:pt>
                      <c:pt idx="4">
                        <c:v>-1.5</c:v>
                      </c:pt>
                      <c:pt idx="5">
                        <c:v>5</c:v>
                      </c:pt>
                      <c:pt idx="6">
                        <c:v>5</c:v>
                      </c:pt>
                      <c:pt idx="7">
                        <c:v>-1.5</c:v>
                      </c:pt>
                      <c:pt idx="8">
                        <c:v>-1.5</c:v>
                      </c:pt>
                      <c:pt idx="9">
                        <c:v>5</c:v>
                      </c:pt>
                      <c:pt idx="10">
                        <c:v>5</c:v>
                      </c:pt>
                      <c:pt idx="11">
                        <c:v>-1.5</c:v>
                      </c:pt>
                      <c:pt idx="12">
                        <c:v>-1.5</c:v>
                      </c:pt>
                      <c:pt idx="13">
                        <c:v>5</c:v>
                      </c:pt>
                      <c:pt idx="14">
                        <c:v>5</c:v>
                      </c:pt>
                      <c:pt idx="15">
                        <c:v>-1.5</c:v>
                      </c:pt>
                      <c:pt idx="16">
                        <c:v>-1.5</c:v>
                      </c:pt>
                      <c:pt idx="17">
                        <c:v>5</c:v>
                      </c:pt>
                      <c:pt idx="18">
                        <c:v>5</c:v>
                      </c:pt>
                      <c:pt idx="19">
                        <c:v>-1.5</c:v>
                      </c:pt>
                      <c:pt idx="20">
                        <c:v>-1.5</c:v>
                      </c:pt>
                      <c:pt idx="21">
                        <c:v>5</c:v>
                      </c:pt>
                      <c:pt idx="22">
                        <c:v>5</c:v>
                      </c:pt>
                      <c:pt idx="23">
                        <c:v>-1.5</c:v>
                      </c:pt>
                      <c:pt idx="24">
                        <c:v>-1.5</c:v>
                      </c:pt>
                      <c:pt idx="25">
                        <c:v>5</c:v>
                      </c:pt>
                      <c:pt idx="26">
                        <c:v>5</c:v>
                      </c:pt>
                      <c:pt idx="27">
                        <c:v>-1.5</c:v>
                      </c:pt>
                      <c:pt idx="28">
                        <c:v>-1.5</c:v>
                      </c:pt>
                      <c:pt idx="29">
                        <c:v>5</c:v>
                      </c:pt>
                      <c:pt idx="30">
                        <c:v>5</c:v>
                      </c:pt>
                      <c:pt idx="31">
                        <c:v>-1.5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[1]proof!$R$61:$R$92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-6</c:v>
                      </c:pt>
                      <c:pt idx="1">
                        <c:v>0.5</c:v>
                      </c:pt>
                      <c:pt idx="2">
                        <c:v>2.5</c:v>
                      </c:pt>
                      <c:pt idx="3">
                        <c:v>-4</c:v>
                      </c:pt>
                      <c:pt idx="4">
                        <c:v>-4</c:v>
                      </c:pt>
                      <c:pt idx="5">
                        <c:v>2.5</c:v>
                      </c:pt>
                      <c:pt idx="6">
                        <c:v>4.5</c:v>
                      </c:pt>
                      <c:pt idx="7">
                        <c:v>-2</c:v>
                      </c:pt>
                      <c:pt idx="8">
                        <c:v>-2</c:v>
                      </c:pt>
                      <c:pt idx="9">
                        <c:v>4.5</c:v>
                      </c:pt>
                      <c:pt idx="10">
                        <c:v>6.5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6.5</c:v>
                      </c:pt>
                      <c:pt idx="14">
                        <c:v>8.5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8.5</c:v>
                      </c:pt>
                      <c:pt idx="18">
                        <c:v>10.5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10.5</c:v>
                      </c:pt>
                      <c:pt idx="22">
                        <c:v>12.5</c:v>
                      </c:pt>
                      <c:pt idx="23">
                        <c:v>6</c:v>
                      </c:pt>
                      <c:pt idx="24">
                        <c:v>6</c:v>
                      </c:pt>
                      <c:pt idx="25">
                        <c:v>12.5</c:v>
                      </c:pt>
                      <c:pt idx="26">
                        <c:v>14.5</c:v>
                      </c:pt>
                      <c:pt idx="27">
                        <c:v>8</c:v>
                      </c:pt>
                      <c:pt idx="28">
                        <c:v>8</c:v>
                      </c:pt>
                      <c:pt idx="29">
                        <c:v>14.5</c:v>
                      </c:pt>
                      <c:pt idx="30">
                        <c:v>16.5</c:v>
                      </c:pt>
                      <c:pt idx="31">
                        <c:v>10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E92-4103-B0B1-02E696036DD6}"/>
                  </c:ext>
                </c:extLst>
              </c15:ser>
            </c15:filteredScatterSeries>
          </c:ext>
        </c:extLst>
      </c:scatterChart>
      <c:valAx>
        <c:axId val="-2132295880"/>
        <c:scaling>
          <c:orientation val="minMax"/>
          <c:max val="4"/>
          <c:min val="-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log(C</a:t>
                </a:r>
                <a:r>
                  <a:rPr lang="en-US" sz="1400" baseline="-25000">
                    <a:solidFill>
                      <a:schemeClr val="tx1"/>
                    </a:solidFill>
                  </a:rPr>
                  <a:t>0</a:t>
                </a:r>
                <a:r>
                  <a:rPr lang="en-US" sz="1400">
                    <a:solidFill>
                      <a:schemeClr val="tx1"/>
                    </a:solidFill>
                  </a:rPr>
                  <a:t> [mg L</a:t>
                </a:r>
                <a:r>
                  <a:rPr lang="en-US" sz="1400" baseline="30000">
                    <a:solidFill>
                      <a:schemeClr val="tx1"/>
                    </a:solidFill>
                  </a:rPr>
                  <a:t>-1</a:t>
                </a:r>
                <a:r>
                  <a:rPr lang="en-US" sz="1400">
                    <a:solidFill>
                      <a:schemeClr val="tx1"/>
                    </a:solidFill>
                  </a:rPr>
                  <a:t>])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830472"/>
        <c:crossesAt val="-5"/>
        <c:crossBetween val="midCat"/>
        <c:majorUnit val="1"/>
      </c:valAx>
      <c:valAx>
        <c:axId val="-2119830472"/>
        <c:scaling>
          <c:orientation val="minMax"/>
          <c:max val="2"/>
          <c:min val="-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log(initial rate [mg g</a:t>
                </a:r>
                <a:r>
                  <a:rPr lang="en-US" sz="1400" baseline="30000">
                    <a:solidFill>
                      <a:schemeClr val="tx1"/>
                    </a:solidFill>
                  </a:rPr>
                  <a:t>-1</a:t>
                </a:r>
                <a:r>
                  <a:rPr lang="en-US" sz="1400">
                    <a:solidFill>
                      <a:schemeClr val="tx1"/>
                    </a:solidFill>
                  </a:rPr>
                  <a:t> min</a:t>
                </a:r>
                <a:r>
                  <a:rPr lang="en-US" sz="1400" baseline="30000">
                    <a:solidFill>
                      <a:schemeClr val="tx1"/>
                    </a:solidFill>
                  </a:rPr>
                  <a:t>-1</a:t>
                </a:r>
                <a:r>
                  <a:rPr lang="en-US" sz="1400">
                    <a:solidFill>
                      <a:schemeClr val="tx1"/>
                    </a:solidFill>
                  </a:rPr>
                  <a:t>])</a:t>
                </a:r>
              </a:p>
            </c:rich>
          </c:tx>
          <c:layout>
            <c:manualLayout>
              <c:xMode val="edge"/>
              <c:yMode val="edge"/>
              <c:x val="3.02222213761058E-2"/>
              <c:y val="0.183710291183203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295880"/>
        <c:crossesAt val="-3"/>
        <c:crossBetween val="midCat"/>
        <c:majorUnit val="1"/>
      </c:valAx>
      <c:spPr>
        <a:noFill/>
        <a:ln w="95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6479989506357395"/>
          <c:y val="5.2280754958846799E-2"/>
          <c:w val="0.31555692054781598"/>
          <c:h val="0.7417893843120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85951098218001"/>
          <c:y val="4.5445879150996897E-2"/>
          <c:w val="0.44354330708661399"/>
          <c:h val="0.7561587347164170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C0Cs!$C$38</c:f>
              <c:strCache>
                <c:ptCount val="1"/>
                <c:pt idx="0">
                  <c:v>Cr(VI)/Fe2O3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C0Cs!$AH$38:$AK$38</c:f>
              <c:numCache>
                <c:formatCode>General</c:formatCode>
                <c:ptCount val="4"/>
                <c:pt idx="0">
                  <c:v>0</c:v>
                </c:pt>
                <c:pt idx="1">
                  <c:v>0.17609125905568124</c:v>
                </c:pt>
                <c:pt idx="2">
                  <c:v>0.3010299956639812</c:v>
                </c:pt>
                <c:pt idx="3">
                  <c:v>0.47712125471966244</c:v>
                </c:pt>
              </c:numCache>
            </c:numRef>
          </c:xVal>
          <c:yVal>
            <c:numRef>
              <c:f>C0Cs!$AN$38:$AQ$38</c:f>
              <c:numCache>
                <c:formatCode>General</c:formatCode>
                <c:ptCount val="4"/>
                <c:pt idx="0">
                  <c:v>0.29778174898488691</c:v>
                </c:pt>
                <c:pt idx="1">
                  <c:v>0.27465285472310841</c:v>
                </c:pt>
                <c:pt idx="2">
                  <c:v>0.33066467876818245</c:v>
                </c:pt>
                <c:pt idx="3">
                  <c:v>0.38572802829645336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BA-401A-8F93-B3FB07DBB470}"/>
            </c:ext>
          </c:extLst>
        </c:ser>
        <c:ser>
          <c:idx val="1"/>
          <c:order val="1"/>
          <c:tx>
            <c:strRef>
              <c:f>C0Cs!$C$39</c:f>
              <c:strCache>
                <c:ptCount val="1"/>
                <c:pt idx="0">
                  <c:v>Cr(VI)/Mg-Al-CO3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C0Cs!$AH$39:$AK$39</c:f>
              <c:numCache>
                <c:formatCode>General</c:formatCode>
                <c:ptCount val="4"/>
                <c:pt idx="0">
                  <c:v>-0.3010299956639812</c:v>
                </c:pt>
                <c:pt idx="1">
                  <c:v>0</c:v>
                </c:pt>
                <c:pt idx="2">
                  <c:v>0.17609125905568124</c:v>
                </c:pt>
                <c:pt idx="3">
                  <c:v>0.3010299956639812</c:v>
                </c:pt>
              </c:numCache>
            </c:numRef>
          </c:xVal>
          <c:yVal>
            <c:numRef>
              <c:f>C0Cs!$AN$39:$AQ$39</c:f>
              <c:numCache>
                <c:formatCode>General</c:formatCode>
                <c:ptCount val="4"/>
                <c:pt idx="0">
                  <c:v>0.12912786678433066</c:v>
                </c:pt>
                <c:pt idx="1">
                  <c:v>0.42385157639754995</c:v>
                </c:pt>
                <c:pt idx="2">
                  <c:v>0.88523235399575528</c:v>
                </c:pt>
                <c:pt idx="3">
                  <c:v>0.96229196881668932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BA-401A-8F93-B3FB07DBB470}"/>
            </c:ext>
          </c:extLst>
        </c:ser>
        <c:ser>
          <c:idx val="2"/>
          <c:order val="2"/>
          <c:tx>
            <c:strRef>
              <c:f>C0Cs!$C$40</c:f>
              <c:strCache>
                <c:ptCount val="1"/>
                <c:pt idx="0">
                  <c:v>Cr(VI)/chitin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C0Cs!$AH$40:$AM$40</c:f>
              <c:numCache>
                <c:formatCode>General</c:formatCode>
                <c:ptCount val="6"/>
                <c:pt idx="0">
                  <c:v>-0.3010299956639812</c:v>
                </c:pt>
                <c:pt idx="1">
                  <c:v>-9.6910013008056392E-2</c:v>
                </c:pt>
                <c:pt idx="2">
                  <c:v>0</c:v>
                </c:pt>
                <c:pt idx="3">
                  <c:v>0.17609125905568124</c:v>
                </c:pt>
                <c:pt idx="4">
                  <c:v>0.3010299956639812</c:v>
                </c:pt>
                <c:pt idx="5">
                  <c:v>0.3979400086720376</c:v>
                </c:pt>
              </c:numCache>
            </c:numRef>
          </c:xVal>
          <c:yVal>
            <c:numRef>
              <c:f>C0Cs!$AN$40:$AS$40</c:f>
              <c:numCache>
                <c:formatCode>General</c:formatCode>
                <c:ptCount val="6"/>
                <c:pt idx="0">
                  <c:v>-0.66890316160830121</c:v>
                </c:pt>
                <c:pt idx="1">
                  <c:v>-0.2912033431681923</c:v>
                </c:pt>
                <c:pt idx="2">
                  <c:v>-0.77607298877235509</c:v>
                </c:pt>
                <c:pt idx="3">
                  <c:v>-0.58997392629615575</c:v>
                </c:pt>
                <c:pt idx="4">
                  <c:v>-0.31610478882614096</c:v>
                </c:pt>
                <c:pt idx="5">
                  <c:v>0.25316829539008601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2BA-401A-8F93-B3FB07DBB470}"/>
            </c:ext>
          </c:extLst>
        </c:ser>
        <c:ser>
          <c:idx val="8"/>
          <c:order val="8"/>
          <c:tx>
            <c:strRef>
              <c:f>C0Cs!$C$41</c:f>
              <c:strCache>
                <c:ptCount val="1"/>
                <c:pt idx="0">
                  <c:v>Cu(II)/Fe2O3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0070C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C0Cs!$AH$41:$AJ$41</c:f>
              <c:numCache>
                <c:formatCode>General</c:formatCode>
                <c:ptCount val="3"/>
                <c:pt idx="0">
                  <c:v>-1.3010299956639813</c:v>
                </c:pt>
                <c:pt idx="1">
                  <c:v>-1</c:v>
                </c:pt>
                <c:pt idx="2">
                  <c:v>-0.3010299956639812</c:v>
                </c:pt>
              </c:numCache>
            </c:numRef>
          </c:xVal>
          <c:yVal>
            <c:numRef>
              <c:f>C0Cs!$AN$41:$AP$41</c:f>
              <c:numCache>
                <c:formatCode>General</c:formatCode>
                <c:ptCount val="3"/>
                <c:pt idx="0">
                  <c:v>-3.0960511659777299</c:v>
                </c:pt>
                <c:pt idx="1">
                  <c:v>-2.0062257259111993</c:v>
                </c:pt>
                <c:pt idx="2">
                  <c:v>-1.8839740374080343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D2BA-401A-8F93-B3FB07DBB470}"/>
            </c:ext>
          </c:extLst>
        </c:ser>
        <c:ser>
          <c:idx val="9"/>
          <c:order val="9"/>
          <c:tx>
            <c:strRef>
              <c:f>C0Cs!$C$42</c:f>
              <c:strCache>
                <c:ptCount val="1"/>
                <c:pt idx="0">
                  <c:v>Zn(II)/Fe2O3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rgbClr val="0070C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C0Cs!$AH$42:$AJ$42</c:f>
              <c:numCache>
                <c:formatCode>General</c:formatCode>
                <c:ptCount val="3"/>
                <c:pt idx="0">
                  <c:v>-1.3010299956639813</c:v>
                </c:pt>
                <c:pt idx="1">
                  <c:v>-1</c:v>
                </c:pt>
                <c:pt idx="2">
                  <c:v>-0.3010299956639812</c:v>
                </c:pt>
              </c:numCache>
            </c:numRef>
          </c:xVal>
          <c:yVal>
            <c:numRef>
              <c:f>C0Cs!$AN$42:$AP$42</c:f>
              <c:numCache>
                <c:formatCode>General</c:formatCode>
                <c:ptCount val="3"/>
                <c:pt idx="0">
                  <c:v>-2.3379090846059314</c:v>
                </c:pt>
                <c:pt idx="1">
                  <c:v>-1.5474030832478591</c:v>
                </c:pt>
                <c:pt idx="2">
                  <c:v>-0.82771053906406711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2BA-401A-8F93-B3FB07DBB470}"/>
            </c:ext>
          </c:extLst>
        </c:ser>
        <c:ser>
          <c:idx val="10"/>
          <c:order val="10"/>
          <c:tx>
            <c:strRef>
              <c:f>C0Cs!$C$43</c:f>
              <c:strCache>
                <c:ptCount val="1"/>
                <c:pt idx="0">
                  <c:v>Hg(II)/Lessonia nigrescens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0070C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C0Cs!$AH$43:$AJ$43</c:f>
              <c:numCache>
                <c:formatCode>General</c:formatCode>
                <c:ptCount val="3"/>
                <c:pt idx="0">
                  <c:v>-1</c:v>
                </c:pt>
                <c:pt idx="1">
                  <c:v>-0.69897000433601875</c:v>
                </c:pt>
                <c:pt idx="2">
                  <c:v>-0.3979400086720376</c:v>
                </c:pt>
              </c:numCache>
            </c:numRef>
          </c:xVal>
          <c:yVal>
            <c:numRef>
              <c:f>C0Cs!$AN$43:$AP$43</c:f>
              <c:numCache>
                <c:formatCode>General</c:formatCode>
                <c:ptCount val="3"/>
                <c:pt idx="0">
                  <c:v>-0.59828449938089667</c:v>
                </c:pt>
                <c:pt idx="1">
                  <c:v>-0.39864171338680282</c:v>
                </c:pt>
                <c:pt idx="2">
                  <c:v>7.4712405218534145E-2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5-D2BA-401A-8F93-B3FB07DBB470}"/>
            </c:ext>
          </c:extLst>
        </c:ser>
        <c:ser>
          <c:idx val="11"/>
          <c:order val="11"/>
          <c:tx>
            <c:strRef>
              <c:f>C0Cs!$C$44</c:f>
              <c:strCache>
                <c:ptCount val="1"/>
                <c:pt idx="0">
                  <c:v>Hg(II)/Lessonia trabeculata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solidFill>
                <a:srgbClr val="0070C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C0Cs!$AH$44:$AJ$44</c:f>
              <c:numCache>
                <c:formatCode>General</c:formatCode>
                <c:ptCount val="3"/>
                <c:pt idx="0">
                  <c:v>-1</c:v>
                </c:pt>
                <c:pt idx="1">
                  <c:v>-0.69897000433601875</c:v>
                </c:pt>
                <c:pt idx="2">
                  <c:v>-0.3979400086720376</c:v>
                </c:pt>
              </c:numCache>
            </c:numRef>
          </c:xVal>
          <c:yVal>
            <c:numRef>
              <c:f>C0Cs!$AN$44:$AP$44</c:f>
              <c:numCache>
                <c:formatCode>General</c:formatCode>
                <c:ptCount val="3"/>
                <c:pt idx="0">
                  <c:v>-0.62257200228151555</c:v>
                </c:pt>
                <c:pt idx="1">
                  <c:v>-0.32641596119060939</c:v>
                </c:pt>
                <c:pt idx="2">
                  <c:v>-2.9669873240823662E-2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2BA-401A-8F93-B3FB07DBB470}"/>
            </c:ext>
          </c:extLst>
        </c:ser>
        <c:ser>
          <c:idx val="13"/>
          <c:order val="13"/>
          <c:tx>
            <c:strRef>
              <c:f>C0Cs!$C$46</c:f>
              <c:strCache>
                <c:ptCount val="1"/>
                <c:pt idx="0">
                  <c:v>methylene blue/rafia fibres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C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C0Cs!$AH$46:$AL$46</c:f>
              <c:numCache>
                <c:formatCode>General</c:formatCode>
                <c:ptCount val="5"/>
                <c:pt idx="0">
                  <c:v>0</c:v>
                </c:pt>
                <c:pt idx="1">
                  <c:v>9.691001300805642E-2</c:v>
                </c:pt>
                <c:pt idx="2">
                  <c:v>0.17609125905568124</c:v>
                </c:pt>
                <c:pt idx="3">
                  <c:v>0.24303804868629444</c:v>
                </c:pt>
                <c:pt idx="4">
                  <c:v>0.3010299956639812</c:v>
                </c:pt>
              </c:numCache>
            </c:numRef>
          </c:xVal>
          <c:yVal>
            <c:numRef>
              <c:f>C0Cs!$AN$46:$AR$46</c:f>
              <c:numCache>
                <c:formatCode>General</c:formatCode>
                <c:ptCount val="5"/>
                <c:pt idx="0">
                  <c:v>-0.47022291334297073</c:v>
                </c:pt>
                <c:pt idx="1">
                  <c:v>-0.36910420569244695</c:v>
                </c:pt>
                <c:pt idx="2">
                  <c:v>-0.19733433153096408</c:v>
                </c:pt>
                <c:pt idx="3">
                  <c:v>-6.2510248670586091E-2</c:v>
                </c:pt>
                <c:pt idx="4">
                  <c:v>-5.6829401688405111E-3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2BA-401A-8F93-B3FB07DBB470}"/>
            </c:ext>
          </c:extLst>
        </c:ser>
        <c:ser>
          <c:idx val="15"/>
          <c:order val="15"/>
          <c:tx>
            <c:v>gridlines</c:v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C0Cs!$X$3:$X$21</c:f>
              <c:numCache>
                <c:formatCode>General</c:formatCode>
                <c:ptCount val="19"/>
                <c:pt idx="0">
                  <c:v>-10</c:v>
                </c:pt>
                <c:pt idx="1">
                  <c:v>10</c:v>
                </c:pt>
                <c:pt idx="2">
                  <c:v>10</c:v>
                </c:pt>
                <c:pt idx="3">
                  <c:v>-10</c:v>
                </c:pt>
                <c:pt idx="4">
                  <c:v>-10</c:v>
                </c:pt>
                <c:pt idx="5">
                  <c:v>10</c:v>
                </c:pt>
                <c:pt idx="6">
                  <c:v>10</c:v>
                </c:pt>
                <c:pt idx="7">
                  <c:v>-10</c:v>
                </c:pt>
                <c:pt idx="8">
                  <c:v>-10</c:v>
                </c:pt>
                <c:pt idx="9">
                  <c:v>10</c:v>
                </c:pt>
                <c:pt idx="10">
                  <c:v>10</c:v>
                </c:pt>
                <c:pt idx="11">
                  <c:v>-10</c:v>
                </c:pt>
                <c:pt idx="12">
                  <c:v>-10</c:v>
                </c:pt>
                <c:pt idx="13">
                  <c:v>10</c:v>
                </c:pt>
                <c:pt idx="14">
                  <c:v>10</c:v>
                </c:pt>
                <c:pt idx="15">
                  <c:v>-10</c:v>
                </c:pt>
                <c:pt idx="16">
                  <c:v>-10</c:v>
                </c:pt>
                <c:pt idx="17">
                  <c:v>10</c:v>
                </c:pt>
                <c:pt idx="18">
                  <c:v>10</c:v>
                </c:pt>
              </c:numCache>
            </c:numRef>
          </c:xVal>
          <c:yVal>
            <c:numRef>
              <c:f>C0Cs!$Y$3:$Y$21</c:f>
              <c:numCache>
                <c:formatCode>General</c:formatCode>
                <c:ptCount val="19"/>
                <c:pt idx="0">
                  <c:v>-16</c:v>
                </c:pt>
                <c:pt idx="1">
                  <c:v>4</c:v>
                </c:pt>
                <c:pt idx="2">
                  <c:v>6</c:v>
                </c:pt>
                <c:pt idx="3">
                  <c:v>-14</c:v>
                </c:pt>
                <c:pt idx="4">
                  <c:v>-12</c:v>
                </c:pt>
                <c:pt idx="5">
                  <c:v>8</c:v>
                </c:pt>
                <c:pt idx="6">
                  <c:v>10</c:v>
                </c:pt>
                <c:pt idx="7">
                  <c:v>-10</c:v>
                </c:pt>
                <c:pt idx="8">
                  <c:v>-8</c:v>
                </c:pt>
                <c:pt idx="9">
                  <c:v>12</c:v>
                </c:pt>
                <c:pt idx="10">
                  <c:v>14</c:v>
                </c:pt>
                <c:pt idx="11">
                  <c:v>-6</c:v>
                </c:pt>
                <c:pt idx="12">
                  <c:v>-4</c:v>
                </c:pt>
                <c:pt idx="13">
                  <c:v>16</c:v>
                </c:pt>
                <c:pt idx="14">
                  <c:v>18</c:v>
                </c:pt>
                <c:pt idx="15">
                  <c:v>-2</c:v>
                </c:pt>
                <c:pt idx="16">
                  <c:v>0</c:v>
                </c:pt>
                <c:pt idx="17">
                  <c:v>20</c:v>
                </c:pt>
                <c:pt idx="18">
                  <c:v>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2BA-401A-8F93-B3FB07DBB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2450760"/>
        <c:axId val="-2132188280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[1]Cs!$A$7</c15:sqref>
                        </c15:formulaRef>
                      </c:ext>
                    </c:extLst>
                    <c:strCache>
                      <c:ptCount val="1"/>
                      <c:pt idx="0">
                        <c:v>SH2 (g)/ZnO2-bentonite-TiO2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accent4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[1]Cs!$N$6:$R$6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-0.3010299956639812</c:v>
                      </c:pt>
                      <c:pt idx="1">
                        <c:v>0</c:v>
                      </c:pt>
                      <c:pt idx="2">
                        <c:v>0.3010299956639812</c:v>
                      </c:pt>
                      <c:pt idx="3">
                        <c:v>0.6020599913279624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[1]Cs!$S$6:$W$6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-1.1016039540699911</c:v>
                      </c:pt>
                      <c:pt idx="1">
                        <c:v>-0.50990099493669505</c:v>
                      </c:pt>
                      <c:pt idx="2">
                        <c:v>7.8507567364714814E-2</c:v>
                      </c:pt>
                      <c:pt idx="3">
                        <c:v>1.2843729744779064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A-D2BA-401A-8F93-B3FB07DBB47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[1]Cs!$A$7</c15:sqref>
                        </c15:formulaRef>
                      </c:ext>
                    </c:extLst>
                    <c:strCache>
                      <c:ptCount val="1"/>
                      <c:pt idx="0">
                        <c:v>SH2 (g)/ZnO2-bentonite-TiO2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accent5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[1]Cs!$N$7:$R$7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-1.8239087409443189</c:v>
                      </c:pt>
                      <c:pt idx="1">
                        <c:v>-1.5228787452803376</c:v>
                      </c:pt>
                      <c:pt idx="2">
                        <c:v>-1.3010299956639813</c:v>
                      </c:pt>
                      <c:pt idx="3">
                        <c:v>-1.1249387366082999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[1]Cs!$S$7:$W$7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-1.7201043273331333</c:v>
                      </c:pt>
                      <c:pt idx="1">
                        <c:v>-1.7040880452359417</c:v>
                      </c:pt>
                      <c:pt idx="2">
                        <c:v>-1.31203204520228</c:v>
                      </c:pt>
                      <c:pt idx="3">
                        <c:v>-1.1140298556293211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2BA-401A-8F93-B3FB07DBB47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one-to-one</c:v>
                </c:tx>
                <c:spPr>
                  <a:ln w="2540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accent6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Lit>
                    <c:formatCode>General</c:formatCode>
                    <c:ptCount val="2"/>
                    <c:pt idx="0">
                      <c:v>-12</c:v>
                    </c:pt>
                    <c:pt idx="1">
                      <c:v>2</c:v>
                    </c:pt>
                  </c:numLit>
                </c:xVal>
                <c:yVal>
                  <c:numLit>
                    <c:formatCode>General</c:formatCode>
                    <c:ptCount val="2"/>
                    <c:pt idx="0">
                      <c:v>-12</c:v>
                    </c:pt>
                    <c:pt idx="1">
                      <c:v>2</c:v>
                    </c:pt>
                  </c:numLit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2BA-401A-8F93-B3FB07DBB470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[1]Cs!$A$8</c15:sqref>
                        </c15:formulaRef>
                      </c:ext>
                    </c:extLst>
                    <c:strCache>
                      <c:ptCount val="1"/>
                      <c:pt idx="0">
                        <c:v>Cr(VI)/guava seeds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7"/>
                  <c:spPr>
                    <a:solidFill>
                      <a:srgbClr val="FF0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[1]Cs!$N$8:$R$8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[1]Cs!$S$8:$W$8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2BA-401A-8F93-B3FB07DBB470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[1]Cs!$A$9</c15:sqref>
                        </c15:formulaRef>
                      </c:ext>
                    </c:extLst>
                    <c:strCache>
                      <c:ptCount val="1"/>
                      <c:pt idx="0">
                        <c:v>Cd(II)/Fe2O3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rgbClr val="0070C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[1]Cs!$N$9:$P$9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[1]Cs!$S$9:$U$9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2BA-401A-8F93-B3FB07DBB470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[1]Cs!$A$14</c15:sqref>
                        </c15:formulaRef>
                      </c:ext>
                    </c:extLst>
                    <c:strCache>
                      <c:ptCount val="1"/>
                      <c:pt idx="0">
                        <c:v>Eriochrome Black-T dye/TiO2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rgbClr val="FFC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[1]Cs!$N$14:$R$14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[1]Cs!$S$14:$W$14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2BA-401A-8F93-B3FB07DBB470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v>gridlines</c:v>
                </c:tx>
                <c:spPr>
                  <a:ln w="25400" cap="rnd">
                    <a:solidFill>
                      <a:schemeClr val="bg1">
                        <a:lumMod val="50000"/>
                        <a:alpha val="32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[1]Cs!$L$47:$L$78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-1.5</c:v>
                      </c:pt>
                      <c:pt idx="1">
                        <c:v>5</c:v>
                      </c:pt>
                      <c:pt idx="2">
                        <c:v>5</c:v>
                      </c:pt>
                      <c:pt idx="3">
                        <c:v>-1.5</c:v>
                      </c:pt>
                      <c:pt idx="4">
                        <c:v>-1.5</c:v>
                      </c:pt>
                      <c:pt idx="5">
                        <c:v>5</c:v>
                      </c:pt>
                      <c:pt idx="6">
                        <c:v>5</c:v>
                      </c:pt>
                      <c:pt idx="7">
                        <c:v>-1.5</c:v>
                      </c:pt>
                      <c:pt idx="8">
                        <c:v>-1.5</c:v>
                      </c:pt>
                      <c:pt idx="9">
                        <c:v>5</c:v>
                      </c:pt>
                      <c:pt idx="10">
                        <c:v>5</c:v>
                      </c:pt>
                      <c:pt idx="11">
                        <c:v>-1.5</c:v>
                      </c:pt>
                      <c:pt idx="12">
                        <c:v>-1.5</c:v>
                      </c:pt>
                      <c:pt idx="13">
                        <c:v>5</c:v>
                      </c:pt>
                      <c:pt idx="14">
                        <c:v>5</c:v>
                      </c:pt>
                      <c:pt idx="15">
                        <c:v>-1.5</c:v>
                      </c:pt>
                      <c:pt idx="16">
                        <c:v>-1.5</c:v>
                      </c:pt>
                      <c:pt idx="17">
                        <c:v>5</c:v>
                      </c:pt>
                      <c:pt idx="18">
                        <c:v>5</c:v>
                      </c:pt>
                      <c:pt idx="19">
                        <c:v>-1.5</c:v>
                      </c:pt>
                      <c:pt idx="20">
                        <c:v>-1.5</c:v>
                      </c:pt>
                      <c:pt idx="21">
                        <c:v>5</c:v>
                      </c:pt>
                      <c:pt idx="22">
                        <c:v>5</c:v>
                      </c:pt>
                      <c:pt idx="23">
                        <c:v>-1.5</c:v>
                      </c:pt>
                      <c:pt idx="24">
                        <c:v>-1.5</c:v>
                      </c:pt>
                      <c:pt idx="25">
                        <c:v>5</c:v>
                      </c:pt>
                      <c:pt idx="26">
                        <c:v>5</c:v>
                      </c:pt>
                      <c:pt idx="27">
                        <c:v>-1.5</c:v>
                      </c:pt>
                      <c:pt idx="28">
                        <c:v>-1.5</c:v>
                      </c:pt>
                      <c:pt idx="29">
                        <c:v>5</c:v>
                      </c:pt>
                      <c:pt idx="30">
                        <c:v>5</c:v>
                      </c:pt>
                      <c:pt idx="31">
                        <c:v>-1.5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[1]Cs!$M$47:$M$78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-6</c:v>
                      </c:pt>
                      <c:pt idx="1">
                        <c:v>0.5</c:v>
                      </c:pt>
                      <c:pt idx="2">
                        <c:v>2.5</c:v>
                      </c:pt>
                      <c:pt idx="3">
                        <c:v>-4</c:v>
                      </c:pt>
                      <c:pt idx="4">
                        <c:v>-4</c:v>
                      </c:pt>
                      <c:pt idx="5">
                        <c:v>2.5</c:v>
                      </c:pt>
                      <c:pt idx="6">
                        <c:v>4.5</c:v>
                      </c:pt>
                      <c:pt idx="7">
                        <c:v>-2</c:v>
                      </c:pt>
                      <c:pt idx="8">
                        <c:v>-2</c:v>
                      </c:pt>
                      <c:pt idx="9">
                        <c:v>4.5</c:v>
                      </c:pt>
                      <c:pt idx="10">
                        <c:v>6.5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6.5</c:v>
                      </c:pt>
                      <c:pt idx="14">
                        <c:v>8.5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8.5</c:v>
                      </c:pt>
                      <c:pt idx="18">
                        <c:v>10.5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10.5</c:v>
                      </c:pt>
                      <c:pt idx="22">
                        <c:v>12.5</c:v>
                      </c:pt>
                      <c:pt idx="23">
                        <c:v>6</c:v>
                      </c:pt>
                      <c:pt idx="24">
                        <c:v>6</c:v>
                      </c:pt>
                      <c:pt idx="25">
                        <c:v>12.5</c:v>
                      </c:pt>
                      <c:pt idx="26">
                        <c:v>14.5</c:v>
                      </c:pt>
                      <c:pt idx="27">
                        <c:v>8</c:v>
                      </c:pt>
                      <c:pt idx="28">
                        <c:v>8</c:v>
                      </c:pt>
                      <c:pt idx="29">
                        <c:v>14.5</c:v>
                      </c:pt>
                      <c:pt idx="30">
                        <c:v>16.5</c:v>
                      </c:pt>
                      <c:pt idx="31">
                        <c:v>10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2BA-401A-8F93-B3FB07DBB470}"/>
                  </c:ext>
                </c:extLst>
              </c15:ser>
            </c15:filteredScatterSeries>
          </c:ext>
        </c:extLst>
      </c:scatterChart>
      <c:valAx>
        <c:axId val="-2132450760"/>
        <c:scaling>
          <c:orientation val="minMax"/>
          <c:max val="1"/>
          <c:min val="-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log(C</a:t>
                </a:r>
                <a:r>
                  <a:rPr lang="en-US" sz="1400" baseline="-25000">
                    <a:solidFill>
                      <a:schemeClr val="tx1"/>
                    </a:solidFill>
                  </a:rPr>
                  <a:t>s</a:t>
                </a:r>
                <a:r>
                  <a:rPr lang="en-US" sz="1400">
                    <a:solidFill>
                      <a:schemeClr val="tx1"/>
                    </a:solidFill>
                  </a:rPr>
                  <a:t> [g L</a:t>
                </a:r>
                <a:r>
                  <a:rPr lang="en-US" sz="1400" baseline="30000">
                    <a:solidFill>
                      <a:schemeClr val="tx1"/>
                    </a:solidFill>
                  </a:rPr>
                  <a:t>-1</a:t>
                </a:r>
                <a:r>
                  <a:rPr lang="en-US" sz="1400">
                    <a:solidFill>
                      <a:schemeClr val="tx1"/>
                    </a:solidFill>
                  </a:rPr>
                  <a:t>])</a:t>
                </a:r>
              </a:p>
            </c:rich>
          </c:tx>
          <c:layout>
            <c:manualLayout>
              <c:xMode val="edge"/>
              <c:yMode val="edge"/>
              <c:x val="0.31366984390109098"/>
              <c:y val="0.897208492149364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188280"/>
        <c:crossesAt val="-5"/>
        <c:crossBetween val="midCat"/>
      </c:valAx>
      <c:valAx>
        <c:axId val="-2132188280"/>
        <c:scaling>
          <c:orientation val="minMax"/>
          <c:max val="2"/>
          <c:min val="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log(initial rate [mg L</a:t>
                </a:r>
                <a:r>
                  <a:rPr lang="en-US" sz="1400" baseline="30000">
                    <a:solidFill>
                      <a:schemeClr val="tx1"/>
                    </a:solidFill>
                  </a:rPr>
                  <a:t>-1</a:t>
                </a:r>
                <a:r>
                  <a:rPr lang="en-US" sz="1400">
                    <a:solidFill>
                      <a:schemeClr val="tx1"/>
                    </a:solidFill>
                  </a:rPr>
                  <a:t> min</a:t>
                </a:r>
                <a:r>
                  <a:rPr lang="en-US" sz="1400" baseline="30000">
                    <a:solidFill>
                      <a:schemeClr val="tx1"/>
                    </a:solidFill>
                  </a:rPr>
                  <a:t>-1</a:t>
                </a:r>
                <a:r>
                  <a:rPr lang="en-US" sz="1400">
                    <a:solidFill>
                      <a:schemeClr val="tx1"/>
                    </a:solidFill>
                  </a:rPr>
                  <a:t>])</a:t>
                </a:r>
              </a:p>
            </c:rich>
          </c:tx>
          <c:layout>
            <c:manualLayout>
              <c:xMode val="edge"/>
              <c:yMode val="edge"/>
              <c:x val="3.5634756181793098E-2"/>
              <c:y val="0.131543101307017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450760"/>
        <c:crossesAt val="-2.5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8868439008035798"/>
          <c:y val="4.8851254984267997E-2"/>
          <c:w val="0.27809722324647201"/>
          <c:h val="0.660160968885032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adsorbate concentration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C0Cs!$BZ$27:$BZ$35</c:f>
              <c:numCache>
                <c:formatCode>General</c:formatCode>
                <c:ptCount val="9"/>
                <c:pt idx="0">
                  <c:v>-0.9343930087008443</c:v>
                </c:pt>
                <c:pt idx="1">
                  <c:v>-0.80031890627543911</c:v>
                </c:pt>
                <c:pt idx="2">
                  <c:v>-0.90777422065481772</c:v>
                </c:pt>
                <c:pt idx="3">
                  <c:v>-1.1479319101352701</c:v>
                </c:pt>
                <c:pt idx="4">
                  <c:v>-0.5127699894121488</c:v>
                </c:pt>
                <c:pt idx="5">
                  <c:v>-0.88741602203962011</c:v>
                </c:pt>
                <c:pt idx="6">
                  <c:v>0.32784851141346144</c:v>
                </c:pt>
                <c:pt idx="7">
                  <c:v>-0.52043272742837388</c:v>
                </c:pt>
                <c:pt idx="8">
                  <c:v>-1.1568333738539223</c:v>
                </c:pt>
              </c:numCache>
            </c:numRef>
          </c:xVal>
          <c:yVal>
            <c:numRef>
              <c:f>C0Cs!$CA$27:$CA$35</c:f>
              <c:numCache>
                <c:formatCode>General</c:formatCode>
                <c:ptCount val="9"/>
                <c:pt idx="0">
                  <c:v>-5.4291451354436637E-2</c:v>
                </c:pt>
                <c:pt idx="1">
                  <c:v>-0.63962127851055073</c:v>
                </c:pt>
                <c:pt idx="2">
                  <c:v>-0.33496657733623797</c:v>
                </c:pt>
                <c:pt idx="3">
                  <c:v>-0.47169276822359685</c:v>
                </c:pt>
                <c:pt idx="4">
                  <c:v>-0.53200197566979435</c:v>
                </c:pt>
                <c:pt idx="5">
                  <c:v>-8.508133788386997E-2</c:v>
                </c:pt>
                <c:pt idx="6">
                  <c:v>0.49301935159530064</c:v>
                </c:pt>
                <c:pt idx="7">
                  <c:v>0.21840375156418765</c:v>
                </c:pt>
                <c:pt idx="8">
                  <c:v>-0.41220791848962096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FF-4312-B324-67EEF5AE0054}"/>
            </c:ext>
          </c:extLst>
        </c:ser>
        <c:ser>
          <c:idx val="1"/>
          <c:order val="1"/>
          <c:tx>
            <c:v>adsorbent concentration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C0Cs!$BZ$41:$BZ$49</c:f>
              <c:numCache>
                <c:formatCode>General</c:formatCode>
                <c:ptCount val="9"/>
                <c:pt idx="0">
                  <c:v>0.8749085132916683</c:v>
                </c:pt>
                <c:pt idx="1">
                  <c:v>1.0619649903898143</c:v>
                </c:pt>
                <c:pt idx="2">
                  <c:v>1.5136635226387571</c:v>
                </c:pt>
                <c:pt idx="3">
                  <c:v>1.2416530426606665</c:v>
                </c:pt>
                <c:pt idx="4">
                  <c:v>2.258408724865117</c:v>
                </c:pt>
                <c:pt idx="5">
                  <c:v>1.1848329818066499</c:v>
                </c:pt>
                <c:pt idx="6">
                  <c:v>1.1752703467063932</c:v>
                </c:pt>
                <c:pt idx="8">
                  <c:v>3.2242420157487901</c:v>
                </c:pt>
              </c:numCache>
            </c:numRef>
          </c:xVal>
          <c:yVal>
            <c:numRef>
              <c:f>C0Cs!$CA$41:$CA$49</c:f>
              <c:numCache>
                <c:formatCode>General</c:formatCode>
                <c:ptCount val="9"/>
                <c:pt idx="0">
                  <c:v>-0.79873297351207717</c:v>
                </c:pt>
                <c:pt idx="1">
                  <c:v>0.47198361012826301</c:v>
                </c:pt>
                <c:pt idx="2">
                  <c:v>-6.0786974344240366E-2</c:v>
                </c:pt>
                <c:pt idx="3">
                  <c:v>2.939466632507676E-2</c:v>
                </c:pt>
                <c:pt idx="4">
                  <c:v>0.42555676806505732</c:v>
                </c:pt>
                <c:pt idx="5">
                  <c:v>0.11782366258053967</c:v>
                </c:pt>
                <c:pt idx="6">
                  <c:v>-1.5210880010596752E-2</c:v>
                </c:pt>
                <c:pt idx="8">
                  <c:v>0.64634371622095554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FF-4312-B324-67EEF5AE0054}"/>
            </c:ext>
          </c:extLst>
        </c:ser>
        <c:ser>
          <c:idx val="2"/>
          <c:order val="2"/>
          <c:tx>
            <c:v>ideal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5"/>
              <c:pt idx="0">
                <c:v>-10</c:v>
              </c:pt>
              <c:pt idx="1">
                <c:v>10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</c:numLit>
          </c:xVal>
          <c:y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10</c:v>
              </c:pt>
              <c:pt idx="4">
                <c:v>-10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FF-4312-B324-67EEF5AE0054}"/>
            </c:ext>
          </c:extLst>
        </c:ser>
        <c:ser>
          <c:idx val="3"/>
          <c:order val="3"/>
          <c:tx>
            <c:v>C0 box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C0Cs!$CA$2:$CA$6</c:f>
              <c:numCache>
                <c:formatCode>General</c:formatCode>
                <c:ptCount val="5"/>
                <c:pt idx="0">
                  <c:v>-1.1835620401155673</c:v>
                </c:pt>
                <c:pt idx="1">
                  <c:v>-1.1835620401155673</c:v>
                </c:pt>
                <c:pt idx="2">
                  <c:v>-0.2697761036815382</c:v>
                </c:pt>
                <c:pt idx="3">
                  <c:v>-0.2697761036815382</c:v>
                </c:pt>
                <c:pt idx="4">
                  <c:v>-1.1835620401155673</c:v>
                </c:pt>
              </c:numCache>
            </c:numRef>
          </c:xVal>
          <c:yVal>
            <c:numRef>
              <c:f>C0Cs!$BZ$2:$BZ$6</c:f>
              <c:numCache>
                <c:formatCode>General</c:formatCode>
                <c:ptCount val="5"/>
                <c:pt idx="0">
                  <c:v>-0.57793026538576908</c:v>
                </c:pt>
                <c:pt idx="1">
                  <c:v>0.17383244220607585</c:v>
                </c:pt>
                <c:pt idx="2">
                  <c:v>0.17383244220607585</c:v>
                </c:pt>
                <c:pt idx="3">
                  <c:v>-0.57793026538576908</c:v>
                </c:pt>
                <c:pt idx="4">
                  <c:v>-0.57793026538576908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FF-4312-B324-67EEF5AE0054}"/>
            </c:ext>
          </c:extLst>
        </c:ser>
        <c:ser>
          <c:idx val="4"/>
          <c:order val="4"/>
          <c:tx>
            <c:v>Cs box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C0Cs!$CA$8:$CA$12</c:f>
              <c:numCache>
                <c:formatCode>General</c:formatCode>
                <c:ptCount val="5"/>
                <c:pt idx="0">
                  <c:v>0.7770446061984444</c:v>
                </c:pt>
                <c:pt idx="1">
                  <c:v>0.7770446061984444</c:v>
                </c:pt>
                <c:pt idx="2">
                  <c:v>2.3566914283285199</c:v>
                </c:pt>
                <c:pt idx="3">
                  <c:v>2.3566914283285199</c:v>
                </c:pt>
                <c:pt idx="4">
                  <c:v>0.7770446061984444</c:v>
                </c:pt>
              </c:numCache>
            </c:numRef>
          </c:xVal>
          <c:yVal>
            <c:numRef>
              <c:f>C0Cs!$BZ$8:$BZ$12</c:f>
              <c:numCache>
                <c:formatCode>General</c:formatCode>
                <c:ptCount val="5"/>
                <c:pt idx="0">
                  <c:v>-0.34436251102144533</c:v>
                </c:pt>
                <c:pt idx="1">
                  <c:v>0.54845540988468988</c:v>
                </c:pt>
                <c:pt idx="2">
                  <c:v>0.54845540988468988</c:v>
                </c:pt>
                <c:pt idx="3">
                  <c:v>-0.34436251102144533</c:v>
                </c:pt>
                <c:pt idx="4">
                  <c:v>-0.34436251102144533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FF-4312-B324-67EEF5AE0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149752"/>
        <c:axId val="-2120142920"/>
      </c:scatterChart>
      <c:valAx>
        <c:axId val="-2120149752"/>
        <c:scaling>
          <c:orientation val="minMax"/>
          <c:max val="3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dependency of k</a:t>
                </a:r>
                <a:r>
                  <a:rPr lang="en-US" sz="1400" baseline="-25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142920"/>
        <c:crossesAt val="-100"/>
        <c:crossBetween val="midCat"/>
        <c:majorUnit val="1"/>
      </c:valAx>
      <c:valAx>
        <c:axId val="-2120142920"/>
        <c:scaling>
          <c:orientation val="minMax"/>
          <c:max val="3"/>
          <c:min val="-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dependency of k'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149752"/>
        <c:crossesAt val="-100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-2120113768"/>
        <c:axId val="-2120109896"/>
      </c:scatterChart>
      <c:valAx>
        <c:axId val="-2120113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109896"/>
        <c:crosses val="autoZero"/>
        <c:crossBetween val="midCat"/>
      </c:valAx>
      <c:valAx>
        <c:axId val="-212010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113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34381658581401"/>
          <c:y val="4.2082917284354898E-2"/>
          <c:w val="0.45677343355227901"/>
          <c:h val="0.770612773604294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C0Cs!$C$29</c:f>
              <c:strCache>
                <c:ptCount val="1"/>
                <c:pt idx="0">
                  <c:v>As(III)/HFO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C0Cs!$AH$29:$AJ$29</c:f>
              <c:numCache>
                <c:formatCode>General</c:formatCode>
                <c:ptCount val="3"/>
                <c:pt idx="0">
                  <c:v>1.6989700043360187</c:v>
                </c:pt>
                <c:pt idx="1">
                  <c:v>1.8750612633917001</c:v>
                </c:pt>
                <c:pt idx="2">
                  <c:v>2</c:v>
                </c:pt>
              </c:numCache>
            </c:numRef>
          </c:xVal>
          <c:yVal>
            <c:numRef>
              <c:f>C0Cs!$AZ$29:$BB$29</c:f>
              <c:numCache>
                <c:formatCode>General</c:formatCode>
                <c:ptCount val="3"/>
                <c:pt idx="0">
                  <c:v>-3.0507642168781199</c:v>
                </c:pt>
                <c:pt idx="1">
                  <c:v>-3.0800068075021323</c:v>
                </c:pt>
                <c:pt idx="2">
                  <c:v>-3.3397156307035001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DA-47FD-AB90-ABFCA5C48B0F}"/>
            </c:ext>
          </c:extLst>
        </c:ser>
        <c:ser>
          <c:idx val="1"/>
          <c:order val="1"/>
          <c:tx>
            <c:strRef>
              <c:f>C0Cs!$C$27</c:f>
              <c:strCache>
                <c:ptCount val="1"/>
                <c:pt idx="0">
                  <c:v>As(V)/Fe2O3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0000">
                  <a:alpha val="90000"/>
                </a:srgb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C0Cs!$AH$27:$AL$27</c:f>
              <c:numCache>
                <c:formatCode>General</c:formatCode>
                <c:ptCount val="5"/>
                <c:pt idx="0">
                  <c:v>0</c:v>
                </c:pt>
                <c:pt idx="1">
                  <c:v>0.3010299956639812</c:v>
                </c:pt>
                <c:pt idx="2">
                  <c:v>0.6020599913279624</c:v>
                </c:pt>
                <c:pt idx="3">
                  <c:v>0.90308998699194354</c:v>
                </c:pt>
                <c:pt idx="4">
                  <c:v>1</c:v>
                </c:pt>
              </c:numCache>
            </c:numRef>
          </c:xVal>
          <c:yVal>
            <c:numRef>
              <c:f>C0Cs!$AZ$27:$BD$27</c:f>
              <c:numCache>
                <c:formatCode>General</c:formatCode>
                <c:ptCount val="5"/>
                <c:pt idx="0">
                  <c:v>0.5573025175332379</c:v>
                </c:pt>
                <c:pt idx="1">
                  <c:v>0.19142851308913533</c:v>
                </c:pt>
                <c:pt idx="2">
                  <c:v>-0.18481543895875277</c:v>
                </c:pt>
                <c:pt idx="3">
                  <c:v>-0.34839743182955762</c:v>
                </c:pt>
                <c:pt idx="4">
                  <c:v>-0.36235545677390796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DA-47FD-AB90-ABFCA5C48B0F}"/>
            </c:ext>
          </c:extLst>
        </c:ser>
        <c:ser>
          <c:idx val="2"/>
          <c:order val="2"/>
          <c:tx>
            <c:strRef>
              <c:f>C0Cs!$C$28</c:f>
              <c:strCache>
                <c:ptCount val="1"/>
                <c:pt idx="0">
                  <c:v>As(V)/laterite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C0Cs!$AH$28:$AL$28</c:f>
              <c:numCache>
                <c:formatCode>General</c:formatCode>
                <c:ptCount val="5"/>
                <c:pt idx="0">
                  <c:v>-0.3010299956639812</c:v>
                </c:pt>
                <c:pt idx="1">
                  <c:v>0.3010299956639812</c:v>
                </c:pt>
                <c:pt idx="2">
                  <c:v>0.55630250076728727</c:v>
                </c:pt>
                <c:pt idx="3">
                  <c:v>0.63346845557958653</c:v>
                </c:pt>
                <c:pt idx="4">
                  <c:v>0.76342799356293722</c:v>
                </c:pt>
              </c:numCache>
            </c:numRef>
          </c:xVal>
          <c:yVal>
            <c:numRef>
              <c:f>C0Cs!$AZ$28:$BD$28</c:f>
              <c:numCache>
                <c:formatCode>General</c:formatCode>
                <c:ptCount val="5"/>
                <c:pt idx="0">
                  <c:v>-1.030863704700141</c:v>
                </c:pt>
                <c:pt idx="1">
                  <c:v>-1.7446126971215958</c:v>
                </c:pt>
                <c:pt idx="2">
                  <c:v>-1.8429160001351654</c:v>
                </c:pt>
                <c:pt idx="3">
                  <c:v>-1.961003294236709</c:v>
                </c:pt>
                <c:pt idx="4">
                  <c:v>-1.7638507429741506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DA-47FD-AB90-ABFCA5C48B0F}"/>
            </c:ext>
          </c:extLst>
        </c:ser>
        <c:ser>
          <c:idx val="3"/>
          <c:order val="3"/>
          <c:tx>
            <c:strRef>
              <c:f>C0Cs!$C$30</c:f>
              <c:strCache>
                <c:ptCount val="1"/>
                <c:pt idx="0">
                  <c:v>HPO4-2/iron hydroxide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C0Cs!$AH$30:$AK$30</c:f>
              <c:numCache>
                <c:formatCode>General</c:formatCode>
                <c:ptCount val="4"/>
                <c:pt idx="0">
                  <c:v>0.44715803134221921</c:v>
                </c:pt>
                <c:pt idx="1">
                  <c:v>1.146128035678238</c:v>
                </c:pt>
                <c:pt idx="2">
                  <c:v>1.7242758696007889</c:v>
                </c:pt>
                <c:pt idx="3">
                  <c:v>2.0413926851582249</c:v>
                </c:pt>
              </c:numCache>
            </c:numRef>
          </c:xVal>
          <c:yVal>
            <c:numRef>
              <c:f>C0Cs!$AZ$30:$BC$30</c:f>
              <c:numCache>
                <c:formatCode>General</c:formatCode>
                <c:ptCount val="4"/>
                <c:pt idx="0">
                  <c:v>-0.23306330624332636</c:v>
                </c:pt>
                <c:pt idx="1">
                  <c:v>-1.6582074278897128</c:v>
                </c:pt>
                <c:pt idx="2">
                  <c:v>-1.8511243500034609</c:v>
                </c:pt>
                <c:pt idx="3">
                  <c:v>-2.1516692305236145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0DA-47FD-AB90-ABFCA5C48B0F}"/>
            </c:ext>
          </c:extLst>
        </c:ser>
        <c:ser>
          <c:idx val="11"/>
          <c:order val="4"/>
          <c:tx>
            <c:strRef>
              <c:f>C0Cs!$C$34</c:f>
              <c:strCache>
                <c:ptCount val="1"/>
                <c:pt idx="0">
                  <c:v>Cr(VI)/activated carbon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solidFill>
                <a:srgbClr val="FF0000"/>
              </a:solidFill>
              <a:ln w="15875">
                <a:solidFill>
                  <a:schemeClr val="tx1"/>
                </a:solidFill>
              </a:ln>
              <a:effectLst/>
            </c:spPr>
          </c:marker>
          <c:xVal>
            <c:numRef>
              <c:f>C0Cs!$AH$34:$AL$34</c:f>
              <c:numCache>
                <c:formatCode>General</c:formatCode>
                <c:ptCount val="5"/>
                <c:pt idx="0">
                  <c:v>2</c:v>
                </c:pt>
                <c:pt idx="1">
                  <c:v>2.3010299956639813</c:v>
                </c:pt>
                <c:pt idx="2">
                  <c:v>2.4771212547196626</c:v>
                </c:pt>
                <c:pt idx="3">
                  <c:v>2.6020599913279625</c:v>
                </c:pt>
                <c:pt idx="4">
                  <c:v>2.6989700043360187</c:v>
                </c:pt>
              </c:numCache>
            </c:numRef>
          </c:xVal>
          <c:yVal>
            <c:numRef>
              <c:f>C0Cs!$AZ$34:$BD$34</c:f>
              <c:numCache>
                <c:formatCode>General</c:formatCode>
                <c:ptCount val="5"/>
                <c:pt idx="0">
                  <c:v>-2.1777283034186015</c:v>
                </c:pt>
                <c:pt idx="1">
                  <c:v>-2.4789593246705279</c:v>
                </c:pt>
                <c:pt idx="2">
                  <c:v>-2.5258264573654623</c:v>
                </c:pt>
                <c:pt idx="3">
                  <c:v>-2.5293459326919199</c:v>
                </c:pt>
                <c:pt idx="4">
                  <c:v>-2.5533330104745025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0DA-47FD-AB90-ABFCA5C48B0F}"/>
            </c:ext>
          </c:extLst>
        </c:ser>
        <c:ser>
          <c:idx val="6"/>
          <c:order val="5"/>
          <c:tx>
            <c:strRef>
              <c:f>C0Cs!$C$31</c:f>
              <c:strCache>
                <c:ptCount val="1"/>
                <c:pt idx="0">
                  <c:v>Cu(II)/soil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0070C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C0Cs!$AH$31:$AJ$31</c:f>
              <c:numCache>
                <c:formatCode>General</c:formatCode>
                <c:ptCount val="3"/>
                <c:pt idx="0">
                  <c:v>1.3010299956639813</c:v>
                </c:pt>
                <c:pt idx="1">
                  <c:v>1.6989700043360187</c:v>
                </c:pt>
                <c:pt idx="2">
                  <c:v>2</c:v>
                </c:pt>
              </c:numCache>
            </c:numRef>
          </c:xVal>
          <c:yVal>
            <c:numRef>
              <c:f>C0Cs!$AZ$31:$BB$31</c:f>
              <c:numCache>
                <c:formatCode>General</c:formatCode>
                <c:ptCount val="3"/>
                <c:pt idx="0">
                  <c:v>-0.72286991060520789</c:v>
                </c:pt>
                <c:pt idx="1">
                  <c:v>-0.93454965628373432</c:v>
                </c:pt>
                <c:pt idx="2">
                  <c:v>-1.0805415177438455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0DA-47FD-AB90-ABFCA5C48B0F}"/>
            </c:ext>
          </c:extLst>
        </c:ser>
        <c:ser>
          <c:idx val="8"/>
          <c:order val="7"/>
          <c:tx>
            <c:strRef>
              <c:f>C0Cs!$C$32</c:f>
              <c:strCache>
                <c:ptCount val="1"/>
                <c:pt idx="0">
                  <c:v>Pb(II)/soil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rgbClr val="0070C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C0Cs!$AH$32:$AJ$32</c:f>
              <c:numCache>
                <c:formatCode>General</c:formatCode>
                <c:ptCount val="3"/>
                <c:pt idx="0">
                  <c:v>1.3010299956639813</c:v>
                </c:pt>
                <c:pt idx="1">
                  <c:v>1.6989700043360187</c:v>
                </c:pt>
                <c:pt idx="2">
                  <c:v>2</c:v>
                </c:pt>
              </c:numCache>
            </c:numRef>
          </c:xVal>
          <c:yVal>
            <c:numRef>
              <c:f>C0Cs!$AZ$32:$BB$32</c:f>
              <c:numCache>
                <c:formatCode>General</c:formatCode>
                <c:ptCount val="3"/>
                <c:pt idx="0">
                  <c:v>-0.89050619409241805</c:v>
                </c:pt>
                <c:pt idx="1">
                  <c:v>-1.8557965306438426</c:v>
                </c:pt>
                <c:pt idx="2">
                  <c:v>-1.4514597168687389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0DA-47FD-AB90-ABFCA5C48B0F}"/>
            </c:ext>
          </c:extLst>
        </c:ser>
        <c:ser>
          <c:idx val="10"/>
          <c:order val="8"/>
          <c:tx>
            <c:strRef>
              <c:f>C0Cs!$C$33</c:f>
              <c:strCache>
                <c:ptCount val="1"/>
                <c:pt idx="0">
                  <c:v>Hg(II)/raw activated sludge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rgbClr val="0070C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C0Cs!$AH$33:$AK$33</c:f>
              <c:numCache>
                <c:formatCode>General</c:formatCode>
                <c:ptCount val="4"/>
                <c:pt idx="0">
                  <c:v>1.6989700043360187</c:v>
                </c:pt>
                <c:pt idx="1">
                  <c:v>2</c:v>
                </c:pt>
                <c:pt idx="2">
                  <c:v>2.1760912590556813</c:v>
                </c:pt>
                <c:pt idx="3">
                  <c:v>2.3010299956639813</c:v>
                </c:pt>
              </c:numCache>
            </c:numRef>
          </c:xVal>
          <c:yVal>
            <c:numRef>
              <c:f>C0Cs!$AZ$33:$BC$33</c:f>
              <c:numCache>
                <c:formatCode>General</c:formatCode>
                <c:ptCount val="4"/>
                <c:pt idx="0">
                  <c:v>-2.7069766901997734</c:v>
                </c:pt>
                <c:pt idx="1">
                  <c:v>-2.9255786122537084</c:v>
                </c:pt>
                <c:pt idx="2">
                  <c:v>-2.6090368300037703</c:v>
                </c:pt>
                <c:pt idx="3">
                  <c:v>-2.5338885803519871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0DA-47FD-AB90-ABFCA5C48B0F}"/>
            </c:ext>
          </c:extLst>
        </c:ser>
        <c:ser>
          <c:idx val="12"/>
          <c:order val="9"/>
          <c:tx>
            <c:strRef>
              <c:f>C0Cs!$C$35</c:f>
              <c:strCache>
                <c:ptCount val="1"/>
                <c:pt idx="0">
                  <c:v>Rose Bengal dye/ZnCl2-activated carbon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FFC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C0Cs!$AH$35:$AL$35</c:f>
              <c:numCache>
                <c:formatCode>General</c:formatCode>
                <c:ptCount val="5"/>
                <c:pt idx="0">
                  <c:v>1</c:v>
                </c:pt>
                <c:pt idx="1">
                  <c:v>1.3010299956639813</c:v>
                </c:pt>
                <c:pt idx="2">
                  <c:v>1.4771212547196624</c:v>
                </c:pt>
                <c:pt idx="3">
                  <c:v>1.6020599913279623</c:v>
                </c:pt>
                <c:pt idx="4">
                  <c:v>1.6989700043360187</c:v>
                </c:pt>
              </c:numCache>
            </c:numRef>
          </c:xVal>
          <c:yVal>
            <c:numRef>
              <c:f>C0Cs!$AZ$35:$BD$35</c:f>
              <c:numCache>
                <c:formatCode>General</c:formatCode>
                <c:ptCount val="5"/>
                <c:pt idx="0">
                  <c:v>-3.2738769169362771</c:v>
                </c:pt>
                <c:pt idx="1">
                  <c:v>-3.7438164499945876</c:v>
                </c:pt>
                <c:pt idx="2">
                  <c:v>-3.8579142202019705</c:v>
                </c:pt>
                <c:pt idx="3">
                  <c:v>-4.0194489844175418</c:v>
                </c:pt>
                <c:pt idx="4">
                  <c:v>-4.0925829534696296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0DA-47FD-AB90-ABFCA5C48B0F}"/>
            </c:ext>
          </c:extLst>
        </c:ser>
        <c:ser>
          <c:idx val="13"/>
          <c:order val="13"/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C0Cs!$X$3:$X$21</c:f>
              <c:numCache>
                <c:formatCode>General</c:formatCode>
                <c:ptCount val="19"/>
                <c:pt idx="0">
                  <c:v>-10</c:v>
                </c:pt>
                <c:pt idx="1">
                  <c:v>10</c:v>
                </c:pt>
                <c:pt idx="2">
                  <c:v>10</c:v>
                </c:pt>
                <c:pt idx="3">
                  <c:v>-10</c:v>
                </c:pt>
                <c:pt idx="4">
                  <c:v>-10</c:v>
                </c:pt>
                <c:pt idx="5">
                  <c:v>10</c:v>
                </c:pt>
                <c:pt idx="6">
                  <c:v>10</c:v>
                </c:pt>
                <c:pt idx="7">
                  <c:v>-10</c:v>
                </c:pt>
                <c:pt idx="8">
                  <c:v>-10</c:v>
                </c:pt>
                <c:pt idx="9">
                  <c:v>10</c:v>
                </c:pt>
                <c:pt idx="10">
                  <c:v>10</c:v>
                </c:pt>
                <c:pt idx="11">
                  <c:v>-10</c:v>
                </c:pt>
                <c:pt idx="12">
                  <c:v>-10</c:v>
                </c:pt>
                <c:pt idx="13">
                  <c:v>10</c:v>
                </c:pt>
                <c:pt idx="14">
                  <c:v>10</c:v>
                </c:pt>
                <c:pt idx="15">
                  <c:v>-10</c:v>
                </c:pt>
                <c:pt idx="16">
                  <c:v>-10</c:v>
                </c:pt>
                <c:pt idx="17">
                  <c:v>10</c:v>
                </c:pt>
                <c:pt idx="18">
                  <c:v>10</c:v>
                </c:pt>
              </c:numCache>
            </c:numRef>
          </c:xVal>
          <c:yVal>
            <c:numRef>
              <c:f>C0Cs!$Z$3:$Z$21</c:f>
              <c:numCache>
                <c:formatCode>General</c:formatCode>
                <c:ptCount val="19"/>
                <c:pt idx="0">
                  <c:v>16</c:v>
                </c:pt>
                <c:pt idx="1">
                  <c:v>-4</c:v>
                </c:pt>
                <c:pt idx="2">
                  <c:v>-6</c:v>
                </c:pt>
                <c:pt idx="3">
                  <c:v>14</c:v>
                </c:pt>
                <c:pt idx="4">
                  <c:v>12</c:v>
                </c:pt>
                <c:pt idx="5">
                  <c:v>-8</c:v>
                </c:pt>
                <c:pt idx="6">
                  <c:v>-10</c:v>
                </c:pt>
                <c:pt idx="7">
                  <c:v>10</c:v>
                </c:pt>
                <c:pt idx="8">
                  <c:v>8</c:v>
                </c:pt>
                <c:pt idx="9">
                  <c:v>-12</c:v>
                </c:pt>
                <c:pt idx="10">
                  <c:v>-14</c:v>
                </c:pt>
                <c:pt idx="11">
                  <c:v>6</c:v>
                </c:pt>
                <c:pt idx="12">
                  <c:v>4</c:v>
                </c:pt>
                <c:pt idx="13">
                  <c:v>-16</c:v>
                </c:pt>
                <c:pt idx="14">
                  <c:v>-18</c:v>
                </c:pt>
                <c:pt idx="15">
                  <c:v>2</c:v>
                </c:pt>
                <c:pt idx="16">
                  <c:v>0</c:v>
                </c:pt>
                <c:pt idx="17">
                  <c:v>-20</c:v>
                </c:pt>
                <c:pt idx="18">
                  <c:v>-22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0DA-47FD-AB90-ABFCA5C48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4880760"/>
        <c:axId val="-2114796232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6"/>
                <c:tx>
                  <c:strRef>
                    <c:extLst>
                      <c:ext uri="{02D57815-91ED-43cb-92C2-25804820EDAC}">
                        <c15:formulaRef>
                          <c15:sqref>[1]proof!$U$44</c15:sqref>
                        </c15:formulaRef>
                      </c:ext>
                    </c:extLst>
                    <c:strCache>
                      <c:ptCount val="1"/>
                      <c:pt idx="0">
                        <c:v>Zn(II)/soil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rgbClr val="0070C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[1]proof!$U$47:$V$47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[1]proof!$U$48:$V$48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A-50DA-47FD-AB90-ABFCA5C48B0F}"/>
                  </c:ext>
                </c:extLst>
              </c15:ser>
            </c15:filteredScatterSeries>
            <c15:filteredScatterSeries>
              <c15:ser>
                <c:idx val="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[1]proof!$Z$44</c15:sqref>
                        </c15:formulaRef>
                      </c:ext>
                    </c:extLst>
                    <c:strCache>
                      <c:ptCount val="1"/>
                      <c:pt idx="0">
                        <c:v>Rhodamine B/MgO-Fe-Co-Mn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rgbClr val="FFC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[1]proof!$Z$47:$AD$47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1.4771212547196624</c:v>
                      </c:pt>
                      <c:pt idx="2">
                        <c:v>1.7781512503836436</c:v>
                      </c:pt>
                      <c:pt idx="3">
                        <c:v>1.9030899869919435</c:v>
                      </c:pt>
                      <c:pt idx="4">
                        <c:v>2.0791812460476247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[1]proof!$Z$48:$AD$48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2.3725785885270665</c:v>
                      </c:pt>
                      <c:pt idx="1">
                        <c:v>3.0233282507857901</c:v>
                      </c:pt>
                      <c:pt idx="2">
                        <c:v>3.0530705031241099</c:v>
                      </c:pt>
                      <c:pt idx="3">
                        <c:v>3.0533501653152375</c:v>
                      </c:pt>
                      <c:pt idx="4">
                        <c:v>3.2714196482588012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0DA-47FD-AB90-ABFCA5C48B0F}"/>
                  </c:ext>
                </c:extLst>
              </c15:ser>
            </c15:filteredScatterSeries>
            <c15:filteredScatterSeries>
              <c15:ser>
                <c:idx val="4"/>
                <c:order val="11"/>
                <c:tx>
                  <c:v>1st order</c:v>
                </c:tx>
                <c:spPr>
                  <a:ln w="2540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[1]proof!$Q$57:$R$57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-0.5</c:v>
                      </c:pt>
                      <c:pt idx="1">
                        <c:v>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[1]proof!$Q$58:$R$58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-3</c:v>
                      </c:pt>
                      <c:pt idx="1">
                        <c:v>1.5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0DA-47FD-AB90-ABFCA5C48B0F}"/>
                  </c:ext>
                </c:extLst>
              </c15:ser>
            </c15:filteredScatterSeries>
            <c15:filteredScatterSeries>
              <c15:ser>
                <c:idx val="5"/>
                <c:order val="12"/>
                <c:tx>
                  <c:v>gridlines</c:v>
                </c:tx>
                <c:spPr>
                  <a:ln w="25400" cap="rnd">
                    <a:solidFill>
                      <a:schemeClr val="tx1">
                        <a:alpha val="2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[1]proof!$Q$61:$Q$92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-1.5</c:v>
                      </c:pt>
                      <c:pt idx="1">
                        <c:v>5</c:v>
                      </c:pt>
                      <c:pt idx="2">
                        <c:v>5</c:v>
                      </c:pt>
                      <c:pt idx="3">
                        <c:v>-1.5</c:v>
                      </c:pt>
                      <c:pt idx="4">
                        <c:v>-1.5</c:v>
                      </c:pt>
                      <c:pt idx="5">
                        <c:v>5</c:v>
                      </c:pt>
                      <c:pt idx="6">
                        <c:v>5</c:v>
                      </c:pt>
                      <c:pt idx="7">
                        <c:v>-1.5</c:v>
                      </c:pt>
                      <c:pt idx="8">
                        <c:v>-1.5</c:v>
                      </c:pt>
                      <c:pt idx="9">
                        <c:v>5</c:v>
                      </c:pt>
                      <c:pt idx="10">
                        <c:v>5</c:v>
                      </c:pt>
                      <c:pt idx="11">
                        <c:v>-1.5</c:v>
                      </c:pt>
                      <c:pt idx="12">
                        <c:v>-1.5</c:v>
                      </c:pt>
                      <c:pt idx="13">
                        <c:v>5</c:v>
                      </c:pt>
                      <c:pt idx="14">
                        <c:v>5</c:v>
                      </c:pt>
                      <c:pt idx="15">
                        <c:v>-1.5</c:v>
                      </c:pt>
                      <c:pt idx="16">
                        <c:v>-1.5</c:v>
                      </c:pt>
                      <c:pt idx="17">
                        <c:v>5</c:v>
                      </c:pt>
                      <c:pt idx="18">
                        <c:v>5</c:v>
                      </c:pt>
                      <c:pt idx="19">
                        <c:v>-1.5</c:v>
                      </c:pt>
                      <c:pt idx="20">
                        <c:v>-1.5</c:v>
                      </c:pt>
                      <c:pt idx="21">
                        <c:v>5</c:v>
                      </c:pt>
                      <c:pt idx="22">
                        <c:v>5</c:v>
                      </c:pt>
                      <c:pt idx="23">
                        <c:v>-1.5</c:v>
                      </c:pt>
                      <c:pt idx="24">
                        <c:v>-1.5</c:v>
                      </c:pt>
                      <c:pt idx="25">
                        <c:v>5</c:v>
                      </c:pt>
                      <c:pt idx="26">
                        <c:v>5</c:v>
                      </c:pt>
                      <c:pt idx="27">
                        <c:v>-1.5</c:v>
                      </c:pt>
                      <c:pt idx="28">
                        <c:v>-1.5</c:v>
                      </c:pt>
                      <c:pt idx="29">
                        <c:v>5</c:v>
                      </c:pt>
                      <c:pt idx="30">
                        <c:v>5</c:v>
                      </c:pt>
                      <c:pt idx="31">
                        <c:v>-1.5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[1]proof!$R$61:$R$92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-6</c:v>
                      </c:pt>
                      <c:pt idx="1">
                        <c:v>0.5</c:v>
                      </c:pt>
                      <c:pt idx="2">
                        <c:v>2.5</c:v>
                      </c:pt>
                      <c:pt idx="3">
                        <c:v>-4</c:v>
                      </c:pt>
                      <c:pt idx="4">
                        <c:v>-4</c:v>
                      </c:pt>
                      <c:pt idx="5">
                        <c:v>2.5</c:v>
                      </c:pt>
                      <c:pt idx="6">
                        <c:v>4.5</c:v>
                      </c:pt>
                      <c:pt idx="7">
                        <c:v>-2</c:v>
                      </c:pt>
                      <c:pt idx="8">
                        <c:v>-2</c:v>
                      </c:pt>
                      <c:pt idx="9">
                        <c:v>4.5</c:v>
                      </c:pt>
                      <c:pt idx="10">
                        <c:v>6.5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6.5</c:v>
                      </c:pt>
                      <c:pt idx="14">
                        <c:v>8.5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8.5</c:v>
                      </c:pt>
                      <c:pt idx="18">
                        <c:v>10.5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10.5</c:v>
                      </c:pt>
                      <c:pt idx="22">
                        <c:v>12.5</c:v>
                      </c:pt>
                      <c:pt idx="23">
                        <c:v>6</c:v>
                      </c:pt>
                      <c:pt idx="24">
                        <c:v>6</c:v>
                      </c:pt>
                      <c:pt idx="25">
                        <c:v>12.5</c:v>
                      </c:pt>
                      <c:pt idx="26">
                        <c:v>14.5</c:v>
                      </c:pt>
                      <c:pt idx="27">
                        <c:v>8</c:v>
                      </c:pt>
                      <c:pt idx="28">
                        <c:v>8</c:v>
                      </c:pt>
                      <c:pt idx="29">
                        <c:v>14.5</c:v>
                      </c:pt>
                      <c:pt idx="30">
                        <c:v>16.5</c:v>
                      </c:pt>
                      <c:pt idx="31">
                        <c:v>10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0DA-47FD-AB90-ABFCA5C48B0F}"/>
                  </c:ext>
                </c:extLst>
              </c15:ser>
            </c15:filteredScatterSeries>
          </c:ext>
        </c:extLst>
      </c:scatterChart>
      <c:valAx>
        <c:axId val="-2114880760"/>
        <c:scaling>
          <c:orientation val="minMax"/>
          <c:max val="4"/>
          <c:min val="-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log(C</a:t>
                </a:r>
                <a:r>
                  <a:rPr lang="en-US" sz="1400" baseline="-25000">
                    <a:solidFill>
                      <a:schemeClr val="tx1"/>
                    </a:solidFill>
                  </a:rPr>
                  <a:t>0</a:t>
                </a:r>
                <a:r>
                  <a:rPr lang="en-US" sz="1400">
                    <a:solidFill>
                      <a:schemeClr val="tx1"/>
                    </a:solidFill>
                  </a:rPr>
                  <a:t> [mg L</a:t>
                </a:r>
                <a:r>
                  <a:rPr lang="en-US" sz="1400" baseline="30000">
                    <a:solidFill>
                      <a:schemeClr val="tx1"/>
                    </a:solidFill>
                  </a:rPr>
                  <a:t>-1</a:t>
                </a:r>
                <a:r>
                  <a:rPr lang="en-US" sz="1400">
                    <a:solidFill>
                      <a:schemeClr val="tx1"/>
                    </a:solidFill>
                  </a:rPr>
                  <a:t>])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796232"/>
        <c:crossesAt val="-5"/>
        <c:crossBetween val="midCat"/>
        <c:majorUnit val="1"/>
      </c:valAx>
      <c:valAx>
        <c:axId val="-2114796232"/>
        <c:scaling>
          <c:orientation val="minMax"/>
          <c:max val="1"/>
          <c:min val="-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log(k</a:t>
                </a:r>
                <a:r>
                  <a:rPr lang="en-US" sz="1400" baseline="-25000">
                    <a:solidFill>
                      <a:schemeClr val="tx1"/>
                    </a:solidFill>
                  </a:rPr>
                  <a:t>2</a:t>
                </a:r>
                <a:r>
                  <a:rPr lang="en-US" sz="1400">
                    <a:solidFill>
                      <a:schemeClr val="tx1"/>
                    </a:solidFill>
                  </a:rPr>
                  <a:t> [g mg</a:t>
                </a:r>
                <a:r>
                  <a:rPr lang="en-US" sz="1400" baseline="30000">
                    <a:solidFill>
                      <a:schemeClr val="tx1"/>
                    </a:solidFill>
                  </a:rPr>
                  <a:t>-1</a:t>
                </a:r>
                <a:r>
                  <a:rPr lang="en-US" sz="1400">
                    <a:solidFill>
                      <a:schemeClr val="tx1"/>
                    </a:solidFill>
                  </a:rPr>
                  <a:t> min</a:t>
                </a:r>
                <a:r>
                  <a:rPr lang="en-US" sz="1400" baseline="30000">
                    <a:solidFill>
                      <a:schemeClr val="tx1"/>
                    </a:solidFill>
                  </a:rPr>
                  <a:t>-1</a:t>
                </a:r>
                <a:r>
                  <a:rPr lang="en-US" sz="1400">
                    <a:solidFill>
                      <a:schemeClr val="tx1"/>
                    </a:solidFill>
                  </a:rPr>
                  <a:t>])</a:t>
                </a:r>
              </a:p>
            </c:rich>
          </c:tx>
          <c:layout>
            <c:manualLayout>
              <c:xMode val="edge"/>
              <c:yMode val="edge"/>
              <c:x val="3.02222793859033E-2"/>
              <c:y val="0.21444011233725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880760"/>
        <c:crossesAt val="-3"/>
        <c:crossBetween val="midCat"/>
        <c:majorUnit val="1"/>
      </c:valAx>
      <c:spPr>
        <a:noFill/>
        <a:ln w="95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6479989506357395"/>
          <c:y val="5.2280754958846799E-2"/>
          <c:w val="0.31555692054781598"/>
          <c:h val="0.7417893843120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85951098218001"/>
          <c:y val="4.5445879150996897E-2"/>
          <c:w val="0.44354330708661399"/>
          <c:h val="0.7561587347164170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C0Cs!$C$38</c:f>
              <c:strCache>
                <c:ptCount val="1"/>
                <c:pt idx="0">
                  <c:v>Cr(VI)/Fe2O3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C0Cs!$AH$38:$AK$38</c:f>
              <c:numCache>
                <c:formatCode>General</c:formatCode>
                <c:ptCount val="4"/>
                <c:pt idx="0">
                  <c:v>0</c:v>
                </c:pt>
                <c:pt idx="1">
                  <c:v>0.17609125905568124</c:v>
                </c:pt>
                <c:pt idx="2">
                  <c:v>0.3010299956639812</c:v>
                </c:pt>
                <c:pt idx="3">
                  <c:v>0.47712125471966244</c:v>
                </c:pt>
              </c:numCache>
            </c:numRef>
          </c:xVal>
          <c:yVal>
            <c:numRef>
              <c:f>C0Cs!$AZ$38:$BC$38</c:f>
              <c:numCache>
                <c:formatCode>General</c:formatCode>
                <c:ptCount val="4"/>
                <c:pt idx="0">
                  <c:v>-3.0774552203374519</c:v>
                </c:pt>
                <c:pt idx="1">
                  <c:v>-3.0912210761625967</c:v>
                </c:pt>
                <c:pt idx="2">
                  <c:v>-2.9180101331215456</c:v>
                </c:pt>
                <c:pt idx="3">
                  <c:v>-2.6767508515102891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6B-4C44-93D2-D6C0396CCF7F}"/>
            </c:ext>
          </c:extLst>
        </c:ser>
        <c:ser>
          <c:idx val="1"/>
          <c:order val="1"/>
          <c:tx>
            <c:strRef>
              <c:f>C0Cs!$C$39</c:f>
              <c:strCache>
                <c:ptCount val="1"/>
                <c:pt idx="0">
                  <c:v>Cr(VI)/Mg-Al-CO3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C0Cs!$AH$39:$AK$39</c:f>
              <c:numCache>
                <c:formatCode>General</c:formatCode>
                <c:ptCount val="4"/>
                <c:pt idx="0">
                  <c:v>-0.3010299956639812</c:v>
                </c:pt>
                <c:pt idx="1">
                  <c:v>0</c:v>
                </c:pt>
                <c:pt idx="2">
                  <c:v>0.17609125905568124</c:v>
                </c:pt>
                <c:pt idx="3">
                  <c:v>0.3010299956639812</c:v>
                </c:pt>
              </c:numCache>
            </c:numRef>
          </c:xVal>
          <c:yVal>
            <c:numRef>
              <c:f>C0Cs!$AZ$39:$BC$39</c:f>
              <c:numCache>
                <c:formatCode>General</c:formatCode>
                <c:ptCount val="4"/>
                <c:pt idx="0">
                  <c:v>-1.2048295522170585</c:v>
                </c:pt>
                <c:pt idx="1">
                  <c:v>-1.1438595436940968</c:v>
                </c:pt>
                <c:pt idx="2">
                  <c:v>-0.72441202782456227</c:v>
                </c:pt>
                <c:pt idx="3">
                  <c:v>-0.59627934329680543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6B-4C44-93D2-D6C0396CCF7F}"/>
            </c:ext>
          </c:extLst>
        </c:ser>
        <c:ser>
          <c:idx val="2"/>
          <c:order val="2"/>
          <c:tx>
            <c:strRef>
              <c:f>C0Cs!$C$40</c:f>
              <c:strCache>
                <c:ptCount val="1"/>
                <c:pt idx="0">
                  <c:v>Cr(VI)/chitin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C0Cs!$AH$40:$AM$40</c:f>
              <c:numCache>
                <c:formatCode>General</c:formatCode>
                <c:ptCount val="6"/>
                <c:pt idx="0">
                  <c:v>-0.3010299956639812</c:v>
                </c:pt>
                <c:pt idx="1">
                  <c:v>-9.6910013008056392E-2</c:v>
                </c:pt>
                <c:pt idx="2">
                  <c:v>0</c:v>
                </c:pt>
                <c:pt idx="3">
                  <c:v>0.17609125905568124</c:v>
                </c:pt>
                <c:pt idx="4">
                  <c:v>0.3010299956639812</c:v>
                </c:pt>
                <c:pt idx="5">
                  <c:v>0.3979400086720376</c:v>
                </c:pt>
              </c:numCache>
            </c:numRef>
          </c:xVal>
          <c:yVal>
            <c:numRef>
              <c:f>C0Cs!$AZ$40:$BE$40</c:f>
              <c:numCache>
                <c:formatCode>General</c:formatCode>
                <c:ptCount val="6"/>
                <c:pt idx="0">
                  <c:v>-3.695303071953957</c:v>
                </c:pt>
                <c:pt idx="1">
                  <c:v>-3.0990891005571153</c:v>
                </c:pt>
                <c:pt idx="2">
                  <c:v>-3.6000038690958247</c:v>
                </c:pt>
                <c:pt idx="3">
                  <c:v>-3.3616740020335856</c:v>
                </c:pt>
                <c:pt idx="4">
                  <c:v>-2.915829562932585</c:v>
                </c:pt>
                <c:pt idx="5">
                  <c:v>-2.3585708403577783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36B-4C44-93D2-D6C0396CCF7F}"/>
            </c:ext>
          </c:extLst>
        </c:ser>
        <c:ser>
          <c:idx val="8"/>
          <c:order val="8"/>
          <c:tx>
            <c:strRef>
              <c:f>C0Cs!$C$41</c:f>
              <c:strCache>
                <c:ptCount val="1"/>
                <c:pt idx="0">
                  <c:v>Cu(II)/Fe2O3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0070C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C0Cs!$AH$41:$AJ$41</c:f>
              <c:numCache>
                <c:formatCode>General</c:formatCode>
                <c:ptCount val="3"/>
                <c:pt idx="0">
                  <c:v>-1.3010299956639813</c:v>
                </c:pt>
                <c:pt idx="1">
                  <c:v>-1</c:v>
                </c:pt>
                <c:pt idx="2">
                  <c:v>-0.3010299956639812</c:v>
                </c:pt>
              </c:numCache>
            </c:numRef>
          </c:xVal>
          <c:yVal>
            <c:numRef>
              <c:f>C0Cs!$AZ$41:$BB$41</c:f>
              <c:numCache>
                <c:formatCode>General</c:formatCode>
                <c:ptCount val="3"/>
                <c:pt idx="0">
                  <c:v>-1.5788058958680795</c:v>
                </c:pt>
                <c:pt idx="1">
                  <c:v>-0.16502418662921248</c:v>
                </c:pt>
                <c:pt idx="2">
                  <c:v>-9.3557996661013054E-2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836B-4C44-93D2-D6C0396CCF7F}"/>
            </c:ext>
          </c:extLst>
        </c:ser>
        <c:ser>
          <c:idx val="9"/>
          <c:order val="9"/>
          <c:tx>
            <c:strRef>
              <c:f>C0Cs!$C$42</c:f>
              <c:strCache>
                <c:ptCount val="1"/>
                <c:pt idx="0">
                  <c:v>Zn(II)/Fe2O3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rgbClr val="0070C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C0Cs!$AH$42:$AJ$42</c:f>
              <c:numCache>
                <c:formatCode>General</c:formatCode>
                <c:ptCount val="3"/>
                <c:pt idx="0">
                  <c:v>-1.3010299956639813</c:v>
                </c:pt>
                <c:pt idx="1">
                  <c:v>-1</c:v>
                </c:pt>
                <c:pt idx="2">
                  <c:v>-0.3010299956639812</c:v>
                </c:pt>
              </c:numCache>
            </c:numRef>
          </c:xVal>
          <c:yVal>
            <c:numRef>
              <c:f>C0Cs!$AZ$42:$BB$42</c:f>
              <c:numCache>
                <c:formatCode>General</c:formatCode>
                <c:ptCount val="3"/>
                <c:pt idx="0">
                  <c:v>-1.4328852078463736</c:v>
                </c:pt>
                <c:pt idx="1">
                  <c:v>-0.50558178022935585</c:v>
                </c:pt>
                <c:pt idx="2">
                  <c:v>0.88348340382222201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36B-4C44-93D2-D6C0396CCF7F}"/>
            </c:ext>
          </c:extLst>
        </c:ser>
        <c:ser>
          <c:idx val="10"/>
          <c:order val="10"/>
          <c:tx>
            <c:strRef>
              <c:f>C0Cs!$C$43</c:f>
              <c:strCache>
                <c:ptCount val="1"/>
                <c:pt idx="0">
                  <c:v>Hg(II)/Lessonia nigrescens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0070C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C0Cs!$AH$43:$AJ$43</c:f>
              <c:numCache>
                <c:formatCode>General</c:formatCode>
                <c:ptCount val="3"/>
                <c:pt idx="0">
                  <c:v>-1</c:v>
                </c:pt>
                <c:pt idx="1">
                  <c:v>-0.69897000433601875</c:v>
                </c:pt>
                <c:pt idx="2">
                  <c:v>-0.3979400086720376</c:v>
                </c:pt>
              </c:numCache>
            </c:numRef>
          </c:xVal>
          <c:yVal>
            <c:numRef>
              <c:f>C0Cs!$AZ$43:$BB$43</c:f>
              <c:numCache>
                <c:formatCode>General</c:formatCode>
                <c:ptCount val="3"/>
                <c:pt idx="0">
                  <c:v>-4.4057751488062742</c:v>
                </c:pt>
                <c:pt idx="1">
                  <c:v>-4.3647034573799894</c:v>
                </c:pt>
                <c:pt idx="2">
                  <c:v>-3.6924346140546787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5-836B-4C44-93D2-D6C0396CCF7F}"/>
            </c:ext>
          </c:extLst>
        </c:ser>
        <c:ser>
          <c:idx val="11"/>
          <c:order val="11"/>
          <c:tx>
            <c:strRef>
              <c:f>C0Cs!$C$44</c:f>
              <c:strCache>
                <c:ptCount val="1"/>
                <c:pt idx="0">
                  <c:v>Hg(II)/Lessonia trabeculata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solidFill>
                <a:srgbClr val="0070C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C0Cs!$AH$44:$AJ$44</c:f>
              <c:numCache>
                <c:formatCode>General</c:formatCode>
                <c:ptCount val="3"/>
                <c:pt idx="0">
                  <c:v>-1</c:v>
                </c:pt>
                <c:pt idx="1">
                  <c:v>-0.69897000433601875</c:v>
                </c:pt>
                <c:pt idx="2">
                  <c:v>-0.3979400086720376</c:v>
                </c:pt>
              </c:numCache>
            </c:numRef>
          </c:xVal>
          <c:yVal>
            <c:numRef>
              <c:f>C0Cs!$AZ$44:$BB$44</c:f>
              <c:numCache>
                <c:formatCode>General</c:formatCode>
                <c:ptCount val="3"/>
                <c:pt idx="0">
                  <c:v>-4.2608144350916524</c:v>
                </c:pt>
                <c:pt idx="1">
                  <c:v>-3.9864670263945592</c:v>
                </c:pt>
                <c:pt idx="2">
                  <c:v>-3.5532311803455898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36B-4C44-93D2-D6C0396CCF7F}"/>
            </c:ext>
          </c:extLst>
        </c:ser>
        <c:ser>
          <c:idx val="13"/>
          <c:order val="13"/>
          <c:tx>
            <c:strRef>
              <c:f>C0Cs!$C$46</c:f>
              <c:strCache>
                <c:ptCount val="1"/>
                <c:pt idx="0">
                  <c:v>methylene blue/rafia fibres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C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C0Cs!$AH$46:$AL$46</c:f>
              <c:numCache>
                <c:formatCode>General</c:formatCode>
                <c:ptCount val="5"/>
                <c:pt idx="0">
                  <c:v>0</c:v>
                </c:pt>
                <c:pt idx="1">
                  <c:v>9.691001300805642E-2</c:v>
                </c:pt>
                <c:pt idx="2">
                  <c:v>0.17609125905568124</c:v>
                </c:pt>
                <c:pt idx="3">
                  <c:v>0.24303804868629444</c:v>
                </c:pt>
                <c:pt idx="4">
                  <c:v>0.3010299956639812</c:v>
                </c:pt>
              </c:numCache>
            </c:numRef>
          </c:xVal>
          <c:yVal>
            <c:numRef>
              <c:f>C0Cs!$AZ$46:$BD$46</c:f>
              <c:numCache>
                <c:formatCode>General</c:formatCode>
                <c:ptCount val="5"/>
                <c:pt idx="0">
                  <c:v>-2.1664491194860123</c:v>
                </c:pt>
                <c:pt idx="1">
                  <c:v>-1.9767678303867566</c:v>
                </c:pt>
                <c:pt idx="2">
                  <c:v>-1.6189016344420182</c:v>
                </c:pt>
                <c:pt idx="3">
                  <c:v>-1.4023668438587018</c:v>
                </c:pt>
                <c:pt idx="4">
                  <c:v>-1.242027008984715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36B-4C44-93D2-D6C0396CCF7F}"/>
            </c:ext>
          </c:extLst>
        </c:ser>
        <c:ser>
          <c:idx val="15"/>
          <c:order val="15"/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C0Cs!$X$3:$X$21</c:f>
              <c:numCache>
                <c:formatCode>General</c:formatCode>
                <c:ptCount val="19"/>
                <c:pt idx="0">
                  <c:v>-10</c:v>
                </c:pt>
                <c:pt idx="1">
                  <c:v>10</c:v>
                </c:pt>
                <c:pt idx="2">
                  <c:v>10</c:v>
                </c:pt>
                <c:pt idx="3">
                  <c:v>-10</c:v>
                </c:pt>
                <c:pt idx="4">
                  <c:v>-10</c:v>
                </c:pt>
                <c:pt idx="5">
                  <c:v>10</c:v>
                </c:pt>
                <c:pt idx="6">
                  <c:v>10</c:v>
                </c:pt>
                <c:pt idx="7">
                  <c:v>-10</c:v>
                </c:pt>
                <c:pt idx="8">
                  <c:v>-10</c:v>
                </c:pt>
                <c:pt idx="9">
                  <c:v>10</c:v>
                </c:pt>
                <c:pt idx="10">
                  <c:v>10</c:v>
                </c:pt>
                <c:pt idx="11">
                  <c:v>-10</c:v>
                </c:pt>
                <c:pt idx="12">
                  <c:v>-10</c:v>
                </c:pt>
                <c:pt idx="13">
                  <c:v>10</c:v>
                </c:pt>
                <c:pt idx="14">
                  <c:v>10</c:v>
                </c:pt>
                <c:pt idx="15">
                  <c:v>-10</c:v>
                </c:pt>
                <c:pt idx="16">
                  <c:v>-10</c:v>
                </c:pt>
                <c:pt idx="17">
                  <c:v>10</c:v>
                </c:pt>
                <c:pt idx="18">
                  <c:v>10</c:v>
                </c:pt>
              </c:numCache>
            </c:numRef>
          </c:xVal>
          <c:yVal>
            <c:numRef>
              <c:f>C0Cs!$Y$3:$Y$21</c:f>
              <c:numCache>
                <c:formatCode>General</c:formatCode>
                <c:ptCount val="19"/>
                <c:pt idx="0">
                  <c:v>-16</c:v>
                </c:pt>
                <c:pt idx="1">
                  <c:v>4</c:v>
                </c:pt>
                <c:pt idx="2">
                  <c:v>6</c:v>
                </c:pt>
                <c:pt idx="3">
                  <c:v>-14</c:v>
                </c:pt>
                <c:pt idx="4">
                  <c:v>-12</c:v>
                </c:pt>
                <c:pt idx="5">
                  <c:v>8</c:v>
                </c:pt>
                <c:pt idx="6">
                  <c:v>10</c:v>
                </c:pt>
                <c:pt idx="7">
                  <c:v>-10</c:v>
                </c:pt>
                <c:pt idx="8">
                  <c:v>-8</c:v>
                </c:pt>
                <c:pt idx="9">
                  <c:v>12</c:v>
                </c:pt>
                <c:pt idx="10">
                  <c:v>14</c:v>
                </c:pt>
                <c:pt idx="11">
                  <c:v>-6</c:v>
                </c:pt>
                <c:pt idx="12">
                  <c:v>-4</c:v>
                </c:pt>
                <c:pt idx="13">
                  <c:v>16</c:v>
                </c:pt>
                <c:pt idx="14">
                  <c:v>18</c:v>
                </c:pt>
                <c:pt idx="15">
                  <c:v>-2</c:v>
                </c:pt>
                <c:pt idx="16">
                  <c:v>0</c:v>
                </c:pt>
                <c:pt idx="17">
                  <c:v>20</c:v>
                </c:pt>
                <c:pt idx="18">
                  <c:v>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36B-4C44-93D2-D6C0396CC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4857256"/>
        <c:axId val="-211398981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[1]Cs!$A$7</c15:sqref>
                        </c15:formulaRef>
                      </c:ext>
                    </c:extLst>
                    <c:strCache>
                      <c:ptCount val="1"/>
                      <c:pt idx="0">
                        <c:v>SH2 (g)/ZnO2-bentonite-TiO2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accent4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[1]Cs!$N$6:$R$6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-0.3010299956639812</c:v>
                      </c:pt>
                      <c:pt idx="1">
                        <c:v>0</c:v>
                      </c:pt>
                      <c:pt idx="2">
                        <c:v>0.3010299956639812</c:v>
                      </c:pt>
                      <c:pt idx="3">
                        <c:v>0.6020599913279624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[1]Cs!$S$6:$W$6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-1.1016039540699911</c:v>
                      </c:pt>
                      <c:pt idx="1">
                        <c:v>-0.50990099493669505</c:v>
                      </c:pt>
                      <c:pt idx="2">
                        <c:v>7.8507567364714814E-2</c:v>
                      </c:pt>
                      <c:pt idx="3">
                        <c:v>1.2843729744779064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A-836B-4C44-93D2-D6C0396CCF7F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[1]Cs!$A$7</c15:sqref>
                        </c15:formulaRef>
                      </c:ext>
                    </c:extLst>
                    <c:strCache>
                      <c:ptCount val="1"/>
                      <c:pt idx="0">
                        <c:v>SH2 (g)/ZnO2-bentonite-TiO2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accent5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[1]Cs!$N$7:$R$7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-1.8239087409443189</c:v>
                      </c:pt>
                      <c:pt idx="1">
                        <c:v>-1.5228787452803376</c:v>
                      </c:pt>
                      <c:pt idx="2">
                        <c:v>-1.3010299956639813</c:v>
                      </c:pt>
                      <c:pt idx="3">
                        <c:v>-1.1249387366082999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[1]Cs!$S$7:$W$7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-1.7201043273331333</c:v>
                      </c:pt>
                      <c:pt idx="1">
                        <c:v>-1.7040880452359417</c:v>
                      </c:pt>
                      <c:pt idx="2">
                        <c:v>-1.31203204520228</c:v>
                      </c:pt>
                      <c:pt idx="3">
                        <c:v>-1.1140298556293211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6B-4C44-93D2-D6C0396CCF7F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one-to-one</c:v>
                </c:tx>
                <c:spPr>
                  <a:ln w="2540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accent6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Lit>
                    <c:formatCode>General</c:formatCode>
                    <c:ptCount val="2"/>
                    <c:pt idx="0">
                      <c:v>-12</c:v>
                    </c:pt>
                    <c:pt idx="1">
                      <c:v>2</c:v>
                    </c:pt>
                  </c:numLit>
                </c:xVal>
                <c:yVal>
                  <c:numLit>
                    <c:formatCode>General</c:formatCode>
                    <c:ptCount val="2"/>
                    <c:pt idx="0">
                      <c:v>-12</c:v>
                    </c:pt>
                    <c:pt idx="1">
                      <c:v>2</c:v>
                    </c:pt>
                  </c:numLit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6B-4C44-93D2-D6C0396CCF7F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[1]Cs!$A$8</c15:sqref>
                        </c15:formulaRef>
                      </c:ext>
                    </c:extLst>
                    <c:strCache>
                      <c:ptCount val="1"/>
                      <c:pt idx="0">
                        <c:v>Cr(VI)/guava seeds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7"/>
                  <c:spPr>
                    <a:solidFill>
                      <a:srgbClr val="FF0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[1]Cs!$N$8:$R$8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[1]Cs!$S$8:$W$8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6B-4C44-93D2-D6C0396CCF7F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[1]Cs!$A$9</c15:sqref>
                        </c15:formulaRef>
                      </c:ext>
                    </c:extLst>
                    <c:strCache>
                      <c:ptCount val="1"/>
                      <c:pt idx="0">
                        <c:v>Cd(II)/Fe2O3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rgbClr val="0070C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[1]Cs!$N$9:$P$9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[1]Cs!$S$9:$U$9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6B-4C44-93D2-D6C0396CCF7F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[1]Cs!$A$14</c15:sqref>
                        </c15:formulaRef>
                      </c:ext>
                    </c:extLst>
                    <c:strCache>
                      <c:ptCount val="1"/>
                      <c:pt idx="0">
                        <c:v>Eriochrome Black-T dye/TiO2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rgbClr val="FFC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[1]Cs!$N$14:$R$14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[1]Cs!$S$14:$W$14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6B-4C44-93D2-D6C0396CCF7F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v>gridlines</c:v>
                </c:tx>
                <c:spPr>
                  <a:ln w="25400" cap="rnd">
                    <a:solidFill>
                      <a:schemeClr val="bg1">
                        <a:lumMod val="50000"/>
                        <a:alpha val="32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[1]Cs!$L$47:$L$78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-1.5</c:v>
                      </c:pt>
                      <c:pt idx="1">
                        <c:v>5</c:v>
                      </c:pt>
                      <c:pt idx="2">
                        <c:v>5</c:v>
                      </c:pt>
                      <c:pt idx="3">
                        <c:v>-1.5</c:v>
                      </c:pt>
                      <c:pt idx="4">
                        <c:v>-1.5</c:v>
                      </c:pt>
                      <c:pt idx="5">
                        <c:v>5</c:v>
                      </c:pt>
                      <c:pt idx="6">
                        <c:v>5</c:v>
                      </c:pt>
                      <c:pt idx="7">
                        <c:v>-1.5</c:v>
                      </c:pt>
                      <c:pt idx="8">
                        <c:v>-1.5</c:v>
                      </c:pt>
                      <c:pt idx="9">
                        <c:v>5</c:v>
                      </c:pt>
                      <c:pt idx="10">
                        <c:v>5</c:v>
                      </c:pt>
                      <c:pt idx="11">
                        <c:v>-1.5</c:v>
                      </c:pt>
                      <c:pt idx="12">
                        <c:v>-1.5</c:v>
                      </c:pt>
                      <c:pt idx="13">
                        <c:v>5</c:v>
                      </c:pt>
                      <c:pt idx="14">
                        <c:v>5</c:v>
                      </c:pt>
                      <c:pt idx="15">
                        <c:v>-1.5</c:v>
                      </c:pt>
                      <c:pt idx="16">
                        <c:v>-1.5</c:v>
                      </c:pt>
                      <c:pt idx="17">
                        <c:v>5</c:v>
                      </c:pt>
                      <c:pt idx="18">
                        <c:v>5</c:v>
                      </c:pt>
                      <c:pt idx="19">
                        <c:v>-1.5</c:v>
                      </c:pt>
                      <c:pt idx="20">
                        <c:v>-1.5</c:v>
                      </c:pt>
                      <c:pt idx="21">
                        <c:v>5</c:v>
                      </c:pt>
                      <c:pt idx="22">
                        <c:v>5</c:v>
                      </c:pt>
                      <c:pt idx="23">
                        <c:v>-1.5</c:v>
                      </c:pt>
                      <c:pt idx="24">
                        <c:v>-1.5</c:v>
                      </c:pt>
                      <c:pt idx="25">
                        <c:v>5</c:v>
                      </c:pt>
                      <c:pt idx="26">
                        <c:v>5</c:v>
                      </c:pt>
                      <c:pt idx="27">
                        <c:v>-1.5</c:v>
                      </c:pt>
                      <c:pt idx="28">
                        <c:v>-1.5</c:v>
                      </c:pt>
                      <c:pt idx="29">
                        <c:v>5</c:v>
                      </c:pt>
                      <c:pt idx="30">
                        <c:v>5</c:v>
                      </c:pt>
                      <c:pt idx="31">
                        <c:v>-1.5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[1]Cs!$M$47:$M$78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-6</c:v>
                      </c:pt>
                      <c:pt idx="1">
                        <c:v>0.5</c:v>
                      </c:pt>
                      <c:pt idx="2">
                        <c:v>2.5</c:v>
                      </c:pt>
                      <c:pt idx="3">
                        <c:v>-4</c:v>
                      </c:pt>
                      <c:pt idx="4">
                        <c:v>-4</c:v>
                      </c:pt>
                      <c:pt idx="5">
                        <c:v>2.5</c:v>
                      </c:pt>
                      <c:pt idx="6">
                        <c:v>4.5</c:v>
                      </c:pt>
                      <c:pt idx="7">
                        <c:v>-2</c:v>
                      </c:pt>
                      <c:pt idx="8">
                        <c:v>-2</c:v>
                      </c:pt>
                      <c:pt idx="9">
                        <c:v>4.5</c:v>
                      </c:pt>
                      <c:pt idx="10">
                        <c:v>6.5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6.5</c:v>
                      </c:pt>
                      <c:pt idx="14">
                        <c:v>8.5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8.5</c:v>
                      </c:pt>
                      <c:pt idx="18">
                        <c:v>10.5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10.5</c:v>
                      </c:pt>
                      <c:pt idx="22">
                        <c:v>12.5</c:v>
                      </c:pt>
                      <c:pt idx="23">
                        <c:v>6</c:v>
                      </c:pt>
                      <c:pt idx="24">
                        <c:v>6</c:v>
                      </c:pt>
                      <c:pt idx="25">
                        <c:v>12.5</c:v>
                      </c:pt>
                      <c:pt idx="26">
                        <c:v>14.5</c:v>
                      </c:pt>
                      <c:pt idx="27">
                        <c:v>8</c:v>
                      </c:pt>
                      <c:pt idx="28">
                        <c:v>8</c:v>
                      </c:pt>
                      <c:pt idx="29">
                        <c:v>14.5</c:v>
                      </c:pt>
                      <c:pt idx="30">
                        <c:v>16.5</c:v>
                      </c:pt>
                      <c:pt idx="31">
                        <c:v>10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6B-4C44-93D2-D6C0396CCF7F}"/>
                  </c:ext>
                </c:extLst>
              </c15:ser>
            </c15:filteredScatterSeries>
          </c:ext>
        </c:extLst>
      </c:scatterChart>
      <c:valAx>
        <c:axId val="-2114857256"/>
        <c:scaling>
          <c:orientation val="minMax"/>
          <c:max val="1"/>
          <c:min val="-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log(C</a:t>
                </a:r>
                <a:r>
                  <a:rPr lang="en-US" sz="1400" baseline="-25000">
                    <a:solidFill>
                      <a:schemeClr val="tx1"/>
                    </a:solidFill>
                  </a:rPr>
                  <a:t>s</a:t>
                </a:r>
                <a:r>
                  <a:rPr lang="en-US" sz="1400">
                    <a:solidFill>
                      <a:schemeClr val="tx1"/>
                    </a:solidFill>
                  </a:rPr>
                  <a:t> [g L</a:t>
                </a:r>
                <a:r>
                  <a:rPr lang="en-US" sz="1400" baseline="30000">
                    <a:solidFill>
                      <a:schemeClr val="tx1"/>
                    </a:solidFill>
                  </a:rPr>
                  <a:t>-1</a:t>
                </a:r>
                <a:r>
                  <a:rPr lang="en-US" sz="1400">
                    <a:solidFill>
                      <a:schemeClr val="tx1"/>
                    </a:solidFill>
                  </a:rPr>
                  <a:t>])</a:t>
                </a:r>
              </a:p>
            </c:rich>
          </c:tx>
          <c:layout>
            <c:manualLayout>
              <c:xMode val="edge"/>
              <c:yMode val="edge"/>
              <c:x val="0.31366984390109098"/>
              <c:y val="0.897208492149364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3989816"/>
        <c:crossesAt val="-5"/>
        <c:crossBetween val="midCat"/>
      </c:valAx>
      <c:valAx>
        <c:axId val="-2113989816"/>
        <c:scaling>
          <c:orientation val="minMax"/>
          <c:max val="2"/>
          <c:min val="-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log(k</a:t>
                </a:r>
                <a:r>
                  <a:rPr lang="en-US" sz="1400" baseline="-25000">
                    <a:solidFill>
                      <a:schemeClr val="tx1"/>
                    </a:solidFill>
                  </a:rPr>
                  <a:t>2</a:t>
                </a:r>
                <a:r>
                  <a:rPr lang="en-US" sz="1400">
                    <a:solidFill>
                      <a:schemeClr val="tx1"/>
                    </a:solidFill>
                  </a:rPr>
                  <a:t> [g mg</a:t>
                </a:r>
                <a:r>
                  <a:rPr lang="en-US" sz="1400" baseline="30000">
                    <a:solidFill>
                      <a:schemeClr val="tx1"/>
                    </a:solidFill>
                  </a:rPr>
                  <a:t>-1</a:t>
                </a:r>
                <a:r>
                  <a:rPr lang="en-US" sz="1400">
                    <a:solidFill>
                      <a:schemeClr val="tx1"/>
                    </a:solidFill>
                  </a:rPr>
                  <a:t> min</a:t>
                </a:r>
                <a:r>
                  <a:rPr lang="en-US" sz="1400" baseline="30000">
                    <a:solidFill>
                      <a:schemeClr val="tx1"/>
                    </a:solidFill>
                  </a:rPr>
                  <a:t>-1</a:t>
                </a:r>
                <a:r>
                  <a:rPr lang="en-US" sz="1400">
                    <a:solidFill>
                      <a:schemeClr val="tx1"/>
                    </a:solidFill>
                  </a:rPr>
                  <a:t>])</a:t>
                </a:r>
              </a:p>
            </c:rich>
          </c:tx>
          <c:layout>
            <c:manualLayout>
              <c:xMode val="edge"/>
              <c:yMode val="edge"/>
              <c:x val="3.7602400029250499E-2"/>
              <c:y val="0.20889226778434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857256"/>
        <c:crossesAt val="-2.5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8868439008035798"/>
          <c:y val="4.8851254984267997E-2"/>
          <c:w val="0.27809722324647201"/>
          <c:h val="0.660160968885032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k2 C0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C0Cs!$CD$2:$CD$27</c:f>
              <c:numCache>
                <c:formatCode>General</c:formatCode>
                <c:ptCount val="26"/>
                <c:pt idx="0">
                  <c:v>-0.9343930087008443</c:v>
                </c:pt>
                <c:pt idx="1">
                  <c:v>-0.9343930087008443</c:v>
                </c:pt>
                <c:pt idx="2">
                  <c:v>-0.9343930087008443</c:v>
                </c:pt>
                <c:pt idx="3">
                  <c:v>-0.80031890627543911</c:v>
                </c:pt>
                <c:pt idx="4">
                  <c:v>-0.80031890627543911</c:v>
                </c:pt>
                <c:pt idx="5">
                  <c:v>-0.80031890627543911</c:v>
                </c:pt>
                <c:pt idx="6">
                  <c:v>-0.90777422065481772</c:v>
                </c:pt>
                <c:pt idx="7">
                  <c:v>-0.90777422065481772</c:v>
                </c:pt>
                <c:pt idx="8">
                  <c:v>-0.90777422065481772</c:v>
                </c:pt>
                <c:pt idx="9">
                  <c:v>-1.1479319101352701</c:v>
                </c:pt>
                <c:pt idx="10">
                  <c:v>-1.1479319101352701</c:v>
                </c:pt>
                <c:pt idx="11">
                  <c:v>-1.1479319101352701</c:v>
                </c:pt>
                <c:pt idx="12">
                  <c:v>-0.5127699894121488</c:v>
                </c:pt>
                <c:pt idx="13">
                  <c:v>-0.5127699894121488</c:v>
                </c:pt>
                <c:pt idx="14">
                  <c:v>-0.5127699894121488</c:v>
                </c:pt>
                <c:pt idx="15">
                  <c:v>-0.88741602203962011</c:v>
                </c:pt>
                <c:pt idx="16">
                  <c:v>-0.88741602203962011</c:v>
                </c:pt>
                <c:pt idx="17">
                  <c:v>-0.88741602203962011</c:v>
                </c:pt>
                <c:pt idx="18">
                  <c:v>0.32784851141346144</c:v>
                </c:pt>
                <c:pt idx="19">
                  <c:v>0.32784851141346144</c:v>
                </c:pt>
                <c:pt idx="20">
                  <c:v>0.32784851141346144</c:v>
                </c:pt>
                <c:pt idx="21">
                  <c:v>-0.52043272742837388</c:v>
                </c:pt>
                <c:pt idx="22">
                  <c:v>-0.52043272742837388</c:v>
                </c:pt>
                <c:pt idx="23">
                  <c:v>-0.52043272742837388</c:v>
                </c:pt>
                <c:pt idx="24">
                  <c:v>-1.1568333738539223</c:v>
                </c:pt>
                <c:pt idx="25">
                  <c:v>-1.1568333738539223</c:v>
                </c:pt>
              </c:numCache>
            </c:numRef>
          </c:xVal>
          <c:yVal>
            <c:numRef>
              <c:f>C0Cs!$CE$2:$CE$27</c:f>
              <c:numCache>
                <c:formatCode>General</c:formatCode>
                <c:ptCount val="26"/>
                <c:pt idx="0">
                  <c:v>1</c:v>
                </c:pt>
                <c:pt idx="1">
                  <c:v>1.5</c:v>
                </c:pt>
                <c:pt idx="3">
                  <c:v>1.5</c:v>
                </c:pt>
                <c:pt idx="4">
                  <c:v>1</c:v>
                </c:pt>
                <c:pt idx="6">
                  <c:v>1</c:v>
                </c:pt>
                <c:pt idx="7">
                  <c:v>1.5</c:v>
                </c:pt>
                <c:pt idx="9">
                  <c:v>1.5</c:v>
                </c:pt>
                <c:pt idx="10">
                  <c:v>1</c:v>
                </c:pt>
                <c:pt idx="12">
                  <c:v>1</c:v>
                </c:pt>
                <c:pt idx="13">
                  <c:v>1.5</c:v>
                </c:pt>
                <c:pt idx="15">
                  <c:v>1.5</c:v>
                </c:pt>
                <c:pt idx="16">
                  <c:v>1</c:v>
                </c:pt>
                <c:pt idx="18">
                  <c:v>1</c:v>
                </c:pt>
                <c:pt idx="19">
                  <c:v>1.5</c:v>
                </c:pt>
                <c:pt idx="21">
                  <c:v>1.5</c:v>
                </c:pt>
                <c:pt idx="22">
                  <c:v>1</c:v>
                </c:pt>
                <c:pt idx="24">
                  <c:v>1</c:v>
                </c:pt>
                <c:pt idx="25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F7-4452-A0E6-8BF201AFFE74}"/>
            </c:ext>
          </c:extLst>
        </c:ser>
        <c:ser>
          <c:idx val="1"/>
          <c:order val="1"/>
          <c:tx>
            <c:v>k2 Cs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C0Cs!$CH$2:$CH$24</c:f>
              <c:numCache>
                <c:formatCode>General</c:formatCode>
                <c:ptCount val="23"/>
                <c:pt idx="0">
                  <c:v>0.8749085132916683</c:v>
                </c:pt>
                <c:pt idx="1">
                  <c:v>0.8749085132916683</c:v>
                </c:pt>
                <c:pt idx="2">
                  <c:v>0.8749085132916683</c:v>
                </c:pt>
                <c:pt idx="3">
                  <c:v>1.0619649903898143</c:v>
                </c:pt>
                <c:pt idx="4">
                  <c:v>1.0619649903898143</c:v>
                </c:pt>
                <c:pt idx="5">
                  <c:v>1.0619649903898143</c:v>
                </c:pt>
                <c:pt idx="6">
                  <c:v>1.5136635226387571</c:v>
                </c:pt>
                <c:pt idx="7">
                  <c:v>1.5136635226387571</c:v>
                </c:pt>
                <c:pt idx="8">
                  <c:v>1.5136635226387571</c:v>
                </c:pt>
                <c:pt idx="9">
                  <c:v>1.2416530426606665</c:v>
                </c:pt>
                <c:pt idx="10">
                  <c:v>1.2416530426606665</c:v>
                </c:pt>
                <c:pt idx="11">
                  <c:v>1.2416530426606665</c:v>
                </c:pt>
                <c:pt idx="12">
                  <c:v>2.258408724865117</c:v>
                </c:pt>
                <c:pt idx="13">
                  <c:v>2.258408724865117</c:v>
                </c:pt>
                <c:pt idx="14">
                  <c:v>2.258408724865117</c:v>
                </c:pt>
                <c:pt idx="15">
                  <c:v>1.1848329818066499</c:v>
                </c:pt>
                <c:pt idx="16">
                  <c:v>1.1848329818066499</c:v>
                </c:pt>
                <c:pt idx="17">
                  <c:v>1.1848329818066499</c:v>
                </c:pt>
                <c:pt idx="18">
                  <c:v>1.1752703467063932</c:v>
                </c:pt>
                <c:pt idx="19">
                  <c:v>1.1752703467063932</c:v>
                </c:pt>
                <c:pt idx="20">
                  <c:v>1.1752703467063932</c:v>
                </c:pt>
                <c:pt idx="21">
                  <c:v>3.2242420157487901</c:v>
                </c:pt>
                <c:pt idx="22">
                  <c:v>3.2242420157487901</c:v>
                </c:pt>
              </c:numCache>
            </c:numRef>
          </c:xVal>
          <c:yVal>
            <c:numRef>
              <c:f>C0Cs!$CI$2:$CI$24</c:f>
              <c:numCache>
                <c:formatCode>General</c:formatCode>
                <c:ptCount val="23"/>
                <c:pt idx="0">
                  <c:v>1</c:v>
                </c:pt>
                <c:pt idx="1">
                  <c:v>1.5</c:v>
                </c:pt>
                <c:pt idx="3">
                  <c:v>1.5</c:v>
                </c:pt>
                <c:pt idx="4">
                  <c:v>1</c:v>
                </c:pt>
                <c:pt idx="6">
                  <c:v>1</c:v>
                </c:pt>
                <c:pt idx="7">
                  <c:v>1.5</c:v>
                </c:pt>
                <c:pt idx="9">
                  <c:v>1.5</c:v>
                </c:pt>
                <c:pt idx="10">
                  <c:v>1</c:v>
                </c:pt>
                <c:pt idx="12">
                  <c:v>1</c:v>
                </c:pt>
                <c:pt idx="13">
                  <c:v>1.5</c:v>
                </c:pt>
                <c:pt idx="15">
                  <c:v>1.5</c:v>
                </c:pt>
                <c:pt idx="16">
                  <c:v>1</c:v>
                </c:pt>
                <c:pt idx="18">
                  <c:v>1</c:v>
                </c:pt>
                <c:pt idx="19">
                  <c:v>1.5</c:v>
                </c:pt>
                <c:pt idx="21">
                  <c:v>1.5</c:v>
                </c:pt>
                <c:pt idx="2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F7-4452-A0E6-8BF201AFFE74}"/>
            </c:ext>
          </c:extLst>
        </c:ser>
        <c:ser>
          <c:idx val="2"/>
          <c:order val="2"/>
          <c:tx>
            <c:v>k' C0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C0Cs!$CF$2:$CF$27</c:f>
              <c:numCache>
                <c:formatCode>General</c:formatCode>
                <c:ptCount val="26"/>
                <c:pt idx="0">
                  <c:v>-5.4291451354436637E-2</c:v>
                </c:pt>
                <c:pt idx="1">
                  <c:v>-5.4291451354436637E-2</c:v>
                </c:pt>
                <c:pt idx="2">
                  <c:v>-5.4291451354436637E-2</c:v>
                </c:pt>
                <c:pt idx="3">
                  <c:v>-0.63962127851055073</c:v>
                </c:pt>
                <c:pt idx="4">
                  <c:v>-0.63962127851055073</c:v>
                </c:pt>
                <c:pt idx="5">
                  <c:v>-0.63962127851055073</c:v>
                </c:pt>
                <c:pt idx="6">
                  <c:v>-0.33496657733623797</c:v>
                </c:pt>
                <c:pt idx="7">
                  <c:v>-0.33496657733623797</c:v>
                </c:pt>
                <c:pt idx="8">
                  <c:v>-0.33496657733623797</c:v>
                </c:pt>
                <c:pt idx="9">
                  <c:v>-0.47169276822359685</c:v>
                </c:pt>
                <c:pt idx="10">
                  <c:v>-0.47169276822359685</c:v>
                </c:pt>
                <c:pt idx="11">
                  <c:v>-0.47169276822359685</c:v>
                </c:pt>
                <c:pt idx="12">
                  <c:v>-0.53200197566979435</c:v>
                </c:pt>
                <c:pt idx="13">
                  <c:v>-0.53200197566979435</c:v>
                </c:pt>
                <c:pt idx="14">
                  <c:v>-0.53200197566979435</c:v>
                </c:pt>
                <c:pt idx="15">
                  <c:v>-8.508133788386997E-2</c:v>
                </c:pt>
                <c:pt idx="16">
                  <c:v>-8.508133788386997E-2</c:v>
                </c:pt>
                <c:pt idx="17">
                  <c:v>-8.508133788386997E-2</c:v>
                </c:pt>
                <c:pt idx="18">
                  <c:v>0.49301935159530064</c:v>
                </c:pt>
                <c:pt idx="19">
                  <c:v>0.49301935159530064</c:v>
                </c:pt>
                <c:pt idx="20">
                  <c:v>0.49301935159530064</c:v>
                </c:pt>
                <c:pt idx="21">
                  <c:v>0.21840375156418765</c:v>
                </c:pt>
                <c:pt idx="22">
                  <c:v>0.21840375156418765</c:v>
                </c:pt>
                <c:pt idx="23">
                  <c:v>0.21840375156418765</c:v>
                </c:pt>
                <c:pt idx="24">
                  <c:v>-0.41220791848962096</c:v>
                </c:pt>
                <c:pt idx="25">
                  <c:v>-0.41220791848962096</c:v>
                </c:pt>
              </c:numCache>
            </c:numRef>
          </c:xVal>
          <c:yVal>
            <c:numRef>
              <c:f>C0Cs!$CG$2:$CG$27</c:f>
              <c:numCache>
                <c:formatCode>General</c:formatCode>
                <c:ptCount val="26"/>
                <c:pt idx="0">
                  <c:v>2.2000000000000002</c:v>
                </c:pt>
                <c:pt idx="1">
                  <c:v>2.7</c:v>
                </c:pt>
                <c:pt idx="3">
                  <c:v>2.7</c:v>
                </c:pt>
                <c:pt idx="4">
                  <c:v>2.2000000000000002</c:v>
                </c:pt>
                <c:pt idx="6">
                  <c:v>2.2000000000000002</c:v>
                </c:pt>
                <c:pt idx="7">
                  <c:v>2.7</c:v>
                </c:pt>
                <c:pt idx="9">
                  <c:v>2.7</c:v>
                </c:pt>
                <c:pt idx="10">
                  <c:v>2.2000000000000002</c:v>
                </c:pt>
                <c:pt idx="12">
                  <c:v>2.2000000000000002</c:v>
                </c:pt>
                <c:pt idx="13">
                  <c:v>2.7</c:v>
                </c:pt>
                <c:pt idx="15">
                  <c:v>2.7</c:v>
                </c:pt>
                <c:pt idx="16">
                  <c:v>2.2000000000000002</c:v>
                </c:pt>
                <c:pt idx="18">
                  <c:v>2.2000000000000002</c:v>
                </c:pt>
                <c:pt idx="19">
                  <c:v>2.7</c:v>
                </c:pt>
                <c:pt idx="21">
                  <c:v>2.7</c:v>
                </c:pt>
                <c:pt idx="22">
                  <c:v>2.2000000000000002</c:v>
                </c:pt>
                <c:pt idx="24">
                  <c:v>2.2000000000000002</c:v>
                </c:pt>
                <c:pt idx="25">
                  <c:v>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F7-4452-A0E6-8BF201AFFE74}"/>
            </c:ext>
          </c:extLst>
        </c:ser>
        <c:ser>
          <c:idx val="3"/>
          <c:order val="3"/>
          <c:tx>
            <c:v>k' Cs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C0Cs!$CJ$2:$CJ$24</c:f>
              <c:numCache>
                <c:formatCode>General</c:formatCode>
                <c:ptCount val="23"/>
                <c:pt idx="0">
                  <c:v>-0.79873297351207717</c:v>
                </c:pt>
                <c:pt idx="1">
                  <c:v>-0.79873297351207717</c:v>
                </c:pt>
                <c:pt idx="2">
                  <c:v>-0.79873297351207717</c:v>
                </c:pt>
                <c:pt idx="3">
                  <c:v>0.47198361012826301</c:v>
                </c:pt>
                <c:pt idx="4">
                  <c:v>0.47198361012826301</c:v>
                </c:pt>
                <c:pt idx="5">
                  <c:v>0.47198361012826301</c:v>
                </c:pt>
                <c:pt idx="6">
                  <c:v>-6.0786974344240366E-2</c:v>
                </c:pt>
                <c:pt idx="7">
                  <c:v>-6.0786974344240366E-2</c:v>
                </c:pt>
                <c:pt idx="8">
                  <c:v>-6.0786974344240366E-2</c:v>
                </c:pt>
                <c:pt idx="9">
                  <c:v>2.939466632507676E-2</c:v>
                </c:pt>
                <c:pt idx="10">
                  <c:v>2.939466632507676E-2</c:v>
                </c:pt>
                <c:pt idx="11">
                  <c:v>2.939466632507676E-2</c:v>
                </c:pt>
                <c:pt idx="12">
                  <c:v>0.42555676806505732</c:v>
                </c:pt>
                <c:pt idx="13">
                  <c:v>0.42555676806505732</c:v>
                </c:pt>
                <c:pt idx="14">
                  <c:v>0.42555676806505732</c:v>
                </c:pt>
                <c:pt idx="15">
                  <c:v>0.11782366258053967</c:v>
                </c:pt>
                <c:pt idx="16">
                  <c:v>0.11782366258053967</c:v>
                </c:pt>
                <c:pt idx="17">
                  <c:v>0.11782366258053967</c:v>
                </c:pt>
                <c:pt idx="18">
                  <c:v>-1.5210880010596752E-2</c:v>
                </c:pt>
                <c:pt idx="19">
                  <c:v>-1.5210880010596752E-2</c:v>
                </c:pt>
                <c:pt idx="20">
                  <c:v>-1.5210880010596752E-2</c:v>
                </c:pt>
                <c:pt idx="21">
                  <c:v>0.64634371622095554</c:v>
                </c:pt>
                <c:pt idx="22">
                  <c:v>0.64634371622095554</c:v>
                </c:pt>
              </c:numCache>
            </c:numRef>
          </c:xVal>
          <c:yVal>
            <c:numRef>
              <c:f>C0Cs!$CK$2:$CK$24</c:f>
              <c:numCache>
                <c:formatCode>General</c:formatCode>
                <c:ptCount val="23"/>
                <c:pt idx="0">
                  <c:v>2.2000000000000002</c:v>
                </c:pt>
                <c:pt idx="1">
                  <c:v>2.7</c:v>
                </c:pt>
                <c:pt idx="3">
                  <c:v>2.7</c:v>
                </c:pt>
                <c:pt idx="4">
                  <c:v>2.2000000000000002</c:v>
                </c:pt>
                <c:pt idx="6">
                  <c:v>2.2000000000000002</c:v>
                </c:pt>
                <c:pt idx="7">
                  <c:v>2.7</c:v>
                </c:pt>
                <c:pt idx="9">
                  <c:v>2.7</c:v>
                </c:pt>
                <c:pt idx="10">
                  <c:v>2.2000000000000002</c:v>
                </c:pt>
                <c:pt idx="12">
                  <c:v>2.2000000000000002</c:v>
                </c:pt>
                <c:pt idx="13">
                  <c:v>2.7</c:v>
                </c:pt>
                <c:pt idx="15">
                  <c:v>2.7</c:v>
                </c:pt>
                <c:pt idx="16">
                  <c:v>2.2000000000000002</c:v>
                </c:pt>
                <c:pt idx="18">
                  <c:v>2.2000000000000002</c:v>
                </c:pt>
                <c:pt idx="19">
                  <c:v>2.7</c:v>
                </c:pt>
                <c:pt idx="21">
                  <c:v>2.7</c:v>
                </c:pt>
                <c:pt idx="22">
                  <c:v>2.2000000000000002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F7-4452-A0E6-8BF201AFFE74}"/>
            </c:ext>
          </c:extLst>
        </c:ser>
        <c:ser>
          <c:idx val="4"/>
          <c:order val="4"/>
          <c:tx>
            <c:v>avg1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C0Cs!$CD$33:$CD$34</c:f>
              <c:numCache>
                <c:formatCode>General</c:formatCode>
                <c:ptCount val="2"/>
                <c:pt idx="0">
                  <c:v>-1.1835620401155673</c:v>
                </c:pt>
                <c:pt idx="1">
                  <c:v>-0.2697761036815382</c:v>
                </c:pt>
              </c:numCache>
            </c:numRef>
          </c:xVal>
          <c:yVal>
            <c:numRef>
              <c:f>C0Cs!$CE$33:$CE$34</c:f>
              <c:numCache>
                <c:formatCode>General</c:formatCode>
                <c:ptCount val="2"/>
                <c:pt idx="0">
                  <c:v>1.6</c:v>
                </c:pt>
                <c:pt idx="1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CF7-4452-A0E6-8BF201AFFE74}"/>
            </c:ext>
          </c:extLst>
        </c:ser>
        <c:ser>
          <c:idx val="5"/>
          <c:order val="5"/>
          <c:tx>
            <c:v>avg2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C0Cs!$CF$33:$CF$34</c:f>
              <c:numCache>
                <c:formatCode>General</c:formatCode>
                <c:ptCount val="2"/>
                <c:pt idx="0">
                  <c:v>-0.57793026538576908</c:v>
                </c:pt>
                <c:pt idx="1">
                  <c:v>0.17383244220607585</c:v>
                </c:pt>
              </c:numCache>
            </c:numRef>
          </c:xVal>
          <c:yVal>
            <c:numRef>
              <c:f>C0Cs!$CG$33:$CG$34</c:f>
              <c:numCache>
                <c:formatCode>General</c:formatCode>
                <c:ptCount val="2"/>
                <c:pt idx="0">
                  <c:v>2.8000000000000003</c:v>
                </c:pt>
                <c:pt idx="1">
                  <c:v>2.8000000000000003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CF7-4452-A0E6-8BF201AFFE74}"/>
            </c:ext>
          </c:extLst>
        </c:ser>
        <c:ser>
          <c:idx val="6"/>
          <c:order val="6"/>
          <c:tx>
            <c:v>avg3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C0Cs!$CH$33:$CH$34</c:f>
              <c:numCache>
                <c:formatCode>General</c:formatCode>
                <c:ptCount val="2"/>
                <c:pt idx="0">
                  <c:v>0.7770446061984444</c:v>
                </c:pt>
                <c:pt idx="1">
                  <c:v>2.3566914283285199</c:v>
                </c:pt>
              </c:numCache>
            </c:numRef>
          </c:xVal>
          <c:yVal>
            <c:numRef>
              <c:f>C0Cs!$CI$33:$CI$34</c:f>
              <c:numCache>
                <c:formatCode>General</c:formatCode>
                <c:ptCount val="2"/>
                <c:pt idx="0">
                  <c:v>1.6</c:v>
                </c:pt>
                <c:pt idx="1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CF7-4452-A0E6-8BF201AFFE74}"/>
            </c:ext>
          </c:extLst>
        </c:ser>
        <c:ser>
          <c:idx val="7"/>
          <c:order val="7"/>
          <c:tx>
            <c:v>avg4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C0Cs!$CJ$33:$CJ$34</c:f>
              <c:numCache>
                <c:formatCode>General</c:formatCode>
                <c:ptCount val="2"/>
                <c:pt idx="0">
                  <c:v>-0.34436251102144533</c:v>
                </c:pt>
                <c:pt idx="1">
                  <c:v>0.54845540988468988</c:v>
                </c:pt>
              </c:numCache>
            </c:numRef>
          </c:xVal>
          <c:yVal>
            <c:numRef>
              <c:f>C0Cs!$CK$33:$CK$34</c:f>
              <c:numCache>
                <c:formatCode>General</c:formatCode>
                <c:ptCount val="2"/>
                <c:pt idx="0">
                  <c:v>3.2</c:v>
                </c:pt>
                <c:pt idx="1">
                  <c:v>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CF7-4452-A0E6-8BF201AFF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4073944"/>
        <c:axId val="-2114067224"/>
      </c:scatterChart>
      <c:valAx>
        <c:axId val="-2114073944"/>
        <c:scaling>
          <c:orientation val="minMax"/>
          <c:max val="3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dependency of rate</a:t>
                </a:r>
                <a:r>
                  <a:rPr lang="en-US" sz="1400" baseline="0"/>
                  <a:t> constant</a:t>
                </a:r>
                <a:endParaRPr lang="en-US" sz="1400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067224"/>
        <c:crossesAt val="-100"/>
        <c:crossBetween val="midCat"/>
        <c:majorUnit val="1"/>
      </c:valAx>
      <c:valAx>
        <c:axId val="-2114067224"/>
        <c:scaling>
          <c:orientation val="minMax"/>
          <c:max val="3.6"/>
          <c:min val="0.3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073944"/>
        <c:crossesAt val="-100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k2 C0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C0Cs!$CD$2:$CD$27</c:f>
              <c:numCache>
                <c:formatCode>General</c:formatCode>
                <c:ptCount val="26"/>
                <c:pt idx="0">
                  <c:v>-0.9343930087008443</c:v>
                </c:pt>
                <c:pt idx="1">
                  <c:v>-0.9343930087008443</c:v>
                </c:pt>
                <c:pt idx="2">
                  <c:v>-0.9343930087008443</c:v>
                </c:pt>
                <c:pt idx="3">
                  <c:v>-0.80031890627543911</c:v>
                </c:pt>
                <c:pt idx="4">
                  <c:v>-0.80031890627543911</c:v>
                </c:pt>
                <c:pt idx="5">
                  <c:v>-0.80031890627543911</c:v>
                </c:pt>
                <c:pt idx="6">
                  <c:v>-0.90777422065481772</c:v>
                </c:pt>
                <c:pt idx="7">
                  <c:v>-0.90777422065481772</c:v>
                </c:pt>
                <c:pt idx="8">
                  <c:v>-0.90777422065481772</c:v>
                </c:pt>
                <c:pt idx="9">
                  <c:v>-1.1479319101352701</c:v>
                </c:pt>
                <c:pt idx="10">
                  <c:v>-1.1479319101352701</c:v>
                </c:pt>
                <c:pt idx="11">
                  <c:v>-1.1479319101352701</c:v>
                </c:pt>
                <c:pt idx="12">
                  <c:v>-0.5127699894121488</c:v>
                </c:pt>
                <c:pt idx="13">
                  <c:v>-0.5127699894121488</c:v>
                </c:pt>
                <c:pt idx="14">
                  <c:v>-0.5127699894121488</c:v>
                </c:pt>
                <c:pt idx="15">
                  <c:v>-0.88741602203962011</c:v>
                </c:pt>
                <c:pt idx="16">
                  <c:v>-0.88741602203962011</c:v>
                </c:pt>
                <c:pt idx="17">
                  <c:v>-0.88741602203962011</c:v>
                </c:pt>
                <c:pt idx="18">
                  <c:v>0.32784851141346144</c:v>
                </c:pt>
                <c:pt idx="19">
                  <c:v>0.32784851141346144</c:v>
                </c:pt>
                <c:pt idx="20">
                  <c:v>0.32784851141346144</c:v>
                </c:pt>
                <c:pt idx="21">
                  <c:v>-0.52043272742837388</c:v>
                </c:pt>
                <c:pt idx="22">
                  <c:v>-0.52043272742837388</c:v>
                </c:pt>
                <c:pt idx="23">
                  <c:v>-0.52043272742837388</c:v>
                </c:pt>
                <c:pt idx="24">
                  <c:v>-1.1568333738539223</c:v>
                </c:pt>
                <c:pt idx="25">
                  <c:v>-1.1568333738539223</c:v>
                </c:pt>
              </c:numCache>
            </c:numRef>
          </c:xVal>
          <c:yVal>
            <c:numRef>
              <c:f>C0Cs!$CE$2:$CE$27</c:f>
              <c:numCache>
                <c:formatCode>General</c:formatCode>
                <c:ptCount val="26"/>
                <c:pt idx="0">
                  <c:v>1</c:v>
                </c:pt>
                <c:pt idx="1">
                  <c:v>1.5</c:v>
                </c:pt>
                <c:pt idx="3">
                  <c:v>1.5</c:v>
                </c:pt>
                <c:pt idx="4">
                  <c:v>1</c:v>
                </c:pt>
                <c:pt idx="6">
                  <c:v>1</c:v>
                </c:pt>
                <c:pt idx="7">
                  <c:v>1.5</c:v>
                </c:pt>
                <c:pt idx="9">
                  <c:v>1.5</c:v>
                </c:pt>
                <c:pt idx="10">
                  <c:v>1</c:v>
                </c:pt>
                <c:pt idx="12">
                  <c:v>1</c:v>
                </c:pt>
                <c:pt idx="13">
                  <c:v>1.5</c:v>
                </c:pt>
                <c:pt idx="15">
                  <c:v>1.5</c:v>
                </c:pt>
                <c:pt idx="16">
                  <c:v>1</c:v>
                </c:pt>
                <c:pt idx="18">
                  <c:v>1</c:v>
                </c:pt>
                <c:pt idx="19">
                  <c:v>1.5</c:v>
                </c:pt>
                <c:pt idx="21">
                  <c:v>1.5</c:v>
                </c:pt>
                <c:pt idx="22">
                  <c:v>1</c:v>
                </c:pt>
                <c:pt idx="24">
                  <c:v>1</c:v>
                </c:pt>
                <c:pt idx="25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6E-4ECC-8300-8F2A052AD71E}"/>
            </c:ext>
          </c:extLst>
        </c:ser>
        <c:ser>
          <c:idx val="1"/>
          <c:order val="1"/>
          <c:tx>
            <c:v>k2 Cs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C0Cs!$CH$2:$CH$24</c:f>
              <c:numCache>
                <c:formatCode>General</c:formatCode>
                <c:ptCount val="23"/>
                <c:pt idx="0">
                  <c:v>0.8749085132916683</c:v>
                </c:pt>
                <c:pt idx="1">
                  <c:v>0.8749085132916683</c:v>
                </c:pt>
                <c:pt idx="2">
                  <c:v>0.8749085132916683</c:v>
                </c:pt>
                <c:pt idx="3">
                  <c:v>1.0619649903898143</c:v>
                </c:pt>
                <c:pt idx="4">
                  <c:v>1.0619649903898143</c:v>
                </c:pt>
                <c:pt idx="5">
                  <c:v>1.0619649903898143</c:v>
                </c:pt>
                <c:pt idx="6">
                  <c:v>1.5136635226387571</c:v>
                </c:pt>
                <c:pt idx="7">
                  <c:v>1.5136635226387571</c:v>
                </c:pt>
                <c:pt idx="8">
                  <c:v>1.5136635226387571</c:v>
                </c:pt>
                <c:pt idx="9">
                  <c:v>1.2416530426606665</c:v>
                </c:pt>
                <c:pt idx="10">
                  <c:v>1.2416530426606665</c:v>
                </c:pt>
                <c:pt idx="11">
                  <c:v>1.2416530426606665</c:v>
                </c:pt>
                <c:pt idx="12">
                  <c:v>2.258408724865117</c:v>
                </c:pt>
                <c:pt idx="13">
                  <c:v>2.258408724865117</c:v>
                </c:pt>
                <c:pt idx="14">
                  <c:v>2.258408724865117</c:v>
                </c:pt>
                <c:pt idx="15">
                  <c:v>1.1848329818066499</c:v>
                </c:pt>
                <c:pt idx="16">
                  <c:v>1.1848329818066499</c:v>
                </c:pt>
                <c:pt idx="17">
                  <c:v>1.1848329818066499</c:v>
                </c:pt>
                <c:pt idx="18">
                  <c:v>1.1752703467063932</c:v>
                </c:pt>
                <c:pt idx="19">
                  <c:v>1.1752703467063932</c:v>
                </c:pt>
                <c:pt idx="20">
                  <c:v>1.1752703467063932</c:v>
                </c:pt>
                <c:pt idx="21">
                  <c:v>3.2242420157487901</c:v>
                </c:pt>
                <c:pt idx="22">
                  <c:v>3.2242420157487901</c:v>
                </c:pt>
              </c:numCache>
            </c:numRef>
          </c:xVal>
          <c:yVal>
            <c:numRef>
              <c:f>C0Cs!$CI$2:$CI$24</c:f>
              <c:numCache>
                <c:formatCode>General</c:formatCode>
                <c:ptCount val="23"/>
                <c:pt idx="0">
                  <c:v>1</c:v>
                </c:pt>
                <c:pt idx="1">
                  <c:v>1.5</c:v>
                </c:pt>
                <c:pt idx="3">
                  <c:v>1.5</c:v>
                </c:pt>
                <c:pt idx="4">
                  <c:v>1</c:v>
                </c:pt>
                <c:pt idx="6">
                  <c:v>1</c:v>
                </c:pt>
                <c:pt idx="7">
                  <c:v>1.5</c:v>
                </c:pt>
                <c:pt idx="9">
                  <c:v>1.5</c:v>
                </c:pt>
                <c:pt idx="10">
                  <c:v>1</c:v>
                </c:pt>
                <c:pt idx="12">
                  <c:v>1</c:v>
                </c:pt>
                <c:pt idx="13">
                  <c:v>1.5</c:v>
                </c:pt>
                <c:pt idx="15">
                  <c:v>1.5</c:v>
                </c:pt>
                <c:pt idx="16">
                  <c:v>1</c:v>
                </c:pt>
                <c:pt idx="18">
                  <c:v>1</c:v>
                </c:pt>
                <c:pt idx="19">
                  <c:v>1.5</c:v>
                </c:pt>
                <c:pt idx="21">
                  <c:v>1.5</c:v>
                </c:pt>
                <c:pt idx="2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6E-4ECC-8300-8F2A052AD71E}"/>
            </c:ext>
          </c:extLst>
        </c:ser>
        <c:ser>
          <c:idx val="2"/>
          <c:order val="2"/>
          <c:tx>
            <c:v>k' C0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C0Cs!$CF$2:$CF$27</c:f>
              <c:numCache>
                <c:formatCode>General</c:formatCode>
                <c:ptCount val="26"/>
                <c:pt idx="0">
                  <c:v>-5.4291451354436637E-2</c:v>
                </c:pt>
                <c:pt idx="1">
                  <c:v>-5.4291451354436637E-2</c:v>
                </c:pt>
                <c:pt idx="2">
                  <c:v>-5.4291451354436637E-2</c:v>
                </c:pt>
                <c:pt idx="3">
                  <c:v>-0.63962127851055073</c:v>
                </c:pt>
                <c:pt idx="4">
                  <c:v>-0.63962127851055073</c:v>
                </c:pt>
                <c:pt idx="5">
                  <c:v>-0.63962127851055073</c:v>
                </c:pt>
                <c:pt idx="6">
                  <c:v>-0.33496657733623797</c:v>
                </c:pt>
                <c:pt idx="7">
                  <c:v>-0.33496657733623797</c:v>
                </c:pt>
                <c:pt idx="8">
                  <c:v>-0.33496657733623797</c:v>
                </c:pt>
                <c:pt idx="9">
                  <c:v>-0.47169276822359685</c:v>
                </c:pt>
                <c:pt idx="10">
                  <c:v>-0.47169276822359685</c:v>
                </c:pt>
                <c:pt idx="11">
                  <c:v>-0.47169276822359685</c:v>
                </c:pt>
                <c:pt idx="12">
                  <c:v>-0.53200197566979435</c:v>
                </c:pt>
                <c:pt idx="13">
                  <c:v>-0.53200197566979435</c:v>
                </c:pt>
                <c:pt idx="14">
                  <c:v>-0.53200197566979435</c:v>
                </c:pt>
                <c:pt idx="15">
                  <c:v>-8.508133788386997E-2</c:v>
                </c:pt>
                <c:pt idx="16">
                  <c:v>-8.508133788386997E-2</c:v>
                </c:pt>
                <c:pt idx="17">
                  <c:v>-8.508133788386997E-2</c:v>
                </c:pt>
                <c:pt idx="18">
                  <c:v>0.49301935159530064</c:v>
                </c:pt>
                <c:pt idx="19">
                  <c:v>0.49301935159530064</c:v>
                </c:pt>
                <c:pt idx="20">
                  <c:v>0.49301935159530064</c:v>
                </c:pt>
                <c:pt idx="21">
                  <c:v>0.21840375156418765</c:v>
                </c:pt>
                <c:pt idx="22">
                  <c:v>0.21840375156418765</c:v>
                </c:pt>
                <c:pt idx="23">
                  <c:v>0.21840375156418765</c:v>
                </c:pt>
                <c:pt idx="24">
                  <c:v>-0.41220791848962096</c:v>
                </c:pt>
                <c:pt idx="25">
                  <c:v>-0.41220791848962096</c:v>
                </c:pt>
              </c:numCache>
            </c:numRef>
          </c:xVal>
          <c:yVal>
            <c:numRef>
              <c:f>C0Cs!$CM$2:$CM$27</c:f>
              <c:numCache>
                <c:formatCode>General</c:formatCode>
                <c:ptCount val="26"/>
                <c:pt idx="0">
                  <c:v>2.6</c:v>
                </c:pt>
                <c:pt idx="1">
                  <c:v>3.1</c:v>
                </c:pt>
                <c:pt idx="3">
                  <c:v>3.1</c:v>
                </c:pt>
                <c:pt idx="4">
                  <c:v>2.6</c:v>
                </c:pt>
                <c:pt idx="6">
                  <c:v>2.6</c:v>
                </c:pt>
                <c:pt idx="7">
                  <c:v>3.1</c:v>
                </c:pt>
                <c:pt idx="9">
                  <c:v>3.1</c:v>
                </c:pt>
                <c:pt idx="10">
                  <c:v>2.6</c:v>
                </c:pt>
                <c:pt idx="12">
                  <c:v>2.6</c:v>
                </c:pt>
                <c:pt idx="13">
                  <c:v>3.1</c:v>
                </c:pt>
                <c:pt idx="15">
                  <c:v>3.1</c:v>
                </c:pt>
                <c:pt idx="16">
                  <c:v>2.6</c:v>
                </c:pt>
                <c:pt idx="18">
                  <c:v>2.6</c:v>
                </c:pt>
                <c:pt idx="19">
                  <c:v>3.1</c:v>
                </c:pt>
                <c:pt idx="21">
                  <c:v>3.1</c:v>
                </c:pt>
                <c:pt idx="22">
                  <c:v>2.6</c:v>
                </c:pt>
                <c:pt idx="24">
                  <c:v>2.6</c:v>
                </c:pt>
                <c:pt idx="25">
                  <c:v>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6E-4ECC-8300-8F2A052AD71E}"/>
            </c:ext>
          </c:extLst>
        </c:ser>
        <c:ser>
          <c:idx val="3"/>
          <c:order val="3"/>
          <c:tx>
            <c:v>k' Cs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C0Cs!$CJ$2:$CJ$24</c:f>
              <c:numCache>
                <c:formatCode>General</c:formatCode>
                <c:ptCount val="23"/>
                <c:pt idx="0">
                  <c:v>-0.79873297351207717</c:v>
                </c:pt>
                <c:pt idx="1">
                  <c:v>-0.79873297351207717</c:v>
                </c:pt>
                <c:pt idx="2">
                  <c:v>-0.79873297351207717</c:v>
                </c:pt>
                <c:pt idx="3">
                  <c:v>0.47198361012826301</c:v>
                </c:pt>
                <c:pt idx="4">
                  <c:v>0.47198361012826301</c:v>
                </c:pt>
                <c:pt idx="5">
                  <c:v>0.47198361012826301</c:v>
                </c:pt>
                <c:pt idx="6">
                  <c:v>-6.0786974344240366E-2</c:v>
                </c:pt>
                <c:pt idx="7">
                  <c:v>-6.0786974344240366E-2</c:v>
                </c:pt>
                <c:pt idx="8">
                  <c:v>-6.0786974344240366E-2</c:v>
                </c:pt>
                <c:pt idx="9">
                  <c:v>2.939466632507676E-2</c:v>
                </c:pt>
                <c:pt idx="10">
                  <c:v>2.939466632507676E-2</c:v>
                </c:pt>
                <c:pt idx="11">
                  <c:v>2.939466632507676E-2</c:v>
                </c:pt>
                <c:pt idx="12">
                  <c:v>0.42555676806505732</c:v>
                </c:pt>
                <c:pt idx="13">
                  <c:v>0.42555676806505732</c:v>
                </c:pt>
                <c:pt idx="14">
                  <c:v>0.42555676806505732</c:v>
                </c:pt>
                <c:pt idx="15">
                  <c:v>0.11782366258053967</c:v>
                </c:pt>
                <c:pt idx="16">
                  <c:v>0.11782366258053967</c:v>
                </c:pt>
                <c:pt idx="17">
                  <c:v>0.11782366258053967</c:v>
                </c:pt>
                <c:pt idx="18">
                  <c:v>-1.5210880010596752E-2</c:v>
                </c:pt>
                <c:pt idx="19">
                  <c:v>-1.5210880010596752E-2</c:v>
                </c:pt>
                <c:pt idx="20">
                  <c:v>-1.5210880010596752E-2</c:v>
                </c:pt>
                <c:pt idx="21">
                  <c:v>0.64634371622095554</c:v>
                </c:pt>
                <c:pt idx="22">
                  <c:v>0.64634371622095554</c:v>
                </c:pt>
              </c:numCache>
            </c:numRef>
          </c:xVal>
          <c:yVal>
            <c:numRef>
              <c:f>C0Cs!$CN$2:$CN$24</c:f>
              <c:numCache>
                <c:formatCode>General</c:formatCode>
                <c:ptCount val="23"/>
                <c:pt idx="0">
                  <c:v>2.6</c:v>
                </c:pt>
                <c:pt idx="1">
                  <c:v>3.1</c:v>
                </c:pt>
                <c:pt idx="3">
                  <c:v>3.1</c:v>
                </c:pt>
                <c:pt idx="4">
                  <c:v>2.6</c:v>
                </c:pt>
                <c:pt idx="6">
                  <c:v>2.6</c:v>
                </c:pt>
                <c:pt idx="7">
                  <c:v>3.1</c:v>
                </c:pt>
                <c:pt idx="9">
                  <c:v>3.1</c:v>
                </c:pt>
                <c:pt idx="10">
                  <c:v>2.6</c:v>
                </c:pt>
                <c:pt idx="12">
                  <c:v>2.6</c:v>
                </c:pt>
                <c:pt idx="13">
                  <c:v>3.1</c:v>
                </c:pt>
                <c:pt idx="15">
                  <c:v>3.1</c:v>
                </c:pt>
                <c:pt idx="16">
                  <c:v>2.6</c:v>
                </c:pt>
                <c:pt idx="18">
                  <c:v>2.6</c:v>
                </c:pt>
                <c:pt idx="19">
                  <c:v>3.1</c:v>
                </c:pt>
                <c:pt idx="21">
                  <c:v>3.1</c:v>
                </c:pt>
                <c:pt idx="22">
                  <c:v>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6E-4ECC-8300-8F2A052AD71E}"/>
            </c:ext>
          </c:extLst>
        </c:ser>
        <c:ser>
          <c:idx val="4"/>
          <c:order val="4"/>
          <c:tx>
            <c:v>avg1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C0Cs!$CD$33:$CD$34</c:f>
              <c:numCache>
                <c:formatCode>General</c:formatCode>
                <c:ptCount val="2"/>
                <c:pt idx="0">
                  <c:v>-1.1835620401155673</c:v>
                </c:pt>
                <c:pt idx="1">
                  <c:v>-0.2697761036815382</c:v>
                </c:pt>
              </c:numCache>
            </c:numRef>
          </c:xVal>
          <c:yVal>
            <c:numRef>
              <c:f>C0Cs!$CE$33:$CE$34</c:f>
              <c:numCache>
                <c:formatCode>General</c:formatCode>
                <c:ptCount val="2"/>
                <c:pt idx="0">
                  <c:v>1.6</c:v>
                </c:pt>
                <c:pt idx="1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6E-4ECC-8300-8F2A052AD71E}"/>
            </c:ext>
          </c:extLst>
        </c:ser>
        <c:ser>
          <c:idx val="5"/>
          <c:order val="5"/>
          <c:tx>
            <c:v>avg2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C0Cs!$CF$33:$CF$34</c:f>
              <c:numCache>
                <c:formatCode>General</c:formatCode>
                <c:ptCount val="2"/>
                <c:pt idx="0">
                  <c:v>-0.57793026538576908</c:v>
                </c:pt>
                <c:pt idx="1">
                  <c:v>0.17383244220607585</c:v>
                </c:pt>
              </c:numCache>
            </c:numRef>
          </c:xVal>
          <c:yVal>
            <c:numRef>
              <c:f>C0Cs!$CG$36:$CG$37</c:f>
              <c:numCache>
                <c:formatCode>General</c:formatCode>
                <c:ptCount val="2"/>
                <c:pt idx="0">
                  <c:v>3.2</c:v>
                </c:pt>
                <c:pt idx="1">
                  <c:v>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6E-4ECC-8300-8F2A052AD71E}"/>
            </c:ext>
          </c:extLst>
        </c:ser>
        <c:ser>
          <c:idx val="6"/>
          <c:order val="6"/>
          <c:tx>
            <c:v>avg3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C0Cs!$CH$33:$CH$34</c:f>
              <c:numCache>
                <c:formatCode>General</c:formatCode>
                <c:ptCount val="2"/>
                <c:pt idx="0">
                  <c:v>0.7770446061984444</c:v>
                </c:pt>
                <c:pt idx="1">
                  <c:v>2.3566914283285199</c:v>
                </c:pt>
              </c:numCache>
            </c:numRef>
          </c:xVal>
          <c:yVal>
            <c:numRef>
              <c:f>C0Cs!$CI$33:$CI$34</c:f>
              <c:numCache>
                <c:formatCode>General</c:formatCode>
                <c:ptCount val="2"/>
                <c:pt idx="0">
                  <c:v>1.6</c:v>
                </c:pt>
                <c:pt idx="1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A6E-4ECC-8300-8F2A052AD71E}"/>
            </c:ext>
          </c:extLst>
        </c:ser>
        <c:ser>
          <c:idx val="7"/>
          <c:order val="7"/>
          <c:tx>
            <c:v>avg4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C0Cs!$CJ$33:$CJ$34</c:f>
              <c:numCache>
                <c:formatCode>General</c:formatCode>
                <c:ptCount val="2"/>
                <c:pt idx="0">
                  <c:v>-0.34436251102144533</c:v>
                </c:pt>
                <c:pt idx="1">
                  <c:v>0.54845540988468988</c:v>
                </c:pt>
              </c:numCache>
            </c:numRef>
          </c:xVal>
          <c:yVal>
            <c:numRef>
              <c:f>C0Cs!$CK$36:$CK$37</c:f>
              <c:numCache>
                <c:formatCode>General</c:formatCode>
                <c:ptCount val="2"/>
                <c:pt idx="0">
                  <c:v>3.6</c:v>
                </c:pt>
                <c:pt idx="1">
                  <c:v>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A6E-4ECC-8300-8F2A052AD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4377112"/>
        <c:axId val="-2114479144"/>
      </c:scatterChart>
      <c:valAx>
        <c:axId val="-2114377112"/>
        <c:scaling>
          <c:orientation val="minMax"/>
          <c:max val="3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dependency of rate</a:t>
                </a:r>
                <a:r>
                  <a:rPr lang="en-US" sz="1400" baseline="0"/>
                  <a:t> constant</a:t>
                </a:r>
                <a:endParaRPr lang="en-US" sz="1400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479144"/>
        <c:crossesAt val="-100"/>
        <c:crossBetween val="midCat"/>
        <c:majorUnit val="1"/>
      </c:valAx>
      <c:valAx>
        <c:axId val="-2114479144"/>
        <c:scaling>
          <c:orientation val="minMax"/>
          <c:max val="4.5"/>
          <c:min val="0.3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377112"/>
        <c:crossesAt val="-100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C0Cs!$CR$2</c:f>
              <c:strCache>
                <c:ptCount val="1"/>
                <c:pt idx="0">
                  <c:v>k2 C0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C0Cs!$CQ$6:$CQ$66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C0Cs!$CR$6:$CR$66</c:f>
              <c:numCache>
                <c:formatCode>General</c:formatCode>
                <c:ptCount val="61"/>
                <c:pt idx="0">
                  <c:v>3.6745291585766632E-6</c:v>
                </c:pt>
                <c:pt idx="1">
                  <c:v>1.0659885413309899E-5</c:v>
                </c:pt>
                <c:pt idx="2">
                  <c:v>2.947806462597026E-5</c:v>
                </c:pt>
                <c:pt idx="3">
                  <c:v>7.7703572950640516E-5</c:v>
                </c:pt>
                <c:pt idx="4">
                  <c:v>1.9524440756890236E-4</c:v>
                </c:pt>
                <c:pt idx="5">
                  <c:v>4.6764016956557866E-4</c:v>
                </c:pt>
                <c:pt idx="6">
                  <c:v>1.0676787706767985E-3</c:v>
                </c:pt>
                <c:pt idx="7">
                  <c:v>2.3236194203605991E-3</c:v>
                </c:pt>
                <c:pt idx="8">
                  <c:v>4.8204211094851372E-3</c:v>
                </c:pt>
                <c:pt idx="9">
                  <c:v>9.5323625916460125E-3</c:v>
                </c:pt>
                <c:pt idx="10">
                  <c:v>1.7968495684107268E-2</c:v>
                </c:pt>
                <c:pt idx="11">
                  <c:v>3.2286314849881856E-2</c:v>
                </c:pt>
                <c:pt idx="12">
                  <c:v>5.5299451988844409E-2</c:v>
                </c:pt>
                <c:pt idx="13">
                  <c:v>9.0285658388654474E-2</c:v>
                </c:pt>
                <c:pt idx="14">
                  <c:v>0.14051164015830647</c:v>
                </c:pt>
                <c:pt idx="15">
                  <c:v>0.20844977419942309</c:v>
                </c:pt>
                <c:pt idx="16">
                  <c:v>0.29477194480680413</c:v>
                </c:pt>
                <c:pt idx="17">
                  <c:v>0.39734381431709576</c:v>
                </c:pt>
                <c:pt idx="18">
                  <c:v>0.51055479363286216</c:v>
                </c:pt>
                <c:pt idx="19">
                  <c:v>0.62533660545013081</c:v>
                </c:pt>
                <c:pt idx="20">
                  <c:v>0.73009762788527721</c:v>
                </c:pt>
                <c:pt idx="21">
                  <c:v>0.81253787683408962</c:v>
                </c:pt>
                <c:pt idx="22">
                  <c:v>0.86198931902921094</c:v>
                </c:pt>
                <c:pt idx="23">
                  <c:v>0.87167731930860948</c:v>
                </c:pt>
                <c:pt idx="24">
                  <c:v>0.84024357331077171</c:v>
                </c:pt>
                <c:pt idx="25">
                  <c:v>0.77205856417962082</c:v>
                </c:pt>
                <c:pt idx="26">
                  <c:v>0.6762244699857356</c:v>
                </c:pt>
                <c:pt idx="27">
                  <c:v>0.56458210873631087</c:v>
                </c:pt>
                <c:pt idx="28">
                  <c:v>0.44932329269643118</c:v>
                </c:pt>
                <c:pt idx="29">
                  <c:v>0.34086808914712502</c:v>
                </c:pt>
                <c:pt idx="30">
                  <c:v>0.24649570205606275</c:v>
                </c:pt>
                <c:pt idx="31">
                  <c:v>0.16991352446108929</c:v>
                </c:pt>
                <c:pt idx="32">
                  <c:v>0.11164573509814954</c:v>
                </c:pt>
                <c:pt idx="33">
                  <c:v>6.9928130648203815E-2</c:v>
                </c:pt>
                <c:pt idx="34">
                  <c:v>4.1750078046750065E-2</c:v>
                </c:pt>
                <c:pt idx="35">
                  <c:v>2.376064669521754E-2</c:v>
                </c:pt>
                <c:pt idx="36">
                  <c:v>1.2890056283323115E-2</c:v>
                </c:pt>
                <c:pt idx="37">
                  <c:v>6.6657184014993799E-3</c:v>
                </c:pt>
                <c:pt idx="38">
                  <c:v>3.2857514142311658E-3</c:v>
                </c:pt>
                <c:pt idx="39">
                  <c:v>1.5438959798561808E-3</c:v>
                </c:pt>
                <c:pt idx="40">
                  <c:v>6.9150760572015638E-4</c:v>
                </c:pt>
                <c:pt idx="41">
                  <c:v>2.9523747197584275E-4</c:v>
                </c:pt>
                <c:pt idx="42">
                  <c:v>1.2015492776463599E-4</c:v>
                </c:pt>
                <c:pt idx="43">
                  <c:v>4.6613024951886134E-5</c:v>
                </c:pt>
                <c:pt idx="44">
                  <c:v>1.7237273798016724E-5</c:v>
                </c:pt>
                <c:pt idx="45">
                  <c:v>6.0761077205111804E-6</c:v>
                </c:pt>
                <c:pt idx="46">
                  <c:v>2.0416342430342484E-6</c:v>
                </c:pt>
                <c:pt idx="47">
                  <c:v>6.5392209206661373E-7</c:v>
                </c:pt>
                <c:pt idx="48">
                  <c:v>1.9965016354877266E-7</c:v>
                </c:pt>
                <c:pt idx="49">
                  <c:v>5.8104386867513045E-8</c:v>
                </c:pt>
                <c:pt idx="50">
                  <c:v>1.6119210515906269E-8</c:v>
                </c:pt>
                <c:pt idx="51">
                  <c:v>4.2625962993885549E-9</c:v>
                </c:pt>
                <c:pt idx="52">
                  <c:v>1.0744846904329685E-9</c:v>
                </c:pt>
                <c:pt idx="53">
                  <c:v>2.581795575640814E-10</c:v>
                </c:pt>
                <c:pt idx="54">
                  <c:v>5.9134246115796034E-11</c:v>
                </c:pt>
                <c:pt idx="55">
                  <c:v>1.2910761804197464E-11</c:v>
                </c:pt>
                <c:pt idx="56">
                  <c:v>2.6869542068709563E-12</c:v>
                </c:pt>
                <c:pt idx="57">
                  <c:v>5.3304546527234029E-13</c:v>
                </c:pt>
                <c:pt idx="58">
                  <c:v>1.0080076618375856E-13</c:v>
                </c:pt>
                <c:pt idx="59">
                  <c:v>1.8170170613859476E-14</c:v>
                </c:pt>
                <c:pt idx="60">
                  <c:v>3.1221212792834063E-15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80-491C-9CE6-E83C9F894A73}"/>
            </c:ext>
          </c:extLst>
        </c:ser>
        <c:ser>
          <c:idx val="1"/>
          <c:order val="1"/>
          <c:tx>
            <c:strRef>
              <c:f>C0Cs!$CS$2</c:f>
              <c:strCache>
                <c:ptCount val="1"/>
                <c:pt idx="0">
                  <c:v>k2 Cs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C0Cs!$CQ$6:$CQ$66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C0Cs!$CS$6:$CS$66</c:f>
              <c:numCache>
                <c:formatCode>General</c:formatCode>
                <c:ptCount val="61"/>
                <c:pt idx="0">
                  <c:v>2.7763239795551944E-8</c:v>
                </c:pt>
                <c:pt idx="1">
                  <c:v>5.7270036898551927E-8</c:v>
                </c:pt>
                <c:pt idx="2">
                  <c:v>1.1625802406719342E-7</c:v>
                </c:pt>
                <c:pt idx="3">
                  <c:v>2.3225045180458482E-7</c:v>
                </c:pt>
                <c:pt idx="4">
                  <c:v>4.5659205830246285E-7</c:v>
                </c:pt>
                <c:pt idx="5">
                  <c:v>8.8336114940738238E-7</c:v>
                </c:pt>
                <c:pt idx="6">
                  <c:v>1.6818466408034187E-6</c:v>
                </c:pt>
                <c:pt idx="7">
                  <c:v>3.1511758905335948E-6</c:v>
                </c:pt>
                <c:pt idx="8">
                  <c:v>5.8102798921279718E-6</c:v>
                </c:pt>
                <c:pt idx="9">
                  <c:v>1.0542888609021826E-5</c:v>
                </c:pt>
                <c:pt idx="10">
                  <c:v>1.8826098993747443E-5</c:v>
                </c:pt>
                <c:pt idx="11">
                  <c:v>3.3082567991483063E-5</c:v>
                </c:pt>
                <c:pt idx="12">
                  <c:v>5.7210566100834608E-5</c:v>
                </c:pt>
                <c:pt idx="13">
                  <c:v>9.7362436199057499E-5</c:v>
                </c:pt>
                <c:pt idx="14">
                  <c:v>1.6305900018265124E-4</c:v>
                </c:pt>
                <c:pt idx="15">
                  <c:v>2.6874245090263997E-4</c:v>
                </c:pt>
                <c:pt idx="16">
                  <c:v>4.3587898183780269E-4</c:v>
                </c:pt>
                <c:pt idx="17">
                  <c:v>6.9571879753388345E-4</c:v>
                </c:pt>
                <c:pt idx="18">
                  <c:v>1.0927975263036321E-3</c:v>
                </c:pt>
                <c:pt idx="19">
                  <c:v>1.6892107031950159E-3</c:v>
                </c:pt>
                <c:pt idx="20">
                  <c:v>2.5696034194552624E-3</c:v>
                </c:pt>
                <c:pt idx="21">
                  <c:v>3.8466842051017584E-3</c:v>
                </c:pt>
                <c:pt idx="22">
                  <c:v>5.6668944359334001E-3</c:v>
                </c:pt>
                <c:pt idx="23">
                  <c:v>8.2156488144878425E-3</c:v>
                </c:pt>
                <c:pt idx="24">
                  <c:v>1.1721326579953327E-2</c:v>
                </c:pt>
                <c:pt idx="25">
                  <c:v>1.6456967895358176E-2</c:v>
                </c:pt>
                <c:pt idx="26">
                  <c:v>2.2738459216834338E-2</c:v>
                </c:pt>
                <c:pt idx="27">
                  <c:v>3.0917929313619679E-2</c:v>
                </c:pt>
                <c:pt idx="28">
                  <c:v>4.1371181367801671E-2</c:v>
                </c:pt>
                <c:pt idx="29">
                  <c:v>5.4478306752672262E-2</c:v>
                </c:pt>
                <c:pt idx="30">
                  <c:v>7.059719319495858E-2</c:v>
                </c:pt>
                <c:pt idx="31">
                  <c:v>9.0030450718289051E-2</c:v>
                </c:pt>
                <c:pt idx="32">
                  <c:v>0.11298728414204461</c:v>
                </c:pt>
                <c:pt idx="33">
                  <c:v>0.13954294062496533</c:v>
                </c:pt>
                <c:pt idx="34">
                  <c:v>0.16959940624095587</c:v>
                </c:pt>
                <c:pt idx="35">
                  <c:v>0.2028518346379567</c:v>
                </c:pt>
                <c:pt idx="36">
                  <c:v>0.23876557349056407</c:v>
                </c:pt>
                <c:pt idx="37">
                  <c:v>0.27656844753826892</c:v>
                </c:pt>
                <c:pt idx="38">
                  <c:v>0.3152620617327071</c:v>
                </c:pt>
                <c:pt idx="39">
                  <c:v>0.35365430300449224</c:v>
                </c:pt>
                <c:pt idx="40">
                  <c:v>0.39041306035624235</c:v>
                </c:pt>
                <c:pt idx="41">
                  <c:v>0.42413868363269658</c:v>
                </c:pt>
                <c:pt idx="42">
                  <c:v>0.45345018818863375</c:v>
                </c:pt>
                <c:pt idx="43">
                  <c:v>0.47707805991196078</c:v>
                </c:pt>
                <c:pt idx="44">
                  <c:v>0.4939550822360208</c:v>
                </c:pt>
                <c:pt idx="45">
                  <c:v>0.50329617241985747</c:v>
                </c:pt>
                <c:pt idx="46">
                  <c:v>0.50465891854034228</c:v>
                </c:pt>
                <c:pt idx="47">
                  <c:v>0.49797831744393772</c:v>
                </c:pt>
                <c:pt idx="48">
                  <c:v>0.48357191512114628</c:v>
                </c:pt>
                <c:pt idx="49">
                  <c:v>0.46211478341738377</c:v>
                </c:pt>
                <c:pt idx="50">
                  <c:v>0.43458707917471012</c:v>
                </c:pt>
                <c:pt idx="51">
                  <c:v>0.40219985865122992</c:v>
                </c:pt>
                <c:pt idx="52">
                  <c:v>0.36630696200283225</c:v>
                </c:pt>
                <c:pt idx="53">
                  <c:v>0.32831187235098236</c:v>
                </c:pt>
                <c:pt idx="54">
                  <c:v>0.28957839624743498</c:v>
                </c:pt>
                <c:pt idx="55">
                  <c:v>0.25135289110735892</c:v>
                </c:pt>
                <c:pt idx="56">
                  <c:v>0.21470381779618297</c:v>
                </c:pt>
                <c:pt idx="57">
                  <c:v>0.18048196252291532</c:v>
                </c:pt>
                <c:pt idx="58">
                  <c:v>0.14930212815663735</c:v>
                </c:pt>
                <c:pt idx="59">
                  <c:v>0.12154478993352653</c:v>
                </c:pt>
                <c:pt idx="60">
                  <c:v>9.7374412906155602E-2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80-491C-9CE6-E83C9F894A73}"/>
            </c:ext>
          </c:extLst>
        </c:ser>
        <c:ser>
          <c:idx val="2"/>
          <c:order val="2"/>
          <c:tx>
            <c:strRef>
              <c:f>C0Cs!$CT$2</c:f>
              <c:strCache>
                <c:ptCount val="1"/>
                <c:pt idx="0">
                  <c:v>k' C0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C0Cs!$CQ$6:$CQ$66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C0Cs!$CT$6:$CT$66</c:f>
              <c:numCache>
                <c:formatCode>General</c:formatCode>
                <c:ptCount val="61"/>
                <c:pt idx="0">
                  <c:v>2.0000000000009863</c:v>
                </c:pt>
                <c:pt idx="1">
                  <c:v>2.0000000000068971</c:v>
                </c:pt>
                <c:pt idx="2">
                  <c:v>2.0000000000449378</c:v>
                </c:pt>
                <c:pt idx="3">
                  <c:v>2.0000000002727814</c:v>
                </c:pt>
                <c:pt idx="4">
                  <c:v>2.00000000154269</c:v>
                </c:pt>
                <c:pt idx="5">
                  <c:v>2.000000008128374</c:v>
                </c:pt>
                <c:pt idx="6">
                  <c:v>2.0000000399015931</c:v>
                </c:pt>
                <c:pt idx="7">
                  <c:v>2.0000001824896749</c:v>
                </c:pt>
                <c:pt idx="8">
                  <c:v>2.0000007775849618</c:v>
                </c:pt>
                <c:pt idx="9">
                  <c:v>2.000003086874</c:v>
                </c:pt>
                <c:pt idx="10">
                  <c:v>2.0000114169854446</c:v>
                </c:pt>
                <c:pt idx="11">
                  <c:v>2.0000393410083022</c:v>
                </c:pt>
                <c:pt idx="12">
                  <c:v>2.0001262993223703</c:v>
                </c:pt>
                <c:pt idx="13">
                  <c:v>2.0003777618085437</c:v>
                </c:pt>
                <c:pt idx="14">
                  <c:v>2.0010526804853654</c:v>
                </c:pt>
                <c:pt idx="15">
                  <c:v>2.0027329808573771</c:v>
                </c:pt>
                <c:pt idx="16">
                  <c:v>2.006610557727841</c:v>
                </c:pt>
                <c:pt idx="17">
                  <c:v>2.0148970785973854</c:v>
                </c:pt>
                <c:pt idx="18">
                  <c:v>2.031277037494744</c:v>
                </c:pt>
                <c:pt idx="19">
                  <c:v>2.0611803006683833</c:v>
                </c:pt>
                <c:pt idx="20">
                  <c:v>2.1114959514305234</c:v>
                </c:pt>
                <c:pt idx="21">
                  <c:v>2.1893076146955375</c:v>
                </c:pt>
                <c:pt idx="22">
                  <c:v>2.299459822940888</c:v>
                </c:pt>
                <c:pt idx="23">
                  <c:v>2.4413372029011828</c:v>
                </c:pt>
                <c:pt idx="24">
                  <c:v>2.6059879768472607</c:v>
                </c:pt>
                <c:pt idx="25">
                  <c:v>2.7752092953632221</c:v>
                </c:pt>
                <c:pt idx="26">
                  <c:v>2.9239222590879343</c:v>
                </c:pt>
                <c:pt idx="27">
                  <c:v>3.0259197334364174</c:v>
                </c:pt>
                <c:pt idx="28">
                  <c:v>3.0613358432201001</c:v>
                </c:pt>
                <c:pt idx="29">
                  <c:v>3.0229485095286748</c:v>
                </c:pt>
                <c:pt idx="30">
                  <c:v>2.918578362132437</c:v>
                </c:pt>
                <c:pt idx="31">
                  <c:v>2.768493401377496</c:v>
                </c:pt>
                <c:pt idx="32">
                  <c:v>2.5989982715492146</c:v>
                </c:pt>
                <c:pt idx="33">
                  <c:v>2.4349832063596604</c:v>
                </c:pt>
                <c:pt idx="34">
                  <c:v>2.2942936598177286</c:v>
                </c:pt>
                <c:pt idx="35">
                  <c:v>2.1855029481592547</c:v>
                </c:pt>
                <c:pt idx="36">
                  <c:v>2.1089387081942821</c:v>
                </c:pt>
                <c:pt idx="37">
                  <c:v>2.0596039608241017</c:v>
                </c:pt>
                <c:pt idx="38">
                  <c:v>2.0303829203248154</c:v>
                </c:pt>
                <c:pt idx="39">
                  <c:v>2.0144293046715473</c:v>
                </c:pt>
                <c:pt idx="40">
                  <c:v>2.0063844396628632</c:v>
                </c:pt>
                <c:pt idx="41">
                  <c:v>2.0026318532214384</c:v>
                </c:pt>
                <c:pt idx="42">
                  <c:v>2.0010107925624583</c:v>
                </c:pt>
                <c:pt idx="43">
                  <c:v>2.0003616795094272</c:v>
                </c:pt>
                <c:pt idx="44">
                  <c:v>2.0001205722226598</c:v>
                </c:pt>
                <c:pt idx="45">
                  <c:v>2.0000374483013923</c:v>
                </c:pt>
                <c:pt idx="46">
                  <c:v>2.0000108362364926</c:v>
                </c:pt>
                <c:pt idx="47">
                  <c:v>2.0000029213683539</c:v>
                </c:pt>
                <c:pt idx="48">
                  <c:v>2.0000007337627501</c:v>
                </c:pt>
                <c:pt idx="49">
                  <c:v>2.0000001717064051</c:v>
                </c:pt>
                <c:pt idx="50">
                  <c:v>2.0000000374350853</c:v>
                </c:pt>
                <c:pt idx="51">
                  <c:v>2.0000000076038345</c:v>
                </c:pt>
                <c:pt idx="52">
                  <c:v>2.0000000014389574</c:v>
                </c:pt>
                <c:pt idx="53">
                  <c:v>2.0000000002537024</c:v>
                </c:pt>
                <c:pt idx="54">
                  <c:v>2.0000000000416738</c:v>
                </c:pt>
                <c:pt idx="55">
                  <c:v>2.0000000000063776</c:v>
                </c:pt>
                <c:pt idx="56">
                  <c:v>2.0000000000009095</c:v>
                </c:pt>
                <c:pt idx="57">
                  <c:v>2.0000000000001208</c:v>
                </c:pt>
                <c:pt idx="58">
                  <c:v>2.0000000000000151</c:v>
                </c:pt>
                <c:pt idx="59">
                  <c:v>2.0000000000000018</c:v>
                </c:pt>
                <c:pt idx="6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80-491C-9CE6-E83C9F894A73}"/>
            </c:ext>
          </c:extLst>
        </c:ser>
        <c:ser>
          <c:idx val="3"/>
          <c:order val="3"/>
          <c:tx>
            <c:strRef>
              <c:f>C0Cs!$CU$2</c:f>
              <c:strCache>
                <c:ptCount val="1"/>
                <c:pt idx="0">
                  <c:v>k' Cs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C0Cs!$CQ$6:$CQ$66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C0Cs!$CU$6:$CU$66</c:f>
              <c:numCache>
                <c:formatCode>General</c:formatCode>
                <c:ptCount val="61"/>
                <c:pt idx="0">
                  <c:v>2.0000000000292264</c:v>
                </c:pt>
                <c:pt idx="1">
                  <c:v>2.000000000135179</c:v>
                </c:pt>
                <c:pt idx="2">
                  <c:v>2.0000000005946359</c:v>
                </c:pt>
                <c:pt idx="3">
                  <c:v>2.0000000024877105</c:v>
                </c:pt>
                <c:pt idx="4">
                  <c:v>2.0000000098981801</c:v>
                </c:pt>
                <c:pt idx="5">
                  <c:v>2.0000000374556905</c:v>
                </c:pt>
                <c:pt idx="6">
                  <c:v>2.0000001347991621</c:v>
                </c:pt>
                <c:pt idx="7">
                  <c:v>2.0000004613850346</c:v>
                </c:pt>
                <c:pt idx="8">
                  <c:v>2.0000015019197916</c:v>
                </c:pt>
                <c:pt idx="9">
                  <c:v>2.0000046498281474</c:v>
                </c:pt>
                <c:pt idx="10">
                  <c:v>2.0000136909627675</c:v>
                </c:pt>
                <c:pt idx="11">
                  <c:v>2.0000383387546905</c:v>
                </c:pt>
                <c:pt idx="12">
                  <c:v>2.0001021054539039</c:v>
                </c:pt>
                <c:pt idx="13">
                  <c:v>2.0002586227967725</c:v>
                </c:pt>
                <c:pt idx="14">
                  <c:v>2.0006230050872098</c:v>
                </c:pt>
                <c:pt idx="15">
                  <c:v>2.0014273264289408</c:v>
                </c:pt>
                <c:pt idx="16">
                  <c:v>2.0031100111593232</c:v>
                </c:pt>
                <c:pt idx="17">
                  <c:v>2.0064447713326161</c:v>
                </c:pt>
                <c:pt idx="18">
                  <c:v>2.0127016459686509</c:v>
                </c:pt>
                <c:pt idx="19">
                  <c:v>2.0238078084554578</c:v>
                </c:pt>
                <c:pt idx="20">
                  <c:v>2.0424410149736567</c:v>
                </c:pt>
                <c:pt idx="21">
                  <c:v>2.0719546770987236</c:v>
                </c:pt>
                <c:pt idx="22">
                  <c:v>2.116021699070703</c:v>
                </c:pt>
                <c:pt idx="23">
                  <c:v>2.1779206428959506</c:v>
                </c:pt>
                <c:pt idx="24">
                  <c:v>2.2594898545591593</c:v>
                </c:pt>
                <c:pt idx="25">
                  <c:v>2.3599327391841043</c:v>
                </c:pt>
                <c:pt idx="26">
                  <c:v>2.4748202647592694</c:v>
                </c:pt>
                <c:pt idx="27">
                  <c:v>2.5957225853524712</c:v>
                </c:pt>
                <c:pt idx="28">
                  <c:v>2.7108301019047669</c:v>
                </c:pt>
                <c:pt idx="29">
                  <c:v>2.8066673543092122</c:v>
                </c:pt>
                <c:pt idx="30">
                  <c:v>2.8706228826445352</c:v>
                </c:pt>
                <c:pt idx="31">
                  <c:v>2.8936605754207783</c:v>
                </c:pt>
                <c:pt idx="32">
                  <c:v>2.8724128344789754</c:v>
                </c:pt>
                <c:pt idx="33">
                  <c:v>2.8099876897236742</c:v>
                </c:pt>
                <c:pt idx="34">
                  <c:v>2.7152234024255057</c:v>
                </c:pt>
                <c:pt idx="35">
                  <c:v>2.6006368033923826</c:v>
                </c:pt>
                <c:pt idx="36">
                  <c:v>2.4797213954841548</c:v>
                </c:pt>
                <c:pt idx="37">
                  <c:v>2.3643956320546891</c:v>
                </c:pt>
                <c:pt idx="38">
                  <c:v>2.2632474434158061</c:v>
                </c:pt>
                <c:pt idx="39">
                  <c:v>2.1808681461416386</c:v>
                </c:pt>
                <c:pt idx="40">
                  <c:v>2.1181862458613128</c:v>
                </c:pt>
                <c:pt idx="41">
                  <c:v>2.0734477867780092</c:v>
                </c:pt>
                <c:pt idx="42">
                  <c:v>2.0434107625795139</c:v>
                </c:pt>
                <c:pt idx="43">
                  <c:v>2.0244018662179455</c:v>
                </c:pt>
                <c:pt idx="44">
                  <c:v>2.0130453457514297</c:v>
                </c:pt>
                <c:pt idx="45">
                  <c:v>2.0066327720452053</c:v>
                </c:pt>
                <c:pt idx="46">
                  <c:v>2.0032073139623399</c:v>
                </c:pt>
                <c:pt idx="47">
                  <c:v>2.001475009452431</c:v>
                </c:pt>
                <c:pt idx="48">
                  <c:v>2.0006451416156041</c:v>
                </c:pt>
                <c:pt idx="49">
                  <c:v>2.000268362752061</c:v>
                </c:pt>
                <c:pt idx="50">
                  <c:v>2.0001061686614268</c:v>
                </c:pt>
                <c:pt idx="51">
                  <c:v>2.0000399463747685</c:v>
                </c:pt>
                <c:pt idx="52">
                  <c:v>2.0000142943801573</c:v>
                </c:pt>
                <c:pt idx="53">
                  <c:v>2.0000048647464426</c:v>
                </c:pt>
                <c:pt idx="54">
                  <c:v>2.0000015745701565</c:v>
                </c:pt>
                <c:pt idx="55">
                  <c:v>2.0000004846974644</c:v>
                </c:pt>
                <c:pt idx="56">
                  <c:v>2.0000001419013103</c:v>
                </c:pt>
                <c:pt idx="57">
                  <c:v>2.0000000395101782</c:v>
                </c:pt>
                <c:pt idx="58">
                  <c:v>2.000000010462573</c:v>
                </c:pt>
                <c:pt idx="59">
                  <c:v>2.0000000026349656</c:v>
                </c:pt>
                <c:pt idx="60">
                  <c:v>2.0000000006311294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880-491C-9CE6-E83C9F894A73}"/>
            </c:ext>
          </c:extLst>
        </c:ser>
        <c:ser>
          <c:idx val="4"/>
          <c:order val="4"/>
          <c:tx>
            <c:v>id</c:v>
          </c:tx>
          <c:spPr>
            <a:ln w="19050" cap="rnd">
              <a:solidFill>
                <a:schemeClr val="tx1">
                  <a:alpha val="2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xVal>
          <c:yVal>
            <c:numLit>
              <c:formatCode>General</c:formatCode>
              <c:ptCount val="2"/>
              <c:pt idx="0">
                <c:v>-100</c:v>
              </c:pt>
              <c:pt idx="1">
                <c:v>100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E880-491C-9CE6-E83C9F894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210936"/>
        <c:axId val="-2119203912"/>
      </c:scatterChart>
      <c:valAx>
        <c:axId val="-2119210936"/>
        <c:scaling>
          <c:orientation val="minMax"/>
          <c:max val="3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dependency of rate</a:t>
                </a:r>
                <a:r>
                  <a:rPr lang="en-US" sz="1400" baseline="0"/>
                  <a:t> constant</a:t>
                </a:r>
                <a:endParaRPr lang="en-US" sz="1400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203912"/>
        <c:crossesAt val="-100"/>
        <c:crossBetween val="midCat"/>
        <c:majorUnit val="1"/>
      </c:valAx>
      <c:valAx>
        <c:axId val="-2119203912"/>
        <c:scaling>
          <c:orientation val="minMax"/>
          <c:max val="4"/>
          <c:min val="-0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210936"/>
        <c:crossesAt val="-100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-2119572120"/>
        <c:axId val="-2119523208"/>
      </c:scatterChart>
      <c:valAx>
        <c:axId val="-2119572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523208"/>
        <c:crosses val="autoZero"/>
        <c:crossBetween val="midCat"/>
      </c:valAx>
      <c:valAx>
        <c:axId val="-211952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572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425824</xdr:colOff>
      <xdr:row>1</xdr:row>
      <xdr:rowOff>0</xdr:rowOff>
    </xdr:from>
    <xdr:to>
      <xdr:col>11</xdr:col>
      <xdr:colOff>67235</xdr:colOff>
      <xdr:row>20</xdr:row>
      <xdr:rowOff>100014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6C29A4-66C6-4DAB-8507-2CCCECF6D0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257736</xdr:colOff>
      <xdr:row>0</xdr:row>
      <xdr:rowOff>44823</xdr:rowOff>
    </xdr:from>
    <xdr:to>
      <xdr:col>22</xdr:col>
      <xdr:colOff>56030</xdr:colOff>
      <xdr:row>20</xdr:row>
      <xdr:rowOff>11205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66E9DE-20CC-4E39-B150-CB4FEB34B1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47</xdr:col>
      <xdr:colOff>156883</xdr:colOff>
      <xdr:row>0</xdr:row>
      <xdr:rowOff>145677</xdr:rowOff>
    </xdr:from>
    <xdr:to>
      <xdr:col>53</xdr:col>
      <xdr:colOff>246530</xdr:colOff>
      <xdr:row>20</xdr:row>
      <xdr:rowOff>56030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423DCA-28DB-471C-91C2-1DA3F7442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78442</xdr:colOff>
      <xdr:row>53</xdr:row>
      <xdr:rowOff>78442</xdr:rowOff>
    </xdr:from>
    <xdr:to>
      <xdr:col>38</xdr:col>
      <xdr:colOff>605207</xdr:colOff>
      <xdr:row>68</xdr:row>
      <xdr:rowOff>100942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43C878-9F3E-4DE4-BF95-1BA57E431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145676</xdr:colOff>
      <xdr:row>1</xdr:row>
      <xdr:rowOff>123265</xdr:rowOff>
    </xdr:from>
    <xdr:to>
      <xdr:col>36</xdr:col>
      <xdr:colOff>392205</xdr:colOff>
      <xdr:row>21</xdr:row>
      <xdr:rowOff>32779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C738921-1B0C-41A2-B51C-8A7410C9AD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549089</xdr:colOff>
      <xdr:row>1</xdr:row>
      <xdr:rowOff>78441</xdr:rowOff>
    </xdr:from>
    <xdr:to>
      <xdr:col>47</xdr:col>
      <xdr:colOff>347383</xdr:colOff>
      <xdr:row>21</xdr:row>
      <xdr:rowOff>44823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C2AC961-F467-48B1-8ACB-20FC756C67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53</xdr:col>
      <xdr:colOff>526678</xdr:colOff>
      <xdr:row>1</xdr:row>
      <xdr:rowOff>11206</xdr:rowOff>
    </xdr:from>
    <xdr:to>
      <xdr:col>59</xdr:col>
      <xdr:colOff>156884</xdr:colOff>
      <xdr:row>20</xdr:row>
      <xdr:rowOff>112059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DE81C5C-A336-4B4F-AD8D-53A6B6DA9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60</xdr:col>
      <xdr:colOff>33618</xdr:colOff>
      <xdr:row>2</xdr:row>
      <xdr:rowOff>123264</xdr:rowOff>
    </xdr:from>
    <xdr:to>
      <xdr:col>65</xdr:col>
      <xdr:colOff>268942</xdr:colOff>
      <xdr:row>22</xdr:row>
      <xdr:rowOff>33617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B8E3F44-1951-425F-B79F-F689329242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67</xdr:col>
      <xdr:colOff>0</xdr:colOff>
      <xdr:row>2</xdr:row>
      <xdr:rowOff>0</xdr:rowOff>
    </xdr:from>
    <xdr:to>
      <xdr:col>72</xdr:col>
      <xdr:colOff>235323</xdr:colOff>
      <xdr:row>21</xdr:row>
      <xdr:rowOff>100853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1AB1D0B-EE53-4047-9154-47EF54C8FB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62</xdr:col>
      <xdr:colOff>89648</xdr:colOff>
      <xdr:row>23</xdr:row>
      <xdr:rowOff>23530</xdr:rowOff>
    </xdr:from>
    <xdr:to>
      <xdr:col>66</xdr:col>
      <xdr:colOff>549177</xdr:colOff>
      <xdr:row>38</xdr:row>
      <xdr:rowOff>46030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1D8185D-A075-459F-9D19-18389D6B3A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0.23383</cdr:x>
      <cdr:y>0.08323</cdr:y>
    </cdr:from>
    <cdr:to>
      <cdr:x>0.5199</cdr:x>
      <cdr:y>0.17286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95350" y="309563"/>
          <a:ext cx="109537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0.22388</cdr:x>
      <cdr:y>0.08579</cdr:y>
    </cdr:from>
    <cdr:to>
      <cdr:x>0.4602</cdr:x>
      <cdr:y>0.15237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57250" y="319088"/>
          <a:ext cx="9048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0.23383</cdr:x>
      <cdr:y>0.08323</cdr:y>
    </cdr:from>
    <cdr:to>
      <cdr:x>0.5199</cdr:x>
      <cdr:y>0.17286</cdr:y>
    </cdr:to>
    <cdr:sp macro="" textlink="">
      <cdr:nvSpPr>
        <cdr:cNvPr id="5" name="TextBox 2"/>
        <cdr:cNvSpPr txBox="1"/>
      </cdr:nvSpPr>
      <cdr:spPr>
        <a:xfrm xmlns:a="http://schemas.openxmlformats.org/drawingml/2006/main">
          <a:off x="895350" y="309563"/>
          <a:ext cx="109537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0.22388</cdr:x>
      <cdr:y>0.08579</cdr:y>
    </cdr:from>
    <cdr:to>
      <cdr:x>0.4602</cdr:x>
      <cdr:y>0.15237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857250" y="319088"/>
          <a:ext cx="9048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0.23383</cdr:x>
      <cdr:y>0.08323</cdr:y>
    </cdr:from>
    <cdr:to>
      <cdr:x>0.5199</cdr:x>
      <cdr:y>0.17286</cdr:y>
    </cdr:to>
    <cdr:sp macro="" textlink="">
      <cdr:nvSpPr>
        <cdr:cNvPr id="7" name="TextBox 2"/>
        <cdr:cNvSpPr txBox="1"/>
      </cdr:nvSpPr>
      <cdr:spPr>
        <a:xfrm xmlns:a="http://schemas.openxmlformats.org/drawingml/2006/main">
          <a:off x="895350" y="309563"/>
          <a:ext cx="109537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0.22388</cdr:x>
      <cdr:y>0.08579</cdr:y>
    </cdr:from>
    <cdr:to>
      <cdr:x>0.4602</cdr:x>
      <cdr:y>0.15237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857250" y="319088"/>
          <a:ext cx="9048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0.23383</cdr:x>
      <cdr:y>0.08323</cdr:y>
    </cdr:from>
    <cdr:to>
      <cdr:x>0.5199</cdr:x>
      <cdr:y>0.17286</cdr:y>
    </cdr:to>
    <cdr:sp macro="" textlink="">
      <cdr:nvSpPr>
        <cdr:cNvPr id="9" name="TextBox 2"/>
        <cdr:cNvSpPr txBox="1"/>
      </cdr:nvSpPr>
      <cdr:spPr>
        <a:xfrm xmlns:a="http://schemas.openxmlformats.org/drawingml/2006/main">
          <a:off x="895350" y="309563"/>
          <a:ext cx="109537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0.38434</cdr:x>
      <cdr:y>0.1248</cdr:y>
    </cdr:from>
    <cdr:to>
      <cdr:x>0.43433</cdr:x>
      <cdr:y>0.9576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3996941A-801D-4DF8-9D45-6DCC11A91EE3}"/>
            </a:ext>
          </a:extLst>
        </cdr:cNvPr>
        <cdr:cNvSpPr txBox="1"/>
      </cdr:nvSpPr>
      <cdr:spPr>
        <a:xfrm xmlns:a="http://schemas.openxmlformats.org/drawingml/2006/main" rot="18889672">
          <a:off x="1020933" y="1856116"/>
          <a:ext cx="3097600" cy="3137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GB" sz="1100">
              <a:solidFill>
                <a:schemeClr val="tx1"/>
              </a:solidFill>
            </a:rPr>
            <a:t>1:1 gradient indicates first-order dependence</a:t>
          </a:r>
        </a:p>
      </cdr:txBody>
    </cdr:sp>
  </cdr:relSizeAnchor>
  <cdr:relSizeAnchor xmlns:cdr="http://schemas.openxmlformats.org/drawingml/2006/chartDrawing">
    <cdr:from>
      <cdr:x>0.59556</cdr:x>
      <cdr:y>0.08481</cdr:y>
    </cdr:from>
    <cdr:to>
      <cdr:x>0.64538</cdr:x>
      <cdr:y>0.36499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588BBBB6-9D2C-488C-8DA9-1A3F8F41E6C7}"/>
            </a:ext>
          </a:extLst>
        </cdr:cNvPr>
        <cdr:cNvSpPr txBox="1"/>
      </cdr:nvSpPr>
      <cdr:spPr>
        <a:xfrm xmlns:a="http://schemas.openxmlformats.org/drawingml/2006/main" rot="16200000">
          <a:off x="3416705" y="678406"/>
          <a:ext cx="1042147" cy="3162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GB" sz="1200">
              <a:solidFill>
                <a:srgbClr val="FF0000"/>
              </a:solidFill>
            </a:rPr>
            <a:t>oxyanions</a:t>
          </a:r>
        </a:p>
      </cdr:txBody>
    </cdr:sp>
  </cdr:relSizeAnchor>
  <cdr:relSizeAnchor xmlns:cdr="http://schemas.openxmlformats.org/drawingml/2006/chartDrawing">
    <cdr:from>
      <cdr:x>0.59481</cdr:x>
      <cdr:y>0.3901</cdr:y>
    </cdr:from>
    <cdr:to>
      <cdr:x>0.65072</cdr:x>
      <cdr:y>0.68554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2D584C60-A6A7-43D5-AA81-81AD755C2732}"/>
            </a:ext>
          </a:extLst>
        </cdr:cNvPr>
        <cdr:cNvSpPr txBox="1"/>
      </cdr:nvSpPr>
      <cdr:spPr>
        <a:xfrm xmlns:a="http://schemas.openxmlformats.org/drawingml/2006/main" rot="16200000">
          <a:off x="3360127" y="1824938"/>
          <a:ext cx="1098893" cy="3509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>
              <a:solidFill>
                <a:srgbClr val="0070C0"/>
              </a:solidFill>
            </a:rPr>
            <a:t>metal cations</a:t>
          </a:r>
        </a:p>
      </cdr:txBody>
    </cdr:sp>
  </cdr:relSizeAnchor>
  <cdr:relSizeAnchor xmlns:cdr="http://schemas.openxmlformats.org/drawingml/2006/chartDrawing">
    <cdr:from>
      <cdr:x>0.59555</cdr:x>
      <cdr:y>0.64246</cdr:y>
    </cdr:from>
    <cdr:to>
      <cdr:x>0.64538</cdr:x>
      <cdr:y>0.86269</cdr:y>
    </cdr:to>
    <cdr:sp macro="" textlink="">
      <cdr:nvSpPr>
        <cdr:cNvPr id="14" name="TextBox 1">
          <a:extLst xmlns:a="http://schemas.openxmlformats.org/drawingml/2006/main">
            <a:ext uri="{FF2B5EF4-FFF2-40B4-BE49-F238E27FC236}">
              <a16:creationId xmlns:a16="http://schemas.microsoft.com/office/drawing/2014/main" id="{BB8D2EF3-CBB2-42E5-B2D4-E30E4A32BF75}"/>
            </a:ext>
          </a:extLst>
        </cdr:cNvPr>
        <cdr:cNvSpPr txBox="1"/>
      </cdr:nvSpPr>
      <cdr:spPr>
        <a:xfrm xmlns:a="http://schemas.openxmlformats.org/drawingml/2006/main" rot="16200000">
          <a:off x="3485591" y="2642818"/>
          <a:ext cx="819148" cy="3128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>
              <a:solidFill>
                <a:srgbClr val="B88C00"/>
              </a:solidFill>
            </a:rPr>
            <a:t>organic</a:t>
          </a:r>
        </a:p>
        <a:p xmlns:a="http://schemas.openxmlformats.org/drawingml/2006/main">
          <a:pPr algn="ctr"/>
          <a:r>
            <a:rPr lang="en-GB" sz="1200">
              <a:solidFill>
                <a:srgbClr val="B88C00"/>
              </a:solidFill>
            </a:rPr>
            <a:t> dyes</a:t>
          </a:r>
        </a:p>
      </cdr:txBody>
    </cdr:sp>
  </cdr:relSizeAnchor>
  <cdr:relSizeAnchor xmlns:cdr="http://schemas.openxmlformats.org/drawingml/2006/chartDrawing">
    <cdr:from>
      <cdr:x>0.64201</cdr:x>
      <cdr:y>0.04097</cdr:y>
    </cdr:from>
    <cdr:to>
      <cdr:x>0.67435</cdr:x>
      <cdr:y>0.42058</cdr:y>
    </cdr:to>
    <cdr:sp macro="" textlink="">
      <cdr:nvSpPr>
        <cdr:cNvPr id="15" name="Left Brace 14">
          <a:extLst xmlns:a="http://schemas.openxmlformats.org/drawingml/2006/main">
            <a:ext uri="{FF2B5EF4-FFF2-40B4-BE49-F238E27FC236}">
              <a16:creationId xmlns:a16="http://schemas.microsoft.com/office/drawing/2014/main" id="{9811D3BD-ACFE-49F0-AD8F-8ABFBB4921B8}"/>
            </a:ext>
          </a:extLst>
        </cdr:cNvPr>
        <cdr:cNvSpPr/>
      </cdr:nvSpPr>
      <cdr:spPr>
        <a:xfrm xmlns:a="http://schemas.openxmlformats.org/drawingml/2006/main">
          <a:off x="4074460" y="152399"/>
          <a:ext cx="205259" cy="1411941"/>
        </a:xfrm>
        <a:prstGeom xmlns:a="http://schemas.openxmlformats.org/drawingml/2006/main" prst="leftBrace">
          <a:avLst/>
        </a:prstGeom>
        <a:ln xmlns:a="http://schemas.openxmlformats.org/drawingml/2006/main" w="127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0.64286</cdr:x>
      <cdr:y>0.449</cdr:y>
    </cdr:from>
    <cdr:to>
      <cdr:x>0.68008</cdr:x>
      <cdr:y>0.65376</cdr:y>
    </cdr:to>
    <cdr:sp macro="" textlink="">
      <cdr:nvSpPr>
        <cdr:cNvPr id="16" name="Left Brace 15">
          <a:extLst xmlns:a="http://schemas.openxmlformats.org/drawingml/2006/main">
            <a:ext uri="{FF2B5EF4-FFF2-40B4-BE49-F238E27FC236}">
              <a16:creationId xmlns:a16="http://schemas.microsoft.com/office/drawing/2014/main" id="{7974C60F-C132-488F-9CC8-400EBCD609FD}"/>
            </a:ext>
          </a:extLst>
        </cdr:cNvPr>
        <cdr:cNvSpPr/>
      </cdr:nvSpPr>
      <cdr:spPr>
        <a:xfrm xmlns:a="http://schemas.openxmlformats.org/drawingml/2006/main">
          <a:off x="4035756" y="1670062"/>
          <a:ext cx="233685" cy="761614"/>
        </a:xfrm>
        <a:prstGeom xmlns:a="http://schemas.openxmlformats.org/drawingml/2006/main" prst="leftBrace">
          <a:avLst/>
        </a:prstGeom>
        <a:ln xmlns:a="http://schemas.openxmlformats.org/drawingml/2006/main" w="12700">
          <a:solidFill>
            <a:srgbClr val="0070C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0.22388</cdr:x>
      <cdr:y>0.08579</cdr:y>
    </cdr:from>
    <cdr:to>
      <cdr:x>0.4602</cdr:x>
      <cdr:y>0.15237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57250" y="319088"/>
          <a:ext cx="9048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0.23383</cdr:x>
      <cdr:y>0.08323</cdr:y>
    </cdr:from>
    <cdr:to>
      <cdr:x>0.5199</cdr:x>
      <cdr:y>0.17286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95350" y="309563"/>
          <a:ext cx="109537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0.22388</cdr:x>
      <cdr:y>0.08579</cdr:y>
    </cdr:from>
    <cdr:to>
      <cdr:x>0.4602</cdr:x>
      <cdr:y>0.15237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E5FF2F53-B61C-4158-A7A7-3F26488F7E8F}"/>
            </a:ext>
          </a:extLst>
        </cdr:cNvPr>
        <cdr:cNvSpPr txBox="1"/>
      </cdr:nvSpPr>
      <cdr:spPr>
        <a:xfrm xmlns:a="http://schemas.openxmlformats.org/drawingml/2006/main">
          <a:off x="857250" y="319088"/>
          <a:ext cx="9048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0.23383</cdr:x>
      <cdr:y>0.08323</cdr:y>
    </cdr:from>
    <cdr:to>
      <cdr:x>0.5199</cdr:x>
      <cdr:y>0.17286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EFACDC2-F789-475A-8936-EB34DE639A75}"/>
            </a:ext>
          </a:extLst>
        </cdr:cNvPr>
        <cdr:cNvSpPr txBox="1"/>
      </cdr:nvSpPr>
      <cdr:spPr>
        <a:xfrm xmlns:a="http://schemas.openxmlformats.org/drawingml/2006/main">
          <a:off x="895350" y="309563"/>
          <a:ext cx="109537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0.22388</cdr:x>
      <cdr:y>0.08579</cdr:y>
    </cdr:from>
    <cdr:to>
      <cdr:x>0.4602</cdr:x>
      <cdr:y>0.15237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75F818B1-2EBB-4A64-B2BC-8148309C790C}"/>
            </a:ext>
          </a:extLst>
        </cdr:cNvPr>
        <cdr:cNvSpPr txBox="1"/>
      </cdr:nvSpPr>
      <cdr:spPr>
        <a:xfrm xmlns:a="http://schemas.openxmlformats.org/drawingml/2006/main">
          <a:off x="857250" y="319088"/>
          <a:ext cx="9048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0.23383</cdr:x>
      <cdr:y>0.08323</cdr:y>
    </cdr:from>
    <cdr:to>
      <cdr:x>0.5199</cdr:x>
      <cdr:y>0.17286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C9F0A7FB-94C8-4DE6-8B4B-092235843F2D}"/>
            </a:ext>
          </a:extLst>
        </cdr:cNvPr>
        <cdr:cNvSpPr txBox="1"/>
      </cdr:nvSpPr>
      <cdr:spPr>
        <a:xfrm xmlns:a="http://schemas.openxmlformats.org/drawingml/2006/main">
          <a:off x="895350" y="309563"/>
          <a:ext cx="109537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0.22388</cdr:x>
      <cdr:y>0.08579</cdr:y>
    </cdr:from>
    <cdr:to>
      <cdr:x>0.4602</cdr:x>
      <cdr:y>0.15237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16FA73E8-C85E-46FE-9B32-411E415F947E}"/>
            </a:ext>
          </a:extLst>
        </cdr:cNvPr>
        <cdr:cNvSpPr txBox="1"/>
      </cdr:nvSpPr>
      <cdr:spPr>
        <a:xfrm xmlns:a="http://schemas.openxmlformats.org/drawingml/2006/main">
          <a:off x="857250" y="319088"/>
          <a:ext cx="9048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0.23383</cdr:x>
      <cdr:y>0.08323</cdr:y>
    </cdr:from>
    <cdr:to>
      <cdr:x>0.5199</cdr:x>
      <cdr:y>0.17286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FBD0354-3A24-4974-BDC6-F1D37BED903E}"/>
            </a:ext>
          </a:extLst>
        </cdr:cNvPr>
        <cdr:cNvSpPr txBox="1"/>
      </cdr:nvSpPr>
      <cdr:spPr>
        <a:xfrm xmlns:a="http://schemas.openxmlformats.org/drawingml/2006/main">
          <a:off x="895350" y="309563"/>
          <a:ext cx="109537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0.22388</cdr:x>
      <cdr:y>0.08579</cdr:y>
    </cdr:from>
    <cdr:to>
      <cdr:x>0.4602</cdr:x>
      <cdr:y>0.15237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4718EDEB-D8DC-4DCB-8A21-C25E62352F5B}"/>
            </a:ext>
          </a:extLst>
        </cdr:cNvPr>
        <cdr:cNvSpPr txBox="1"/>
      </cdr:nvSpPr>
      <cdr:spPr>
        <a:xfrm xmlns:a="http://schemas.openxmlformats.org/drawingml/2006/main">
          <a:off x="857250" y="319088"/>
          <a:ext cx="9048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0.23383</cdr:x>
      <cdr:y>0.08323</cdr:y>
    </cdr:from>
    <cdr:to>
      <cdr:x>0.5199</cdr:x>
      <cdr:y>0.17286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FD24796C-8EAA-43CA-8A2B-DD5C2F127E4D}"/>
            </a:ext>
          </a:extLst>
        </cdr:cNvPr>
        <cdr:cNvSpPr txBox="1"/>
      </cdr:nvSpPr>
      <cdr:spPr>
        <a:xfrm xmlns:a="http://schemas.openxmlformats.org/drawingml/2006/main">
          <a:off x="895350" y="309563"/>
          <a:ext cx="109537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0.61299</cdr:x>
      <cdr:y>0.0596</cdr:y>
    </cdr:from>
    <cdr:to>
      <cdr:x>0.66164</cdr:x>
      <cdr:y>0.33556</cdr:y>
    </cdr:to>
    <cdr:sp macro="" textlink="">
      <cdr:nvSpPr>
        <cdr:cNvPr id="14" name="TextBox 1">
          <a:extLst xmlns:a="http://schemas.openxmlformats.org/drawingml/2006/main">
            <a:ext uri="{FF2B5EF4-FFF2-40B4-BE49-F238E27FC236}">
              <a16:creationId xmlns:a16="http://schemas.microsoft.com/office/drawing/2014/main" id="{9159CF09-E18F-4055-ABA0-0DD4EB589F0A}"/>
            </a:ext>
          </a:extLst>
        </cdr:cNvPr>
        <cdr:cNvSpPr txBox="1"/>
      </cdr:nvSpPr>
      <cdr:spPr>
        <a:xfrm xmlns:a="http://schemas.openxmlformats.org/drawingml/2006/main" rot="16200000">
          <a:off x="3621088" y="588047"/>
          <a:ext cx="1042133" cy="3161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>
              <a:solidFill>
                <a:srgbClr val="FF0000"/>
              </a:solidFill>
            </a:rPr>
            <a:t>oxyanions</a:t>
          </a:r>
        </a:p>
      </cdr:txBody>
    </cdr:sp>
  </cdr:relSizeAnchor>
  <cdr:relSizeAnchor xmlns:cdr="http://schemas.openxmlformats.org/drawingml/2006/chartDrawing">
    <cdr:from>
      <cdr:x>0.59836</cdr:x>
      <cdr:y>0.33062</cdr:y>
    </cdr:from>
    <cdr:to>
      <cdr:x>0.67708</cdr:x>
      <cdr:y>0.62161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1D0B03FB-A888-4AE0-95E3-6D57DB7B51BF}"/>
            </a:ext>
          </a:extLst>
        </cdr:cNvPr>
        <cdr:cNvSpPr txBox="1"/>
      </cdr:nvSpPr>
      <cdr:spPr>
        <a:xfrm xmlns:a="http://schemas.openxmlformats.org/drawingml/2006/main" rot="16200000">
          <a:off x="3566784" y="1543918"/>
          <a:ext cx="1098889" cy="508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>
              <a:solidFill>
                <a:srgbClr val="0070C0"/>
              </a:solidFill>
            </a:rPr>
            <a:t>metal </a:t>
          </a:r>
        </a:p>
        <a:p xmlns:a="http://schemas.openxmlformats.org/drawingml/2006/main">
          <a:pPr algn="ctr"/>
          <a:r>
            <a:rPr lang="en-GB" sz="1200">
              <a:solidFill>
                <a:srgbClr val="0070C0"/>
              </a:solidFill>
            </a:rPr>
            <a:t>cations</a:t>
          </a:r>
        </a:p>
      </cdr:txBody>
    </cdr:sp>
  </cdr:relSizeAnchor>
  <cdr:relSizeAnchor xmlns:cdr="http://schemas.openxmlformats.org/drawingml/2006/chartDrawing">
    <cdr:from>
      <cdr:x>0.60257</cdr:x>
      <cdr:y>0.54654</cdr:y>
    </cdr:from>
    <cdr:to>
      <cdr:x>0.65123</cdr:x>
      <cdr:y>0.76346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B1E44B7F-12D6-4FE6-ADDD-F9B6DA363009}"/>
            </a:ext>
          </a:extLst>
        </cdr:cNvPr>
        <cdr:cNvSpPr txBox="1"/>
      </cdr:nvSpPr>
      <cdr:spPr>
        <a:xfrm xmlns:a="http://schemas.openxmlformats.org/drawingml/2006/main" rot="16200000">
          <a:off x="3636824" y="2316485"/>
          <a:ext cx="819173" cy="314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>
              <a:solidFill>
                <a:srgbClr val="B88C00"/>
              </a:solidFill>
            </a:rPr>
            <a:t>organic</a:t>
          </a:r>
        </a:p>
        <a:p xmlns:a="http://schemas.openxmlformats.org/drawingml/2006/main">
          <a:pPr algn="ctr"/>
          <a:r>
            <a:rPr lang="en-GB" sz="1200">
              <a:solidFill>
                <a:srgbClr val="B88C00"/>
              </a:solidFill>
            </a:rPr>
            <a:t> dyes</a:t>
          </a:r>
        </a:p>
      </cdr:txBody>
    </cdr:sp>
  </cdr:relSizeAnchor>
  <cdr:relSizeAnchor xmlns:cdr="http://schemas.openxmlformats.org/drawingml/2006/chartDrawing">
    <cdr:from>
      <cdr:x>0.66493</cdr:x>
      <cdr:y>0.04016</cdr:y>
    </cdr:from>
    <cdr:to>
      <cdr:x>0.70172</cdr:x>
      <cdr:y>0.34718</cdr:y>
    </cdr:to>
    <cdr:sp macro="" textlink="">
      <cdr:nvSpPr>
        <cdr:cNvPr id="17" name="Left Brace 16">
          <a:extLst xmlns:a="http://schemas.openxmlformats.org/drawingml/2006/main">
            <a:ext uri="{FF2B5EF4-FFF2-40B4-BE49-F238E27FC236}">
              <a16:creationId xmlns:a16="http://schemas.microsoft.com/office/drawing/2014/main" id="{4A257F93-9AD2-4C0D-8C68-74C3CAA6269B}"/>
            </a:ext>
          </a:extLst>
        </cdr:cNvPr>
        <cdr:cNvSpPr/>
      </cdr:nvSpPr>
      <cdr:spPr>
        <a:xfrm xmlns:a="http://schemas.openxmlformats.org/drawingml/2006/main">
          <a:off x="4291852" y="151660"/>
          <a:ext cx="237461" cy="1159424"/>
        </a:xfrm>
        <a:prstGeom xmlns:a="http://schemas.openxmlformats.org/drawingml/2006/main" prst="leftBrace">
          <a:avLst/>
        </a:prstGeom>
        <a:ln xmlns:a="http://schemas.openxmlformats.org/drawingml/2006/main" w="127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0.66667</cdr:x>
      <cdr:y>0.37092</cdr:y>
    </cdr:from>
    <cdr:to>
      <cdr:x>0.69965</cdr:x>
      <cdr:y>0.59644</cdr:y>
    </cdr:to>
    <cdr:sp macro="" textlink="">
      <cdr:nvSpPr>
        <cdr:cNvPr id="18" name="Left Brace 17">
          <a:extLst xmlns:a="http://schemas.openxmlformats.org/drawingml/2006/main">
            <a:ext uri="{FF2B5EF4-FFF2-40B4-BE49-F238E27FC236}">
              <a16:creationId xmlns:a16="http://schemas.microsoft.com/office/drawing/2014/main" id="{D3B62E31-10D9-44B6-AD91-34B9E22975EA}"/>
            </a:ext>
          </a:extLst>
        </cdr:cNvPr>
        <cdr:cNvSpPr/>
      </cdr:nvSpPr>
      <cdr:spPr>
        <a:xfrm xmlns:a="http://schemas.openxmlformats.org/drawingml/2006/main">
          <a:off x="4303058" y="1400736"/>
          <a:ext cx="212912" cy="851647"/>
        </a:xfrm>
        <a:prstGeom xmlns:a="http://schemas.openxmlformats.org/drawingml/2006/main" prst="leftBrace">
          <a:avLst/>
        </a:prstGeom>
        <a:ln xmlns:a="http://schemas.openxmlformats.org/drawingml/2006/main" w="12700">
          <a:solidFill>
            <a:srgbClr val="0070C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0.21687</cdr:x>
      <cdr:y>0.23193</cdr:y>
    </cdr:from>
    <cdr:to>
      <cdr:x>0.53614</cdr:x>
      <cdr:y>0.37952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239056A-82E0-4145-AF5A-11DAF4093D5A}"/>
            </a:ext>
          </a:extLst>
        </cdr:cNvPr>
        <cdr:cNvSpPr txBox="1"/>
      </cdr:nvSpPr>
      <cdr:spPr>
        <a:xfrm xmlns:a="http://schemas.openxmlformats.org/drawingml/2006/main">
          <a:off x="806823" y="862853"/>
          <a:ext cx="1187823" cy="5490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GB" sz="1200">
              <a:solidFill>
                <a:srgbClr val="0070C0"/>
              </a:solidFill>
            </a:rPr>
            <a:t>adsorbate concentration</a:t>
          </a:r>
        </a:p>
      </cdr:txBody>
    </cdr:sp>
  </cdr:relSizeAnchor>
  <cdr:relSizeAnchor xmlns:cdr="http://schemas.openxmlformats.org/drawingml/2006/chartDrawing">
    <cdr:from>
      <cdr:x>0.64317</cdr:x>
      <cdr:y>0.19438</cdr:y>
    </cdr:from>
    <cdr:to>
      <cdr:x>0.96245</cdr:x>
      <cdr:y>0.34197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7AA15E7-BAB6-4F64-A247-0832F0D11905}"/>
            </a:ext>
          </a:extLst>
        </cdr:cNvPr>
        <cdr:cNvSpPr txBox="1"/>
      </cdr:nvSpPr>
      <cdr:spPr>
        <a:xfrm xmlns:a="http://schemas.openxmlformats.org/drawingml/2006/main">
          <a:off x="2392830" y="723154"/>
          <a:ext cx="1187823" cy="5490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>
              <a:solidFill>
                <a:srgbClr val="FF0000"/>
              </a:solidFill>
            </a:rPr>
            <a:t>adsorbent concentration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0.23383</cdr:x>
      <cdr:y>0.08323</cdr:y>
    </cdr:from>
    <cdr:to>
      <cdr:x>0.5199</cdr:x>
      <cdr:y>0.17286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95350" y="309563"/>
          <a:ext cx="109537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0.22388</cdr:x>
      <cdr:y>0.08579</cdr:y>
    </cdr:from>
    <cdr:to>
      <cdr:x>0.4602</cdr:x>
      <cdr:y>0.15237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57250" y="319088"/>
          <a:ext cx="9048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0.23383</cdr:x>
      <cdr:y>0.08323</cdr:y>
    </cdr:from>
    <cdr:to>
      <cdr:x>0.5199</cdr:x>
      <cdr:y>0.17286</cdr:y>
    </cdr:to>
    <cdr:sp macro="" textlink="">
      <cdr:nvSpPr>
        <cdr:cNvPr id="5" name="TextBox 2"/>
        <cdr:cNvSpPr txBox="1"/>
      </cdr:nvSpPr>
      <cdr:spPr>
        <a:xfrm xmlns:a="http://schemas.openxmlformats.org/drawingml/2006/main">
          <a:off x="895350" y="309563"/>
          <a:ext cx="109537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0.22388</cdr:x>
      <cdr:y>0.08579</cdr:y>
    </cdr:from>
    <cdr:to>
      <cdr:x>0.4602</cdr:x>
      <cdr:y>0.15237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857250" y="319088"/>
          <a:ext cx="9048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0.23383</cdr:x>
      <cdr:y>0.08323</cdr:y>
    </cdr:from>
    <cdr:to>
      <cdr:x>0.5199</cdr:x>
      <cdr:y>0.17286</cdr:y>
    </cdr:to>
    <cdr:sp macro="" textlink="">
      <cdr:nvSpPr>
        <cdr:cNvPr id="7" name="TextBox 2"/>
        <cdr:cNvSpPr txBox="1"/>
      </cdr:nvSpPr>
      <cdr:spPr>
        <a:xfrm xmlns:a="http://schemas.openxmlformats.org/drawingml/2006/main">
          <a:off x="895350" y="309563"/>
          <a:ext cx="109537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0.22388</cdr:x>
      <cdr:y>0.08579</cdr:y>
    </cdr:from>
    <cdr:to>
      <cdr:x>0.4602</cdr:x>
      <cdr:y>0.15237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857250" y="319088"/>
          <a:ext cx="9048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0.23383</cdr:x>
      <cdr:y>0.08323</cdr:y>
    </cdr:from>
    <cdr:to>
      <cdr:x>0.5199</cdr:x>
      <cdr:y>0.17286</cdr:y>
    </cdr:to>
    <cdr:sp macro="" textlink="">
      <cdr:nvSpPr>
        <cdr:cNvPr id="9" name="TextBox 2"/>
        <cdr:cNvSpPr txBox="1"/>
      </cdr:nvSpPr>
      <cdr:spPr>
        <a:xfrm xmlns:a="http://schemas.openxmlformats.org/drawingml/2006/main">
          <a:off x="895350" y="309563"/>
          <a:ext cx="109537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0.22906</cdr:x>
      <cdr:y>0.21953</cdr:y>
    </cdr:from>
    <cdr:to>
      <cdr:x>0.6384</cdr:x>
      <cdr:y>0.30417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3996941A-801D-4DF8-9D45-6DCC11A91EE3}"/>
            </a:ext>
          </a:extLst>
        </cdr:cNvPr>
        <cdr:cNvSpPr txBox="1"/>
      </cdr:nvSpPr>
      <cdr:spPr>
        <a:xfrm xmlns:a="http://schemas.openxmlformats.org/drawingml/2006/main" rot="2412208">
          <a:off x="1442525" y="816533"/>
          <a:ext cx="2577943" cy="3148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GB" sz="1100">
              <a:solidFill>
                <a:schemeClr val="tx1"/>
              </a:solidFill>
            </a:rPr>
            <a:t>-1 gradient indicates inverse relationship</a:t>
          </a:r>
        </a:p>
      </cdr:txBody>
    </cdr:sp>
  </cdr:relSizeAnchor>
  <cdr:relSizeAnchor xmlns:cdr="http://schemas.openxmlformats.org/drawingml/2006/chartDrawing">
    <cdr:from>
      <cdr:x>0.59556</cdr:x>
      <cdr:y>0.08481</cdr:y>
    </cdr:from>
    <cdr:to>
      <cdr:x>0.64538</cdr:x>
      <cdr:y>0.36499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588BBBB6-9D2C-488C-8DA9-1A3F8F41E6C7}"/>
            </a:ext>
          </a:extLst>
        </cdr:cNvPr>
        <cdr:cNvSpPr txBox="1"/>
      </cdr:nvSpPr>
      <cdr:spPr>
        <a:xfrm xmlns:a="http://schemas.openxmlformats.org/drawingml/2006/main" rot="16200000">
          <a:off x="3416705" y="678406"/>
          <a:ext cx="1042147" cy="3162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GB" sz="1200">
              <a:solidFill>
                <a:srgbClr val="FF0000"/>
              </a:solidFill>
            </a:rPr>
            <a:t>oxyanions</a:t>
          </a:r>
        </a:p>
      </cdr:txBody>
    </cdr:sp>
  </cdr:relSizeAnchor>
  <cdr:relSizeAnchor xmlns:cdr="http://schemas.openxmlformats.org/drawingml/2006/chartDrawing">
    <cdr:from>
      <cdr:x>0.59481</cdr:x>
      <cdr:y>0.3901</cdr:y>
    </cdr:from>
    <cdr:to>
      <cdr:x>0.65072</cdr:x>
      <cdr:y>0.68554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2D584C60-A6A7-43D5-AA81-81AD755C2732}"/>
            </a:ext>
          </a:extLst>
        </cdr:cNvPr>
        <cdr:cNvSpPr txBox="1"/>
      </cdr:nvSpPr>
      <cdr:spPr>
        <a:xfrm xmlns:a="http://schemas.openxmlformats.org/drawingml/2006/main" rot="16200000">
          <a:off x="3360127" y="1824938"/>
          <a:ext cx="1098893" cy="3509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>
              <a:solidFill>
                <a:srgbClr val="0070C0"/>
              </a:solidFill>
            </a:rPr>
            <a:t>metal cations</a:t>
          </a:r>
        </a:p>
      </cdr:txBody>
    </cdr:sp>
  </cdr:relSizeAnchor>
  <cdr:relSizeAnchor xmlns:cdr="http://schemas.openxmlformats.org/drawingml/2006/chartDrawing">
    <cdr:from>
      <cdr:x>0.59555</cdr:x>
      <cdr:y>0.64246</cdr:y>
    </cdr:from>
    <cdr:to>
      <cdr:x>0.64538</cdr:x>
      <cdr:y>0.86269</cdr:y>
    </cdr:to>
    <cdr:sp macro="" textlink="">
      <cdr:nvSpPr>
        <cdr:cNvPr id="14" name="TextBox 1">
          <a:extLst xmlns:a="http://schemas.openxmlformats.org/drawingml/2006/main">
            <a:ext uri="{FF2B5EF4-FFF2-40B4-BE49-F238E27FC236}">
              <a16:creationId xmlns:a16="http://schemas.microsoft.com/office/drawing/2014/main" id="{BB8D2EF3-CBB2-42E5-B2D4-E30E4A32BF75}"/>
            </a:ext>
          </a:extLst>
        </cdr:cNvPr>
        <cdr:cNvSpPr txBox="1"/>
      </cdr:nvSpPr>
      <cdr:spPr>
        <a:xfrm xmlns:a="http://schemas.openxmlformats.org/drawingml/2006/main" rot="16200000">
          <a:off x="3485591" y="2642818"/>
          <a:ext cx="819148" cy="3128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>
              <a:solidFill>
                <a:srgbClr val="B88C00"/>
              </a:solidFill>
            </a:rPr>
            <a:t>organic</a:t>
          </a:r>
        </a:p>
        <a:p xmlns:a="http://schemas.openxmlformats.org/drawingml/2006/main">
          <a:pPr algn="ctr"/>
          <a:r>
            <a:rPr lang="en-GB" sz="1200">
              <a:solidFill>
                <a:srgbClr val="B88C00"/>
              </a:solidFill>
            </a:rPr>
            <a:t> dyes</a:t>
          </a:r>
        </a:p>
      </cdr:txBody>
    </cdr:sp>
  </cdr:relSizeAnchor>
  <cdr:relSizeAnchor xmlns:cdr="http://schemas.openxmlformats.org/drawingml/2006/chartDrawing">
    <cdr:from>
      <cdr:x>0.64201</cdr:x>
      <cdr:y>0.04097</cdr:y>
    </cdr:from>
    <cdr:to>
      <cdr:x>0.67435</cdr:x>
      <cdr:y>0.42058</cdr:y>
    </cdr:to>
    <cdr:sp macro="" textlink="">
      <cdr:nvSpPr>
        <cdr:cNvPr id="15" name="Left Brace 14">
          <a:extLst xmlns:a="http://schemas.openxmlformats.org/drawingml/2006/main">
            <a:ext uri="{FF2B5EF4-FFF2-40B4-BE49-F238E27FC236}">
              <a16:creationId xmlns:a16="http://schemas.microsoft.com/office/drawing/2014/main" id="{9811D3BD-ACFE-49F0-AD8F-8ABFBB4921B8}"/>
            </a:ext>
          </a:extLst>
        </cdr:cNvPr>
        <cdr:cNvSpPr/>
      </cdr:nvSpPr>
      <cdr:spPr>
        <a:xfrm xmlns:a="http://schemas.openxmlformats.org/drawingml/2006/main">
          <a:off x="4074460" y="152399"/>
          <a:ext cx="205259" cy="1411941"/>
        </a:xfrm>
        <a:prstGeom xmlns:a="http://schemas.openxmlformats.org/drawingml/2006/main" prst="leftBrace">
          <a:avLst/>
        </a:prstGeom>
        <a:ln xmlns:a="http://schemas.openxmlformats.org/drawingml/2006/main" w="127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0.64286</cdr:x>
      <cdr:y>0.449</cdr:y>
    </cdr:from>
    <cdr:to>
      <cdr:x>0.68008</cdr:x>
      <cdr:y>0.65376</cdr:y>
    </cdr:to>
    <cdr:sp macro="" textlink="">
      <cdr:nvSpPr>
        <cdr:cNvPr id="16" name="Left Brace 15">
          <a:extLst xmlns:a="http://schemas.openxmlformats.org/drawingml/2006/main">
            <a:ext uri="{FF2B5EF4-FFF2-40B4-BE49-F238E27FC236}">
              <a16:creationId xmlns:a16="http://schemas.microsoft.com/office/drawing/2014/main" id="{7974C60F-C132-488F-9CC8-400EBCD609FD}"/>
            </a:ext>
          </a:extLst>
        </cdr:cNvPr>
        <cdr:cNvSpPr/>
      </cdr:nvSpPr>
      <cdr:spPr>
        <a:xfrm xmlns:a="http://schemas.openxmlformats.org/drawingml/2006/main">
          <a:off x="4035756" y="1670062"/>
          <a:ext cx="233685" cy="761614"/>
        </a:xfrm>
        <a:prstGeom xmlns:a="http://schemas.openxmlformats.org/drawingml/2006/main" prst="leftBrace">
          <a:avLst/>
        </a:prstGeom>
        <a:ln xmlns:a="http://schemas.openxmlformats.org/drawingml/2006/main" w="12700">
          <a:solidFill>
            <a:srgbClr val="0070C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0.22388</cdr:x>
      <cdr:y>0.08579</cdr:y>
    </cdr:from>
    <cdr:to>
      <cdr:x>0.4602</cdr:x>
      <cdr:y>0.15237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57250" y="319088"/>
          <a:ext cx="9048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0.23383</cdr:x>
      <cdr:y>0.08323</cdr:y>
    </cdr:from>
    <cdr:to>
      <cdr:x>0.5199</cdr:x>
      <cdr:y>0.17286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95350" y="309563"/>
          <a:ext cx="109537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0.22388</cdr:x>
      <cdr:y>0.08579</cdr:y>
    </cdr:from>
    <cdr:to>
      <cdr:x>0.4602</cdr:x>
      <cdr:y>0.15237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E5FF2F53-B61C-4158-A7A7-3F26488F7E8F}"/>
            </a:ext>
          </a:extLst>
        </cdr:cNvPr>
        <cdr:cNvSpPr txBox="1"/>
      </cdr:nvSpPr>
      <cdr:spPr>
        <a:xfrm xmlns:a="http://schemas.openxmlformats.org/drawingml/2006/main">
          <a:off x="857250" y="319088"/>
          <a:ext cx="9048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0.23383</cdr:x>
      <cdr:y>0.08323</cdr:y>
    </cdr:from>
    <cdr:to>
      <cdr:x>0.5199</cdr:x>
      <cdr:y>0.17286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EFACDC2-F789-475A-8936-EB34DE639A75}"/>
            </a:ext>
          </a:extLst>
        </cdr:cNvPr>
        <cdr:cNvSpPr txBox="1"/>
      </cdr:nvSpPr>
      <cdr:spPr>
        <a:xfrm xmlns:a="http://schemas.openxmlformats.org/drawingml/2006/main">
          <a:off x="895350" y="309563"/>
          <a:ext cx="109537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0.22388</cdr:x>
      <cdr:y>0.08579</cdr:y>
    </cdr:from>
    <cdr:to>
      <cdr:x>0.4602</cdr:x>
      <cdr:y>0.15237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75F818B1-2EBB-4A64-B2BC-8148309C790C}"/>
            </a:ext>
          </a:extLst>
        </cdr:cNvPr>
        <cdr:cNvSpPr txBox="1"/>
      </cdr:nvSpPr>
      <cdr:spPr>
        <a:xfrm xmlns:a="http://schemas.openxmlformats.org/drawingml/2006/main">
          <a:off x="857250" y="319088"/>
          <a:ext cx="9048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0.23383</cdr:x>
      <cdr:y>0.08323</cdr:y>
    </cdr:from>
    <cdr:to>
      <cdr:x>0.5199</cdr:x>
      <cdr:y>0.17286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C9F0A7FB-94C8-4DE6-8B4B-092235843F2D}"/>
            </a:ext>
          </a:extLst>
        </cdr:cNvPr>
        <cdr:cNvSpPr txBox="1"/>
      </cdr:nvSpPr>
      <cdr:spPr>
        <a:xfrm xmlns:a="http://schemas.openxmlformats.org/drawingml/2006/main">
          <a:off x="895350" y="309563"/>
          <a:ext cx="109537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0.22388</cdr:x>
      <cdr:y>0.08579</cdr:y>
    </cdr:from>
    <cdr:to>
      <cdr:x>0.4602</cdr:x>
      <cdr:y>0.15237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16FA73E8-C85E-46FE-9B32-411E415F947E}"/>
            </a:ext>
          </a:extLst>
        </cdr:cNvPr>
        <cdr:cNvSpPr txBox="1"/>
      </cdr:nvSpPr>
      <cdr:spPr>
        <a:xfrm xmlns:a="http://schemas.openxmlformats.org/drawingml/2006/main">
          <a:off x="857250" y="319088"/>
          <a:ext cx="9048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0.23383</cdr:x>
      <cdr:y>0.08323</cdr:y>
    </cdr:from>
    <cdr:to>
      <cdr:x>0.5199</cdr:x>
      <cdr:y>0.17286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FBD0354-3A24-4974-BDC6-F1D37BED903E}"/>
            </a:ext>
          </a:extLst>
        </cdr:cNvPr>
        <cdr:cNvSpPr txBox="1"/>
      </cdr:nvSpPr>
      <cdr:spPr>
        <a:xfrm xmlns:a="http://schemas.openxmlformats.org/drawingml/2006/main">
          <a:off x="895350" y="309563"/>
          <a:ext cx="109537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0.22388</cdr:x>
      <cdr:y>0.08579</cdr:y>
    </cdr:from>
    <cdr:to>
      <cdr:x>0.4602</cdr:x>
      <cdr:y>0.15237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4718EDEB-D8DC-4DCB-8A21-C25E62352F5B}"/>
            </a:ext>
          </a:extLst>
        </cdr:cNvPr>
        <cdr:cNvSpPr txBox="1"/>
      </cdr:nvSpPr>
      <cdr:spPr>
        <a:xfrm xmlns:a="http://schemas.openxmlformats.org/drawingml/2006/main">
          <a:off x="857250" y="319088"/>
          <a:ext cx="9048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0.23383</cdr:x>
      <cdr:y>0.08323</cdr:y>
    </cdr:from>
    <cdr:to>
      <cdr:x>0.5199</cdr:x>
      <cdr:y>0.17286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FD24796C-8EAA-43CA-8A2B-DD5C2F127E4D}"/>
            </a:ext>
          </a:extLst>
        </cdr:cNvPr>
        <cdr:cNvSpPr txBox="1"/>
      </cdr:nvSpPr>
      <cdr:spPr>
        <a:xfrm xmlns:a="http://schemas.openxmlformats.org/drawingml/2006/main">
          <a:off x="895350" y="309563"/>
          <a:ext cx="109537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0.61299</cdr:x>
      <cdr:y>0.0596</cdr:y>
    </cdr:from>
    <cdr:to>
      <cdr:x>0.66164</cdr:x>
      <cdr:y>0.33556</cdr:y>
    </cdr:to>
    <cdr:sp macro="" textlink="">
      <cdr:nvSpPr>
        <cdr:cNvPr id="14" name="TextBox 1">
          <a:extLst xmlns:a="http://schemas.openxmlformats.org/drawingml/2006/main">
            <a:ext uri="{FF2B5EF4-FFF2-40B4-BE49-F238E27FC236}">
              <a16:creationId xmlns:a16="http://schemas.microsoft.com/office/drawing/2014/main" id="{9159CF09-E18F-4055-ABA0-0DD4EB589F0A}"/>
            </a:ext>
          </a:extLst>
        </cdr:cNvPr>
        <cdr:cNvSpPr txBox="1"/>
      </cdr:nvSpPr>
      <cdr:spPr>
        <a:xfrm xmlns:a="http://schemas.openxmlformats.org/drawingml/2006/main" rot="16200000">
          <a:off x="3621088" y="588047"/>
          <a:ext cx="1042133" cy="3161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>
              <a:solidFill>
                <a:srgbClr val="FF0000"/>
              </a:solidFill>
            </a:rPr>
            <a:t>oxyanions</a:t>
          </a:r>
        </a:p>
      </cdr:txBody>
    </cdr:sp>
  </cdr:relSizeAnchor>
  <cdr:relSizeAnchor xmlns:cdr="http://schemas.openxmlformats.org/drawingml/2006/chartDrawing">
    <cdr:from>
      <cdr:x>0.59836</cdr:x>
      <cdr:y>0.33062</cdr:y>
    </cdr:from>
    <cdr:to>
      <cdr:x>0.67708</cdr:x>
      <cdr:y>0.62161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1D0B03FB-A888-4AE0-95E3-6D57DB7B51BF}"/>
            </a:ext>
          </a:extLst>
        </cdr:cNvPr>
        <cdr:cNvSpPr txBox="1"/>
      </cdr:nvSpPr>
      <cdr:spPr>
        <a:xfrm xmlns:a="http://schemas.openxmlformats.org/drawingml/2006/main" rot="16200000">
          <a:off x="3566784" y="1543918"/>
          <a:ext cx="1098889" cy="508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>
              <a:solidFill>
                <a:srgbClr val="0070C0"/>
              </a:solidFill>
            </a:rPr>
            <a:t>metal </a:t>
          </a:r>
        </a:p>
        <a:p xmlns:a="http://schemas.openxmlformats.org/drawingml/2006/main">
          <a:pPr algn="ctr"/>
          <a:r>
            <a:rPr lang="en-GB" sz="1200">
              <a:solidFill>
                <a:srgbClr val="0070C0"/>
              </a:solidFill>
            </a:rPr>
            <a:t>cations</a:t>
          </a:r>
        </a:p>
      </cdr:txBody>
    </cdr:sp>
  </cdr:relSizeAnchor>
  <cdr:relSizeAnchor xmlns:cdr="http://schemas.openxmlformats.org/drawingml/2006/chartDrawing">
    <cdr:from>
      <cdr:x>0.60257</cdr:x>
      <cdr:y>0.54654</cdr:y>
    </cdr:from>
    <cdr:to>
      <cdr:x>0.65123</cdr:x>
      <cdr:y>0.76346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B1E44B7F-12D6-4FE6-ADDD-F9B6DA363009}"/>
            </a:ext>
          </a:extLst>
        </cdr:cNvPr>
        <cdr:cNvSpPr txBox="1"/>
      </cdr:nvSpPr>
      <cdr:spPr>
        <a:xfrm xmlns:a="http://schemas.openxmlformats.org/drawingml/2006/main" rot="16200000">
          <a:off x="3636824" y="2316485"/>
          <a:ext cx="819173" cy="314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>
              <a:solidFill>
                <a:srgbClr val="B88C00"/>
              </a:solidFill>
            </a:rPr>
            <a:t>organic</a:t>
          </a:r>
        </a:p>
        <a:p xmlns:a="http://schemas.openxmlformats.org/drawingml/2006/main">
          <a:pPr algn="ctr"/>
          <a:r>
            <a:rPr lang="en-GB" sz="1200">
              <a:solidFill>
                <a:srgbClr val="B88C00"/>
              </a:solidFill>
            </a:rPr>
            <a:t> dyes</a:t>
          </a:r>
        </a:p>
      </cdr:txBody>
    </cdr:sp>
  </cdr:relSizeAnchor>
  <cdr:relSizeAnchor xmlns:cdr="http://schemas.openxmlformats.org/drawingml/2006/chartDrawing">
    <cdr:from>
      <cdr:x>0.66493</cdr:x>
      <cdr:y>0.04016</cdr:y>
    </cdr:from>
    <cdr:to>
      <cdr:x>0.70172</cdr:x>
      <cdr:y>0.34718</cdr:y>
    </cdr:to>
    <cdr:sp macro="" textlink="">
      <cdr:nvSpPr>
        <cdr:cNvPr id="17" name="Left Brace 16">
          <a:extLst xmlns:a="http://schemas.openxmlformats.org/drawingml/2006/main">
            <a:ext uri="{FF2B5EF4-FFF2-40B4-BE49-F238E27FC236}">
              <a16:creationId xmlns:a16="http://schemas.microsoft.com/office/drawing/2014/main" id="{4A257F93-9AD2-4C0D-8C68-74C3CAA6269B}"/>
            </a:ext>
          </a:extLst>
        </cdr:cNvPr>
        <cdr:cNvSpPr/>
      </cdr:nvSpPr>
      <cdr:spPr>
        <a:xfrm xmlns:a="http://schemas.openxmlformats.org/drawingml/2006/main">
          <a:off x="4291852" y="151660"/>
          <a:ext cx="237461" cy="1159424"/>
        </a:xfrm>
        <a:prstGeom xmlns:a="http://schemas.openxmlformats.org/drawingml/2006/main" prst="leftBrace">
          <a:avLst/>
        </a:prstGeom>
        <a:ln xmlns:a="http://schemas.openxmlformats.org/drawingml/2006/main" w="127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0.66667</cdr:x>
      <cdr:y>0.37092</cdr:y>
    </cdr:from>
    <cdr:to>
      <cdr:x>0.69965</cdr:x>
      <cdr:y>0.59644</cdr:y>
    </cdr:to>
    <cdr:sp macro="" textlink="">
      <cdr:nvSpPr>
        <cdr:cNvPr id="18" name="Left Brace 17">
          <a:extLst xmlns:a="http://schemas.openxmlformats.org/drawingml/2006/main">
            <a:ext uri="{FF2B5EF4-FFF2-40B4-BE49-F238E27FC236}">
              <a16:creationId xmlns:a16="http://schemas.microsoft.com/office/drawing/2014/main" id="{D3B62E31-10D9-44B6-AD91-34B9E22975EA}"/>
            </a:ext>
          </a:extLst>
        </cdr:cNvPr>
        <cdr:cNvSpPr/>
      </cdr:nvSpPr>
      <cdr:spPr>
        <a:xfrm xmlns:a="http://schemas.openxmlformats.org/drawingml/2006/main">
          <a:off x="4303058" y="1400736"/>
          <a:ext cx="212912" cy="851647"/>
        </a:xfrm>
        <a:prstGeom xmlns:a="http://schemas.openxmlformats.org/drawingml/2006/main" prst="leftBrace">
          <a:avLst/>
        </a:prstGeom>
        <a:ln xmlns:a="http://schemas.openxmlformats.org/drawingml/2006/main" w="12700">
          <a:solidFill>
            <a:srgbClr val="0070C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0.14685</cdr:x>
      <cdr:y>0.11016</cdr:y>
    </cdr:from>
    <cdr:to>
      <cdr:x>0.33668</cdr:x>
      <cdr:y>0.20882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A7D15639-584D-4898-B247-9A23B1546C6C}"/>
            </a:ext>
          </a:extLst>
        </cdr:cNvPr>
        <cdr:cNvSpPr txBox="1"/>
      </cdr:nvSpPr>
      <cdr:spPr>
        <a:xfrm xmlns:a="http://schemas.openxmlformats.org/drawingml/2006/main" rot="20199442">
          <a:off x="947845" y="416003"/>
          <a:ext cx="1225291" cy="3725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100">
              <a:solidFill>
                <a:schemeClr val="tx1"/>
              </a:solidFill>
            </a:rPr>
            <a:t>1:1 gradient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0.00518</cdr:x>
      <cdr:y>0.51506</cdr:y>
    </cdr:from>
    <cdr:to>
      <cdr:x>0.32445</cdr:x>
      <cdr:y>0.66265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239056A-82E0-4145-AF5A-11DAF4093D5A}"/>
            </a:ext>
          </a:extLst>
        </cdr:cNvPr>
        <cdr:cNvSpPr txBox="1"/>
      </cdr:nvSpPr>
      <cdr:spPr>
        <a:xfrm xmlns:a="http://schemas.openxmlformats.org/drawingml/2006/main">
          <a:off x="16885" y="1916215"/>
          <a:ext cx="1041112" cy="549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GB" sz="1200">
              <a:solidFill>
                <a:schemeClr val="tx1"/>
              </a:solidFill>
            </a:rPr>
            <a:t>original </a:t>
          </a:r>
        </a:p>
        <a:p xmlns:a="http://schemas.openxmlformats.org/drawingml/2006/main">
          <a:pPr algn="ctr"/>
          <a:r>
            <a:rPr lang="en-GB" sz="1200">
              <a:solidFill>
                <a:schemeClr val="tx1"/>
              </a:solidFill>
            </a:rPr>
            <a:t>PSO</a:t>
          </a:r>
          <a:r>
            <a:rPr lang="en-GB" sz="1200" baseline="0">
              <a:solidFill>
                <a:schemeClr val="tx1"/>
              </a:solidFill>
            </a:rPr>
            <a:t> (</a:t>
          </a:r>
          <a:r>
            <a:rPr lang="en-GB" sz="1200">
              <a:solidFill>
                <a:schemeClr val="tx1"/>
              </a:solidFill>
            </a:rPr>
            <a:t>k</a:t>
          </a:r>
          <a:r>
            <a:rPr lang="en-GB" sz="1200" baseline="-25000">
              <a:solidFill>
                <a:schemeClr val="tx1"/>
              </a:solidFill>
            </a:rPr>
            <a:t>2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 sz="1200" baseline="-250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0.00805</cdr:x>
      <cdr:y>0.23655</cdr:y>
    </cdr:from>
    <cdr:to>
      <cdr:x>0.32733</cdr:x>
      <cdr:y>0.38414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7AA15E7-BAB6-4F64-A247-0832F0D11905}"/>
            </a:ext>
          </a:extLst>
        </cdr:cNvPr>
        <cdr:cNvSpPr txBox="1"/>
      </cdr:nvSpPr>
      <cdr:spPr>
        <a:xfrm xmlns:a="http://schemas.openxmlformats.org/drawingml/2006/main">
          <a:off x="26256" y="880046"/>
          <a:ext cx="1041145" cy="549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>
              <a:solidFill>
                <a:schemeClr val="tx1"/>
              </a:solidFill>
            </a:rPr>
            <a:t>rPSO</a:t>
          </a:r>
        </a:p>
        <a:p xmlns:a="http://schemas.openxmlformats.org/drawingml/2006/main">
          <a:pPr algn="ctr"/>
          <a:r>
            <a:rPr lang="en-GB" sz="1200">
              <a:solidFill>
                <a:schemeClr val="tx1"/>
              </a:solidFill>
            </a:rPr>
            <a:t>(k')</a:t>
          </a:r>
        </a:p>
      </cdr:txBody>
    </cdr:sp>
  </cdr:relSizeAnchor>
  <cdr:relSizeAnchor xmlns:cdr="http://schemas.openxmlformats.org/drawingml/2006/chartDrawing">
    <cdr:from>
      <cdr:x>0.1931</cdr:x>
      <cdr:y>0.42932</cdr:y>
    </cdr:from>
    <cdr:to>
      <cdr:x>0.57403</cdr:x>
      <cdr:y>0.51807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3A2C3804-ACDE-4D39-9E9D-D450797E324D}"/>
            </a:ext>
          </a:extLst>
        </cdr:cNvPr>
        <cdr:cNvSpPr txBox="1"/>
      </cdr:nvSpPr>
      <cdr:spPr>
        <a:xfrm xmlns:a="http://schemas.openxmlformats.org/drawingml/2006/main">
          <a:off x="629698" y="1597213"/>
          <a:ext cx="1242158" cy="3301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l-GR" sz="1200">
              <a:solidFill>
                <a:srgbClr val="0070C0"/>
              </a:solidFill>
            </a:rPr>
            <a:t>μ±σ</a:t>
          </a:r>
          <a:r>
            <a:rPr lang="en-GB" sz="1200">
              <a:solidFill>
                <a:srgbClr val="0070C0"/>
              </a:solidFill>
            </a:rPr>
            <a:t>=-0.73</a:t>
          </a:r>
          <a:r>
            <a:rPr lang="el-GR" sz="12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±</a:t>
          </a:r>
          <a:r>
            <a:rPr lang="en-GB" sz="12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0.46</a:t>
          </a:r>
          <a:endParaRPr lang="en-GB" sz="1200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0.53949</cdr:x>
      <cdr:y>0.42329</cdr:y>
    </cdr:from>
    <cdr:to>
      <cdr:x>0.92041</cdr:x>
      <cdr:y>0.51205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147B4F9-1606-4402-BCC2-4B47DF51566D}"/>
            </a:ext>
          </a:extLst>
        </cdr:cNvPr>
        <cdr:cNvSpPr txBox="1"/>
      </cdr:nvSpPr>
      <cdr:spPr>
        <a:xfrm xmlns:a="http://schemas.openxmlformats.org/drawingml/2006/main">
          <a:off x="1759230" y="1574800"/>
          <a:ext cx="1242158" cy="3301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l-GR" sz="1200">
              <a:solidFill>
                <a:srgbClr val="FF0000"/>
              </a:solidFill>
            </a:rPr>
            <a:t>μ±σ</a:t>
          </a:r>
          <a:r>
            <a:rPr lang="en-GB" sz="1200">
              <a:solidFill>
                <a:srgbClr val="FF0000"/>
              </a:solidFill>
            </a:rPr>
            <a:t>=1.57</a:t>
          </a:r>
          <a:r>
            <a:rPr lang="el-GR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±</a:t>
          </a:r>
          <a:r>
            <a:rPr lang="en-GB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0.79</a:t>
          </a:r>
          <a:endParaRPr lang="en-GB" sz="12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0.29034</cdr:x>
      <cdr:y>0.14016</cdr:y>
    </cdr:from>
    <cdr:to>
      <cdr:x>0.67126</cdr:x>
      <cdr:y>0.22891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430967A2-E6CC-49FC-AAF1-50DB53AF6E1E}"/>
            </a:ext>
          </a:extLst>
        </cdr:cNvPr>
        <cdr:cNvSpPr txBox="1"/>
      </cdr:nvSpPr>
      <cdr:spPr>
        <a:xfrm xmlns:a="http://schemas.openxmlformats.org/drawingml/2006/main">
          <a:off x="946769" y="521445"/>
          <a:ext cx="1242158" cy="3301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l-GR" sz="1200">
              <a:solidFill>
                <a:srgbClr val="0070C0"/>
              </a:solidFill>
            </a:rPr>
            <a:t>μ±σ</a:t>
          </a:r>
          <a:r>
            <a:rPr lang="en-GB" sz="1200">
              <a:solidFill>
                <a:srgbClr val="0070C0"/>
              </a:solidFill>
            </a:rPr>
            <a:t>=-0.20</a:t>
          </a:r>
          <a:r>
            <a:rPr lang="el-GR" sz="12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±</a:t>
          </a:r>
          <a:r>
            <a:rPr lang="en-GB" sz="12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0.38</a:t>
          </a:r>
          <a:endParaRPr lang="en-GB" sz="1200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0.32992</cdr:x>
      <cdr:y>0.05281</cdr:y>
    </cdr:from>
    <cdr:to>
      <cdr:x>0.71084</cdr:x>
      <cdr:y>0.14157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9278B39D-3038-406F-BEE1-795DDE685584}"/>
            </a:ext>
          </a:extLst>
        </cdr:cNvPr>
        <cdr:cNvSpPr txBox="1"/>
      </cdr:nvSpPr>
      <cdr:spPr>
        <a:xfrm xmlns:a="http://schemas.openxmlformats.org/drawingml/2006/main">
          <a:off x="1227418" y="196476"/>
          <a:ext cx="1417170" cy="3301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l-GR" sz="1200">
              <a:solidFill>
                <a:srgbClr val="FF0000"/>
              </a:solidFill>
            </a:rPr>
            <a:t>μ±σ</a:t>
          </a:r>
          <a:r>
            <a:rPr lang="en-GB" sz="1200">
              <a:solidFill>
                <a:srgbClr val="FF0000"/>
              </a:solidFill>
            </a:rPr>
            <a:t>=0.10</a:t>
          </a:r>
          <a:r>
            <a:rPr lang="el-GR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±</a:t>
          </a:r>
          <a:r>
            <a:rPr lang="en-GB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0.45</a:t>
          </a:r>
          <a:endParaRPr lang="en-GB" sz="12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0.28018</cdr:x>
      <cdr:y>0.70643</cdr:y>
    </cdr:from>
    <cdr:to>
      <cdr:x>0.59945</cdr:x>
      <cdr:y>0.85402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58C55BD7-B1E0-4A62-9D30-DA58ACD5CB30}"/>
            </a:ext>
          </a:extLst>
        </cdr:cNvPr>
        <cdr:cNvSpPr txBox="1"/>
      </cdr:nvSpPr>
      <cdr:spPr>
        <a:xfrm xmlns:a="http://schemas.openxmlformats.org/drawingml/2006/main">
          <a:off x="913653" y="2628152"/>
          <a:ext cx="1041112" cy="549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>
              <a:solidFill>
                <a:srgbClr val="0070C0"/>
              </a:solidFill>
            </a:rPr>
            <a:t>C</a:t>
          </a:r>
          <a:r>
            <a:rPr lang="en-GB" sz="1200" baseline="-25000">
              <a:solidFill>
                <a:srgbClr val="0070C0"/>
              </a:solidFill>
            </a:rPr>
            <a:t>0</a:t>
          </a:r>
        </a:p>
      </cdr:txBody>
    </cdr:sp>
  </cdr:relSizeAnchor>
  <cdr:relSizeAnchor xmlns:cdr="http://schemas.openxmlformats.org/drawingml/2006/chartDrawing">
    <cdr:from>
      <cdr:x>0.56884</cdr:x>
      <cdr:y>0.70944</cdr:y>
    </cdr:from>
    <cdr:to>
      <cdr:x>0.88811</cdr:x>
      <cdr:y>0.85703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4117403D-6C30-4D47-95C2-E6DE3DF99F17}"/>
            </a:ext>
          </a:extLst>
        </cdr:cNvPr>
        <cdr:cNvSpPr txBox="1"/>
      </cdr:nvSpPr>
      <cdr:spPr>
        <a:xfrm xmlns:a="http://schemas.openxmlformats.org/drawingml/2006/main">
          <a:off x="1854948" y="2639358"/>
          <a:ext cx="1041112" cy="549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>
              <a:solidFill>
                <a:srgbClr val="FF0000"/>
              </a:solidFill>
            </a:rPr>
            <a:t>C</a:t>
          </a:r>
          <a:r>
            <a:rPr lang="en-GB" sz="1200" baseline="-25000">
              <a:solidFill>
                <a:srgbClr val="FF0000"/>
              </a:solidFill>
            </a:rPr>
            <a:t>S</a:t>
          </a:r>
        </a:p>
      </cdr:txBody>
    </cdr:sp>
  </cdr:relSizeAnchor>
  <cdr:relSizeAnchor xmlns:cdr="http://schemas.openxmlformats.org/drawingml/2006/chartDrawing">
    <cdr:from>
      <cdr:x>0.30241</cdr:x>
      <cdr:y>0.6747</cdr:y>
    </cdr:from>
    <cdr:to>
      <cdr:x>0.56701</cdr:x>
      <cdr:y>0.70181</cdr:y>
    </cdr:to>
    <cdr:sp macro="" textlink="">
      <cdr:nvSpPr>
        <cdr:cNvPr id="10" name="Left Brace 9">
          <a:extLst xmlns:a="http://schemas.openxmlformats.org/drawingml/2006/main">
            <a:ext uri="{FF2B5EF4-FFF2-40B4-BE49-F238E27FC236}">
              <a16:creationId xmlns:a16="http://schemas.microsoft.com/office/drawing/2014/main" id="{327A77E5-E069-47F2-86C1-A5CFF01656CF}"/>
            </a:ext>
          </a:extLst>
        </cdr:cNvPr>
        <cdr:cNvSpPr/>
      </cdr:nvSpPr>
      <cdr:spPr>
        <a:xfrm xmlns:a="http://schemas.openxmlformats.org/drawingml/2006/main" rot="16200000">
          <a:off x="1367117" y="2129118"/>
          <a:ext cx="100853" cy="862852"/>
        </a:xfrm>
        <a:prstGeom xmlns:a="http://schemas.openxmlformats.org/drawingml/2006/main" prst="leftBrace">
          <a:avLst/>
        </a:prstGeom>
        <a:ln xmlns:a="http://schemas.openxmlformats.org/drawingml/2006/main" w="12700">
          <a:solidFill>
            <a:srgbClr val="0070C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0.60664</cdr:x>
      <cdr:y>0.6747</cdr:y>
    </cdr:from>
    <cdr:to>
      <cdr:x>0.8488</cdr:x>
      <cdr:y>0.70341</cdr:y>
    </cdr:to>
    <cdr:sp macro="" textlink="">
      <cdr:nvSpPr>
        <cdr:cNvPr id="11" name="Left Brace 10">
          <a:extLst xmlns:a="http://schemas.openxmlformats.org/drawingml/2006/main">
            <a:ext uri="{FF2B5EF4-FFF2-40B4-BE49-F238E27FC236}">
              <a16:creationId xmlns:a16="http://schemas.microsoft.com/office/drawing/2014/main" id="{BCCA4A9E-F179-45EF-BB35-F79F14C221BC}"/>
            </a:ext>
          </a:extLst>
        </cdr:cNvPr>
        <cdr:cNvSpPr/>
      </cdr:nvSpPr>
      <cdr:spPr>
        <a:xfrm xmlns:a="http://schemas.openxmlformats.org/drawingml/2006/main" rot="16200000">
          <a:off x="2319620" y="2168711"/>
          <a:ext cx="106830" cy="789642"/>
        </a:xfrm>
        <a:prstGeom xmlns:a="http://schemas.openxmlformats.org/drawingml/2006/main" prst="leftBrace">
          <a:avLst/>
        </a:prstGeom>
        <a:ln xmlns:a="http://schemas.openxmlformats.org/drawingml/2006/main" w="127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0.06529</cdr:x>
      <cdr:y>0.43374</cdr:y>
    </cdr:from>
    <cdr:to>
      <cdr:x>0.93127</cdr:x>
      <cdr:y>0.56626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239056A-82E0-4145-AF5A-11DAF4093D5A}"/>
            </a:ext>
          </a:extLst>
        </cdr:cNvPr>
        <cdr:cNvSpPr txBox="1"/>
      </cdr:nvSpPr>
      <cdr:spPr>
        <a:xfrm xmlns:a="http://schemas.openxmlformats.org/drawingml/2006/main">
          <a:off x="212912" y="1613648"/>
          <a:ext cx="2823882" cy="4930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GB" sz="1200" u="sng">
              <a:solidFill>
                <a:schemeClr val="tx1"/>
              </a:solidFill>
            </a:rPr>
            <a:t>original PSO model</a:t>
          </a:r>
          <a:r>
            <a:rPr lang="en-GB" sz="1200" u="sng" baseline="0">
              <a:solidFill>
                <a:schemeClr val="tx1"/>
              </a:solidFill>
            </a:rPr>
            <a:t> (</a:t>
          </a:r>
          <a:r>
            <a:rPr lang="en-GB" sz="1200" u="sng">
              <a:solidFill>
                <a:schemeClr val="tx1"/>
              </a:solidFill>
            </a:rPr>
            <a:t>k</a:t>
          </a:r>
          <a:r>
            <a:rPr lang="en-GB" sz="1200" u="sng" baseline="-25000">
              <a:solidFill>
                <a:schemeClr val="tx1"/>
              </a:solidFill>
            </a:rPr>
            <a:t>2</a:t>
          </a:r>
          <a:r>
            <a:rPr lang="en-GB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 sz="1200" u="sng" baseline="-250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0.05842</cdr:x>
      <cdr:y>0.06024</cdr:y>
    </cdr:from>
    <cdr:to>
      <cdr:x>0.94158</cdr:x>
      <cdr:y>0.38414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7AA15E7-BAB6-4F64-A247-0832F0D11905}"/>
            </a:ext>
          </a:extLst>
        </cdr:cNvPr>
        <cdr:cNvSpPr txBox="1"/>
      </cdr:nvSpPr>
      <cdr:spPr>
        <a:xfrm xmlns:a="http://schemas.openxmlformats.org/drawingml/2006/main">
          <a:off x="190498" y="224118"/>
          <a:ext cx="2879913" cy="12050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 u="sng">
              <a:solidFill>
                <a:schemeClr val="tx1"/>
              </a:solidFill>
            </a:rPr>
            <a:t>rPSO model (k')</a:t>
          </a:r>
        </a:p>
      </cdr:txBody>
    </cdr:sp>
  </cdr:relSizeAnchor>
  <cdr:relSizeAnchor xmlns:cdr="http://schemas.openxmlformats.org/drawingml/2006/chartDrawing">
    <cdr:from>
      <cdr:x>0.19997</cdr:x>
      <cdr:y>0.49559</cdr:y>
    </cdr:from>
    <cdr:to>
      <cdr:x>0.5809</cdr:x>
      <cdr:y>0.58434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3A2C3804-ACDE-4D39-9E9D-D450797E324D}"/>
            </a:ext>
          </a:extLst>
        </cdr:cNvPr>
        <cdr:cNvSpPr txBox="1"/>
      </cdr:nvSpPr>
      <cdr:spPr>
        <a:xfrm xmlns:a="http://schemas.openxmlformats.org/drawingml/2006/main">
          <a:off x="652094" y="1843752"/>
          <a:ext cx="1242179" cy="3301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l-GR" sz="1200">
              <a:solidFill>
                <a:srgbClr val="0070C0"/>
              </a:solidFill>
            </a:rPr>
            <a:t>μ±σ</a:t>
          </a:r>
          <a:r>
            <a:rPr lang="en-GB" sz="1200">
              <a:solidFill>
                <a:srgbClr val="0070C0"/>
              </a:solidFill>
            </a:rPr>
            <a:t>=-0.73</a:t>
          </a:r>
          <a:r>
            <a:rPr lang="el-GR" sz="12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±</a:t>
          </a:r>
          <a:r>
            <a:rPr lang="en-GB" sz="12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0.46</a:t>
          </a:r>
          <a:endParaRPr lang="en-GB" sz="1200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0.54636</cdr:x>
      <cdr:y>0.48956</cdr:y>
    </cdr:from>
    <cdr:to>
      <cdr:x>0.92728</cdr:x>
      <cdr:y>0.57832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147B4F9-1606-4402-BCC2-4B47DF51566D}"/>
            </a:ext>
          </a:extLst>
        </cdr:cNvPr>
        <cdr:cNvSpPr txBox="1"/>
      </cdr:nvSpPr>
      <cdr:spPr>
        <a:xfrm xmlns:a="http://schemas.openxmlformats.org/drawingml/2006/main">
          <a:off x="1781641" y="1821318"/>
          <a:ext cx="1242147" cy="3302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l-GR" sz="1200">
              <a:solidFill>
                <a:srgbClr val="FF0000"/>
              </a:solidFill>
            </a:rPr>
            <a:t>μ±σ</a:t>
          </a:r>
          <a:r>
            <a:rPr lang="en-GB" sz="1200">
              <a:solidFill>
                <a:srgbClr val="FF0000"/>
              </a:solidFill>
            </a:rPr>
            <a:t>=1.57</a:t>
          </a:r>
          <a:r>
            <a:rPr lang="el-GR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±</a:t>
          </a:r>
          <a:r>
            <a:rPr lang="en-GB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0.79</a:t>
          </a:r>
          <a:endParaRPr lang="en-GB" sz="12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0.2869</cdr:x>
      <cdr:y>0.21084</cdr:y>
    </cdr:from>
    <cdr:to>
      <cdr:x>0.66782</cdr:x>
      <cdr:y>0.30119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430967A2-E6CC-49FC-AAF1-50DB53AF6E1E}"/>
            </a:ext>
          </a:extLst>
        </cdr:cNvPr>
        <cdr:cNvSpPr txBox="1"/>
      </cdr:nvSpPr>
      <cdr:spPr>
        <a:xfrm xmlns:a="http://schemas.openxmlformats.org/drawingml/2006/main">
          <a:off x="935567" y="784413"/>
          <a:ext cx="1242147" cy="3361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l-GR" sz="1200">
              <a:solidFill>
                <a:srgbClr val="0070C0"/>
              </a:solidFill>
            </a:rPr>
            <a:t>μ±σ</a:t>
          </a:r>
          <a:r>
            <a:rPr lang="en-GB" sz="1200">
              <a:solidFill>
                <a:srgbClr val="0070C0"/>
              </a:solidFill>
            </a:rPr>
            <a:t>=-0.20</a:t>
          </a:r>
          <a:r>
            <a:rPr lang="el-GR" sz="12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±</a:t>
          </a:r>
          <a:r>
            <a:rPr lang="en-GB" sz="12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0.38</a:t>
          </a:r>
          <a:endParaRPr lang="en-GB" sz="1200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0.32648</cdr:x>
      <cdr:y>0.13253</cdr:y>
    </cdr:from>
    <cdr:to>
      <cdr:x>0.7074</cdr:x>
      <cdr:y>0.21386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9278B39D-3038-406F-BEE1-795DDE685584}"/>
            </a:ext>
          </a:extLst>
        </cdr:cNvPr>
        <cdr:cNvSpPr txBox="1"/>
      </cdr:nvSpPr>
      <cdr:spPr>
        <a:xfrm xmlns:a="http://schemas.openxmlformats.org/drawingml/2006/main">
          <a:off x="1064634" y="493059"/>
          <a:ext cx="1242147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l-GR" sz="1200">
              <a:solidFill>
                <a:srgbClr val="FF0000"/>
              </a:solidFill>
            </a:rPr>
            <a:t>μ±σ</a:t>
          </a:r>
          <a:r>
            <a:rPr lang="en-GB" sz="1200">
              <a:solidFill>
                <a:srgbClr val="FF0000"/>
              </a:solidFill>
            </a:rPr>
            <a:t>=0.10</a:t>
          </a:r>
          <a:r>
            <a:rPr lang="el-GR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±</a:t>
          </a:r>
          <a:r>
            <a:rPr lang="en-GB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0.45</a:t>
          </a:r>
          <a:endParaRPr lang="en-GB" sz="12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0.28018</cdr:x>
      <cdr:y>0.73354</cdr:y>
    </cdr:from>
    <cdr:to>
      <cdr:x>0.59945</cdr:x>
      <cdr:y>0.88113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58C55BD7-B1E0-4A62-9D30-DA58ACD5CB30}"/>
            </a:ext>
          </a:extLst>
        </cdr:cNvPr>
        <cdr:cNvSpPr txBox="1"/>
      </cdr:nvSpPr>
      <cdr:spPr>
        <a:xfrm xmlns:a="http://schemas.openxmlformats.org/drawingml/2006/main">
          <a:off x="913643" y="2729022"/>
          <a:ext cx="1041112" cy="549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>
              <a:solidFill>
                <a:srgbClr val="0070C0"/>
              </a:solidFill>
            </a:rPr>
            <a:t>C</a:t>
          </a:r>
          <a:r>
            <a:rPr lang="en-GB" sz="1200" baseline="-25000">
              <a:solidFill>
                <a:srgbClr val="0070C0"/>
              </a:solidFill>
            </a:rPr>
            <a:t>0</a:t>
          </a:r>
        </a:p>
      </cdr:txBody>
    </cdr:sp>
  </cdr:relSizeAnchor>
  <cdr:relSizeAnchor xmlns:cdr="http://schemas.openxmlformats.org/drawingml/2006/chartDrawing">
    <cdr:from>
      <cdr:x>0.56884</cdr:x>
      <cdr:y>0.73655</cdr:y>
    </cdr:from>
    <cdr:to>
      <cdr:x>0.88811</cdr:x>
      <cdr:y>0.88414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4117403D-6C30-4D47-95C2-E6DE3DF99F17}"/>
            </a:ext>
          </a:extLst>
        </cdr:cNvPr>
        <cdr:cNvSpPr txBox="1"/>
      </cdr:nvSpPr>
      <cdr:spPr>
        <a:xfrm xmlns:a="http://schemas.openxmlformats.org/drawingml/2006/main">
          <a:off x="1854938" y="2740220"/>
          <a:ext cx="1041112" cy="549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>
              <a:solidFill>
                <a:srgbClr val="FF0000"/>
              </a:solidFill>
            </a:rPr>
            <a:t>C</a:t>
          </a:r>
          <a:r>
            <a:rPr lang="en-GB" sz="1200" baseline="-25000">
              <a:solidFill>
                <a:srgbClr val="FF0000"/>
              </a:solidFill>
            </a:rPr>
            <a:t>S</a:t>
          </a:r>
        </a:p>
      </cdr:txBody>
    </cdr:sp>
  </cdr:relSizeAnchor>
  <cdr:relSizeAnchor xmlns:cdr="http://schemas.openxmlformats.org/drawingml/2006/chartDrawing">
    <cdr:from>
      <cdr:x>0.30241</cdr:x>
      <cdr:y>0.70181</cdr:y>
    </cdr:from>
    <cdr:to>
      <cdr:x>0.56701</cdr:x>
      <cdr:y>0.72892</cdr:y>
    </cdr:to>
    <cdr:sp macro="" textlink="">
      <cdr:nvSpPr>
        <cdr:cNvPr id="10" name="Left Brace 9">
          <a:extLst xmlns:a="http://schemas.openxmlformats.org/drawingml/2006/main">
            <a:ext uri="{FF2B5EF4-FFF2-40B4-BE49-F238E27FC236}">
              <a16:creationId xmlns:a16="http://schemas.microsoft.com/office/drawing/2014/main" id="{327A77E5-E069-47F2-86C1-A5CFF01656CF}"/>
            </a:ext>
          </a:extLst>
        </cdr:cNvPr>
        <cdr:cNvSpPr/>
      </cdr:nvSpPr>
      <cdr:spPr>
        <a:xfrm xmlns:a="http://schemas.openxmlformats.org/drawingml/2006/main" rot="16200000">
          <a:off x="1367122" y="2229986"/>
          <a:ext cx="100859" cy="862838"/>
        </a:xfrm>
        <a:prstGeom xmlns:a="http://schemas.openxmlformats.org/drawingml/2006/main" prst="leftBrace">
          <a:avLst/>
        </a:prstGeom>
        <a:ln xmlns:a="http://schemas.openxmlformats.org/drawingml/2006/main" w="12700">
          <a:solidFill>
            <a:srgbClr val="0070C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0.60664</cdr:x>
      <cdr:y>0.70181</cdr:y>
    </cdr:from>
    <cdr:to>
      <cdr:x>0.8488</cdr:x>
      <cdr:y>0.73052</cdr:y>
    </cdr:to>
    <cdr:sp macro="" textlink="">
      <cdr:nvSpPr>
        <cdr:cNvPr id="11" name="Left Brace 10">
          <a:extLst xmlns:a="http://schemas.openxmlformats.org/drawingml/2006/main">
            <a:ext uri="{FF2B5EF4-FFF2-40B4-BE49-F238E27FC236}">
              <a16:creationId xmlns:a16="http://schemas.microsoft.com/office/drawing/2014/main" id="{BCCA4A9E-F179-45EF-BB35-F79F14C221BC}"/>
            </a:ext>
          </a:extLst>
        </cdr:cNvPr>
        <cdr:cNvSpPr/>
      </cdr:nvSpPr>
      <cdr:spPr>
        <a:xfrm xmlns:a="http://schemas.openxmlformats.org/drawingml/2006/main" rot="16200000">
          <a:off x="2319626" y="2269550"/>
          <a:ext cx="106812" cy="789662"/>
        </a:xfrm>
        <a:prstGeom xmlns:a="http://schemas.openxmlformats.org/drawingml/2006/main" prst="leftBrace">
          <a:avLst/>
        </a:prstGeom>
        <a:ln xmlns:a="http://schemas.openxmlformats.org/drawingml/2006/main" w="127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0.074</cdr:x>
      <cdr:y>0.42169</cdr:y>
    </cdr:from>
    <cdr:to>
      <cdr:x>0.93127</cdr:x>
      <cdr:y>0.48494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CAF1B624-F250-4743-BBD4-59E093DA9DFD}"/>
            </a:ext>
          </a:extLst>
        </cdr:cNvPr>
        <cdr:cNvSpPr txBox="1"/>
      </cdr:nvSpPr>
      <cdr:spPr>
        <a:xfrm xmlns:a="http://schemas.openxmlformats.org/drawingml/2006/main">
          <a:off x="241303" y="1568824"/>
          <a:ext cx="2795492" cy="23532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80000"/>
          </a:scheme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 u="none">
              <a:solidFill>
                <a:schemeClr val="tx1"/>
              </a:solidFill>
            </a:rPr>
            <a:t>original PSO model</a:t>
          </a:r>
          <a:r>
            <a:rPr lang="en-GB" sz="1200" u="none" baseline="0">
              <a:solidFill>
                <a:schemeClr val="tx1"/>
              </a:solidFill>
            </a:rPr>
            <a:t> (</a:t>
          </a:r>
          <a:r>
            <a:rPr lang="en-GB" sz="1200" u="none">
              <a:solidFill>
                <a:schemeClr val="tx1"/>
              </a:solidFill>
            </a:rPr>
            <a:t>k</a:t>
          </a:r>
          <a:r>
            <a:rPr lang="en-GB" sz="1200" u="none" baseline="-25000">
              <a:solidFill>
                <a:schemeClr val="tx1"/>
              </a:solidFill>
            </a:rPr>
            <a:t>2</a:t>
          </a:r>
          <a:r>
            <a:rPr lang="en-GB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 sz="1200" u="none" baseline="-250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0.07904</cdr:x>
      <cdr:y>0.05281</cdr:y>
    </cdr:from>
    <cdr:to>
      <cdr:x>0.92784</cdr:x>
      <cdr:y>0.12048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400394DC-F6DE-4852-953D-74D3847B6ABC}"/>
            </a:ext>
          </a:extLst>
        </cdr:cNvPr>
        <cdr:cNvSpPr txBox="1"/>
      </cdr:nvSpPr>
      <cdr:spPr>
        <a:xfrm xmlns:a="http://schemas.openxmlformats.org/drawingml/2006/main">
          <a:off x="257736" y="196476"/>
          <a:ext cx="2767853" cy="2517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80000"/>
          </a:scheme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 u="none">
              <a:solidFill>
                <a:schemeClr val="tx1"/>
              </a:solidFill>
            </a:rPr>
            <a:t>rPSO model (k')</a:t>
          </a:r>
        </a:p>
      </cdr:txBody>
    </cdr:sp>
  </cdr:relSizeAnchor>
  <cdr:relSizeAnchor xmlns:cdr="http://schemas.openxmlformats.org/drawingml/2006/chartDrawing">
    <cdr:from>
      <cdr:x>0.27835</cdr:x>
      <cdr:y>0.49096</cdr:y>
    </cdr:from>
    <cdr:to>
      <cdr:x>0.5189</cdr:x>
      <cdr:y>0.71707</cdr:y>
    </cdr:to>
    <cdr:sp macro="" textlink="">
      <cdr:nvSpPr>
        <cdr:cNvPr id="18" name="TextBox 1">
          <a:extLst xmlns:a="http://schemas.openxmlformats.org/drawingml/2006/main">
            <a:ext uri="{FF2B5EF4-FFF2-40B4-BE49-F238E27FC236}">
              <a16:creationId xmlns:a16="http://schemas.microsoft.com/office/drawing/2014/main" id="{1AAE7F3F-92AC-4006-BC94-6C0C44C90B75}"/>
            </a:ext>
          </a:extLst>
        </cdr:cNvPr>
        <cdr:cNvSpPr txBox="1"/>
      </cdr:nvSpPr>
      <cdr:spPr>
        <a:xfrm xmlns:a="http://schemas.openxmlformats.org/drawingml/2006/main">
          <a:off x="907676" y="1826559"/>
          <a:ext cx="784412" cy="8412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>
              <a:solidFill>
                <a:srgbClr val="0070C0"/>
              </a:solidFill>
            </a:rPr>
            <a:t>C</a:t>
          </a:r>
          <a:r>
            <a:rPr lang="en-GB" sz="1200" baseline="-25000">
              <a:solidFill>
                <a:srgbClr val="0070C0"/>
              </a:solidFill>
            </a:rPr>
            <a:t>0</a:t>
          </a:r>
        </a:p>
      </cdr:txBody>
    </cdr:sp>
  </cdr:relSizeAnchor>
  <cdr:relSizeAnchor xmlns:cdr="http://schemas.openxmlformats.org/drawingml/2006/chartDrawing">
    <cdr:from>
      <cdr:x>0.62199</cdr:x>
      <cdr:y>0.5595</cdr:y>
    </cdr:from>
    <cdr:to>
      <cdr:x>0.85567</cdr:x>
      <cdr:y>0.76827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B44D8613-7E98-4B46-A9D4-51D0B6EC9513}"/>
            </a:ext>
          </a:extLst>
        </cdr:cNvPr>
        <cdr:cNvSpPr txBox="1"/>
      </cdr:nvSpPr>
      <cdr:spPr>
        <a:xfrm xmlns:a="http://schemas.openxmlformats.org/drawingml/2006/main">
          <a:off x="2028265" y="2081535"/>
          <a:ext cx="762000" cy="776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>
              <a:solidFill>
                <a:srgbClr val="FF0000"/>
              </a:solidFill>
            </a:rPr>
            <a:t>C</a:t>
          </a:r>
          <a:r>
            <a:rPr lang="en-GB" sz="1200" baseline="-25000">
              <a:solidFill>
                <a:srgbClr val="FF0000"/>
              </a:solidFill>
            </a:rPr>
            <a:t>S</a:t>
          </a:r>
        </a:p>
      </cdr:txBody>
    </cdr:sp>
  </cdr:relSizeAnchor>
  <cdr:relSizeAnchor xmlns:cdr="http://schemas.openxmlformats.org/drawingml/2006/chartDrawing">
    <cdr:from>
      <cdr:x>0.34548</cdr:x>
      <cdr:y>0.11004</cdr:y>
    </cdr:from>
    <cdr:to>
      <cdr:x>0.58603</cdr:x>
      <cdr:y>0.26988</cdr:y>
    </cdr:to>
    <cdr:sp macro="" textlink="">
      <cdr:nvSpPr>
        <cdr:cNvPr id="34" name="TextBox 1">
          <a:extLst xmlns:a="http://schemas.openxmlformats.org/drawingml/2006/main">
            <a:ext uri="{FF2B5EF4-FFF2-40B4-BE49-F238E27FC236}">
              <a16:creationId xmlns:a16="http://schemas.microsoft.com/office/drawing/2014/main" id="{77655449-9861-47CD-AB44-B4ACC6473764}"/>
            </a:ext>
          </a:extLst>
        </cdr:cNvPr>
        <cdr:cNvSpPr txBox="1"/>
      </cdr:nvSpPr>
      <cdr:spPr>
        <a:xfrm xmlns:a="http://schemas.openxmlformats.org/drawingml/2006/main">
          <a:off x="1126565" y="409388"/>
          <a:ext cx="784412" cy="594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>
              <a:solidFill>
                <a:srgbClr val="0070C0"/>
              </a:solidFill>
            </a:rPr>
            <a:t>C</a:t>
          </a:r>
          <a:r>
            <a:rPr lang="en-GB" sz="1200" baseline="-25000">
              <a:solidFill>
                <a:srgbClr val="0070C0"/>
              </a:solidFill>
            </a:rPr>
            <a:t>0</a:t>
          </a:r>
        </a:p>
      </cdr:txBody>
    </cdr:sp>
  </cdr:relSizeAnchor>
  <cdr:relSizeAnchor xmlns:cdr="http://schemas.openxmlformats.org/drawingml/2006/chartDrawing">
    <cdr:from>
      <cdr:x>0.62726</cdr:x>
      <cdr:y>0.19739</cdr:y>
    </cdr:from>
    <cdr:to>
      <cdr:x>0.86094</cdr:x>
      <cdr:y>0.34498</cdr:y>
    </cdr:to>
    <cdr:sp macro="" textlink="">
      <cdr:nvSpPr>
        <cdr:cNvPr id="40" name="TextBox 1">
          <a:extLst xmlns:a="http://schemas.openxmlformats.org/drawingml/2006/main">
            <a:ext uri="{FF2B5EF4-FFF2-40B4-BE49-F238E27FC236}">
              <a16:creationId xmlns:a16="http://schemas.microsoft.com/office/drawing/2014/main" id="{F96CB93D-4D8B-4055-B8CC-6E30BC96D499}"/>
            </a:ext>
          </a:extLst>
        </cdr:cNvPr>
        <cdr:cNvSpPr txBox="1"/>
      </cdr:nvSpPr>
      <cdr:spPr>
        <a:xfrm xmlns:a="http://schemas.openxmlformats.org/drawingml/2006/main">
          <a:off x="2045447" y="734358"/>
          <a:ext cx="762000" cy="549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>
              <a:solidFill>
                <a:srgbClr val="FF0000"/>
              </a:solidFill>
            </a:rPr>
            <a:t>C</a:t>
          </a:r>
          <a:r>
            <a:rPr lang="en-GB" sz="1200" baseline="-25000">
              <a:solidFill>
                <a:srgbClr val="FF0000"/>
              </a:solidFill>
            </a:rPr>
            <a:t>S</a:t>
          </a:r>
        </a:p>
      </cdr:txBody>
    </cdr:sp>
  </cdr:relSizeAnchor>
  <cdr:relSizeAnchor xmlns:cdr="http://schemas.openxmlformats.org/drawingml/2006/chartDrawing">
    <cdr:from>
      <cdr:x>0.62199</cdr:x>
      <cdr:y>0.25</cdr:y>
    </cdr:from>
    <cdr:to>
      <cdr:x>0.7079</cdr:x>
      <cdr:y>0.31627</cdr:y>
    </cdr:to>
    <cdr:cxnSp macro="">
      <cdr:nvCxnSpPr>
        <cdr:cNvPr id="42" name="Straight Arrow Connector 41">
          <a:extLst xmlns:a="http://schemas.openxmlformats.org/drawingml/2006/main">
            <a:ext uri="{FF2B5EF4-FFF2-40B4-BE49-F238E27FC236}">
              <a16:creationId xmlns:a16="http://schemas.microsoft.com/office/drawing/2014/main" id="{F1628A51-AA60-42EB-8B5E-D96EAAED9FD3}"/>
            </a:ext>
          </a:extLst>
        </cdr:cNvPr>
        <cdr:cNvCxnSpPr/>
      </cdr:nvCxnSpPr>
      <cdr:spPr>
        <a:xfrm xmlns:a="http://schemas.openxmlformats.org/drawingml/2006/main" flipH="1">
          <a:off x="2028265" y="930088"/>
          <a:ext cx="280147" cy="24653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0.59977</cdr:x>
      <cdr:y>0.73353</cdr:y>
    </cdr:from>
    <cdr:to>
      <cdr:x>0.81443</cdr:x>
      <cdr:y>0.80422</cdr:y>
    </cdr:to>
    <cdr:sp macro="" textlink="">
      <cdr:nvSpPr>
        <cdr:cNvPr id="43" name="TextBox 1">
          <a:extLst xmlns:a="http://schemas.openxmlformats.org/drawingml/2006/main">
            <a:ext uri="{FF2B5EF4-FFF2-40B4-BE49-F238E27FC236}">
              <a16:creationId xmlns:a16="http://schemas.microsoft.com/office/drawing/2014/main" id="{66A1443C-2449-47C8-BCF6-D3DED5B1D62B}"/>
            </a:ext>
          </a:extLst>
        </cdr:cNvPr>
        <cdr:cNvSpPr txBox="1"/>
      </cdr:nvSpPr>
      <cdr:spPr>
        <a:xfrm xmlns:a="http://schemas.openxmlformats.org/drawingml/2006/main">
          <a:off x="1955800" y="2729004"/>
          <a:ext cx="699995" cy="26296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 u="none">
              <a:solidFill>
                <a:schemeClr val="tx1"/>
              </a:solidFill>
            </a:rPr>
            <a:t>ideal</a:t>
          </a:r>
          <a:endParaRPr lang="en-GB" sz="1200" u="none" baseline="-250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0.50515</cdr:x>
      <cdr:y>0.7741</cdr:y>
    </cdr:from>
    <cdr:to>
      <cdr:x>0.63574</cdr:x>
      <cdr:y>0.7741</cdr:y>
    </cdr:to>
    <cdr:cxnSp macro="">
      <cdr:nvCxnSpPr>
        <cdr:cNvPr id="46" name="Straight Arrow Connector 45">
          <a:extLst xmlns:a="http://schemas.openxmlformats.org/drawingml/2006/main">
            <a:ext uri="{FF2B5EF4-FFF2-40B4-BE49-F238E27FC236}">
              <a16:creationId xmlns:a16="http://schemas.microsoft.com/office/drawing/2014/main" id="{33DF3E84-0213-4670-BAEC-8452D0A184B9}"/>
            </a:ext>
          </a:extLst>
        </cdr:cNvPr>
        <cdr:cNvCxnSpPr/>
      </cdr:nvCxnSpPr>
      <cdr:spPr>
        <a:xfrm xmlns:a="http://schemas.openxmlformats.org/drawingml/2006/main" flipH="1">
          <a:off x="1647266" y="2879912"/>
          <a:ext cx="425823" cy="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for%20letter_v08.xl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of_1"/>
      <sheetName val="proof_2"/>
      <sheetName val="proof_3"/>
      <sheetName val="proof_4"/>
      <sheetName val="proof_5a"/>
      <sheetName val="proof_5b"/>
      <sheetName val="proof_6(literaturedata)"/>
      <sheetName val="proof_7"/>
      <sheetName val="proof_8"/>
      <sheetName val="proof_9"/>
      <sheetName val="proof"/>
      <sheetName val="Cs_1"/>
      <sheetName val="Cs_2"/>
      <sheetName val="Cs_3"/>
      <sheetName val="Cs3_plot"/>
      <sheetName val="Cs_3 (2)_dontuse"/>
      <sheetName val="Cs_4_crud"/>
      <sheetName val="Cs_5"/>
      <sheetName val="Cs_6"/>
      <sheetName val="Cs_7_dontuse"/>
      <sheetName val="Cs_7 (2)"/>
      <sheetName val="Cs_8"/>
      <sheetName val="Cs_9"/>
      <sheetName val="Cs_10"/>
      <sheetName val="Cs_11+12"/>
      <sheetName val="11+12plots"/>
      <sheetName val="Cs_13"/>
      <sheetName val="Cs_14"/>
      <sheetName val="14_plot"/>
      <sheetName val="Cs"/>
      <sheetName val="SA_1"/>
      <sheetName val="SA_2"/>
      <sheetName val="SA"/>
      <sheetName val="summary"/>
      <sheetName val="k normalisation"/>
      <sheetName val="histogram"/>
      <sheetName val="validation"/>
      <sheetName val="v_plots"/>
      <sheetName val="v_p2"/>
      <sheetName val="cross_calibration"/>
      <sheetName val="normalisation"/>
      <sheetName val="norm_2"/>
      <sheetName val="norm_3"/>
      <sheetName val="norm_plots"/>
      <sheetName val="particle_size"/>
      <sheetName val="ps_plots"/>
      <sheetName val="sketch(delete)"/>
      <sheetName val="sketch (2)"/>
    </sheetNames>
    <sheetDataSet>
      <sheetData sheetId="0">
        <row r="8">
          <cell r="B8" t="str">
            <v>As(V)/Fe2O3</v>
          </cell>
        </row>
      </sheetData>
      <sheetData sheetId="1">
        <row r="8">
          <cell r="B8" t="str">
            <v>As(V)/laterite</v>
          </cell>
        </row>
      </sheetData>
      <sheetData sheetId="2">
        <row r="8">
          <cell r="B8" t="str">
            <v>As(III)/HFO</v>
          </cell>
        </row>
      </sheetData>
      <sheetData sheetId="3">
        <row r="8">
          <cell r="B8" t="str">
            <v>HPO4-2/iron hydroxide</v>
          </cell>
        </row>
      </sheetData>
      <sheetData sheetId="4">
        <row r="8">
          <cell r="B8" t="str">
            <v>Cu(II)/soil</v>
          </cell>
        </row>
      </sheetData>
      <sheetData sheetId="5"/>
      <sheetData sheetId="6"/>
      <sheetData sheetId="7"/>
      <sheetData sheetId="8"/>
      <sheetData sheetId="9"/>
      <sheetData sheetId="10">
        <row r="44">
          <cell r="U44" t="str">
            <v>Zn(II)/soil</v>
          </cell>
          <cell r="Z44" t="str">
            <v>Rhodamine B/MgO-Fe-Co-Mn</v>
          </cell>
        </row>
        <row r="47">
          <cell r="Z47">
            <v>1</v>
          </cell>
          <cell r="AA47">
            <v>1.4771212547196624</v>
          </cell>
          <cell r="AB47">
            <v>1.7781512503836436</v>
          </cell>
          <cell r="AC47">
            <v>1.9030899869919435</v>
          </cell>
          <cell r="AD47">
            <v>2.0791812460476247</v>
          </cell>
        </row>
        <row r="48">
          <cell r="Z48">
            <v>2.3725785885270665</v>
          </cell>
          <cell r="AA48">
            <v>3.0233282507857901</v>
          </cell>
          <cell r="AB48">
            <v>3.0530705031241099</v>
          </cell>
          <cell r="AC48">
            <v>3.0533501653152375</v>
          </cell>
          <cell r="AD48">
            <v>3.2714196482588012</v>
          </cell>
        </row>
        <row r="57">
          <cell r="Q57">
            <v>-0.5</v>
          </cell>
          <cell r="R57">
            <v>4</v>
          </cell>
        </row>
        <row r="58">
          <cell r="Q58">
            <v>-3</v>
          </cell>
          <cell r="R58">
            <v>1.5</v>
          </cell>
        </row>
        <row r="61">
          <cell r="Q61">
            <v>-1.5</v>
          </cell>
          <cell r="R61">
            <v>-6</v>
          </cell>
        </row>
        <row r="62">
          <cell r="Q62">
            <v>5</v>
          </cell>
          <cell r="R62">
            <v>0.5</v>
          </cell>
        </row>
        <row r="63">
          <cell r="Q63">
            <v>5</v>
          </cell>
          <cell r="R63">
            <v>2.5</v>
          </cell>
        </row>
        <row r="64">
          <cell r="Q64">
            <v>-1.5</v>
          </cell>
          <cell r="R64">
            <v>-4</v>
          </cell>
        </row>
        <row r="65">
          <cell r="Q65">
            <v>-1.5</v>
          </cell>
          <cell r="R65">
            <v>-4</v>
          </cell>
        </row>
        <row r="66">
          <cell r="Q66">
            <v>5</v>
          </cell>
          <cell r="R66">
            <v>2.5</v>
          </cell>
        </row>
        <row r="67">
          <cell r="Q67">
            <v>5</v>
          </cell>
          <cell r="R67">
            <v>4.5</v>
          </cell>
        </row>
        <row r="68">
          <cell r="Q68">
            <v>-1.5</v>
          </cell>
          <cell r="R68">
            <v>-2</v>
          </cell>
        </row>
        <row r="69">
          <cell r="Q69">
            <v>-1.5</v>
          </cell>
          <cell r="R69">
            <v>-2</v>
          </cell>
        </row>
        <row r="70">
          <cell r="Q70">
            <v>5</v>
          </cell>
          <cell r="R70">
            <v>4.5</v>
          </cell>
        </row>
        <row r="71">
          <cell r="Q71">
            <v>5</v>
          </cell>
          <cell r="R71">
            <v>6.5</v>
          </cell>
        </row>
        <row r="72">
          <cell r="Q72">
            <v>-1.5</v>
          </cell>
          <cell r="R72">
            <v>0</v>
          </cell>
        </row>
        <row r="73">
          <cell r="Q73">
            <v>-1.5</v>
          </cell>
          <cell r="R73">
            <v>0</v>
          </cell>
        </row>
        <row r="74">
          <cell r="Q74">
            <v>5</v>
          </cell>
          <cell r="R74">
            <v>6.5</v>
          </cell>
        </row>
        <row r="75">
          <cell r="Q75">
            <v>5</v>
          </cell>
          <cell r="R75">
            <v>8.5</v>
          </cell>
        </row>
        <row r="76">
          <cell r="Q76">
            <v>-1.5</v>
          </cell>
          <cell r="R76">
            <v>2</v>
          </cell>
        </row>
        <row r="77">
          <cell r="Q77">
            <v>-1.5</v>
          </cell>
          <cell r="R77">
            <v>2</v>
          </cell>
        </row>
        <row r="78">
          <cell r="Q78">
            <v>5</v>
          </cell>
          <cell r="R78">
            <v>8.5</v>
          </cell>
        </row>
        <row r="79">
          <cell r="Q79">
            <v>5</v>
          </cell>
          <cell r="R79">
            <v>10.5</v>
          </cell>
        </row>
        <row r="80">
          <cell r="Q80">
            <v>-1.5</v>
          </cell>
          <cell r="R80">
            <v>4</v>
          </cell>
        </row>
        <row r="81">
          <cell r="Q81">
            <v>-1.5</v>
          </cell>
          <cell r="R81">
            <v>4</v>
          </cell>
        </row>
        <row r="82">
          <cell r="Q82">
            <v>5</v>
          </cell>
          <cell r="R82">
            <v>10.5</v>
          </cell>
        </row>
        <row r="83">
          <cell r="Q83">
            <v>5</v>
          </cell>
          <cell r="R83">
            <v>12.5</v>
          </cell>
        </row>
        <row r="84">
          <cell r="Q84">
            <v>-1.5</v>
          </cell>
          <cell r="R84">
            <v>6</v>
          </cell>
        </row>
        <row r="85">
          <cell r="Q85">
            <v>-1.5</v>
          </cell>
          <cell r="R85">
            <v>6</v>
          </cell>
        </row>
        <row r="86">
          <cell r="Q86">
            <v>5</v>
          </cell>
          <cell r="R86">
            <v>12.5</v>
          </cell>
        </row>
        <row r="87">
          <cell r="Q87">
            <v>5</v>
          </cell>
          <cell r="R87">
            <v>14.5</v>
          </cell>
        </row>
        <row r="88">
          <cell r="Q88">
            <v>-1.5</v>
          </cell>
          <cell r="R88">
            <v>8</v>
          </cell>
        </row>
        <row r="89">
          <cell r="Q89">
            <v>-1.5</v>
          </cell>
          <cell r="R89">
            <v>8</v>
          </cell>
        </row>
        <row r="90">
          <cell r="Q90">
            <v>5</v>
          </cell>
          <cell r="R90">
            <v>14.5</v>
          </cell>
        </row>
        <row r="91">
          <cell r="Q91">
            <v>5</v>
          </cell>
          <cell r="R91">
            <v>16.5</v>
          </cell>
        </row>
        <row r="92">
          <cell r="Q92">
            <v>-1.5</v>
          </cell>
          <cell r="R92">
            <v>10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3">
          <cell r="A3" t="str">
            <v>Cr(VI)/Fe2O3</v>
          </cell>
        </row>
        <row r="6">
          <cell r="N6">
            <v>-0.3010299956639812</v>
          </cell>
          <cell r="O6">
            <v>0</v>
          </cell>
          <cell r="P6">
            <v>0.3010299956639812</v>
          </cell>
          <cell r="Q6">
            <v>0.6020599913279624</v>
          </cell>
          <cell r="S6">
            <v>-1.1016039540699911</v>
          </cell>
          <cell r="T6">
            <v>-0.50990099493669505</v>
          </cell>
          <cell r="U6">
            <v>7.8507567364714814E-2</v>
          </cell>
          <cell r="V6">
            <v>1.2843729744779064</v>
          </cell>
        </row>
        <row r="7">
          <cell r="A7" t="str">
            <v>SH2 (g)/ZnO2-bentonite-TiO2</v>
          </cell>
          <cell r="N7">
            <v>-1.8239087409443189</v>
          </cell>
          <cell r="O7">
            <v>-1.5228787452803376</v>
          </cell>
          <cell r="P7">
            <v>-1.3010299956639813</v>
          </cell>
          <cell r="Q7">
            <v>-1.1249387366082999</v>
          </cell>
          <cell r="S7">
            <v>-1.7201043273331333</v>
          </cell>
          <cell r="T7">
            <v>-1.7040880452359417</v>
          </cell>
          <cell r="U7">
            <v>-1.31203204520228</v>
          </cell>
          <cell r="V7">
            <v>-1.1140298556293211</v>
          </cell>
        </row>
        <row r="8">
          <cell r="A8" t="str">
            <v>Cr(VI)/guava seeds</v>
          </cell>
        </row>
        <row r="9">
          <cell r="A9" t="str">
            <v>Cd(II)/Fe2O3</v>
          </cell>
        </row>
        <row r="14">
          <cell r="A14" t="str">
            <v>Eriochrome Black-T dye/TiO2</v>
          </cell>
        </row>
        <row r="47">
          <cell r="L47">
            <v>-1.5</v>
          </cell>
          <cell r="M47">
            <v>-6</v>
          </cell>
        </row>
        <row r="48">
          <cell r="L48">
            <v>5</v>
          </cell>
          <cell r="M48">
            <v>0.5</v>
          </cell>
        </row>
        <row r="49">
          <cell r="L49">
            <v>5</v>
          </cell>
          <cell r="M49">
            <v>2.5</v>
          </cell>
        </row>
        <row r="50">
          <cell r="L50">
            <v>-1.5</v>
          </cell>
          <cell r="M50">
            <v>-4</v>
          </cell>
        </row>
        <row r="51">
          <cell r="L51">
            <v>-1.5</v>
          </cell>
          <cell r="M51">
            <v>-4</v>
          </cell>
        </row>
        <row r="52">
          <cell r="L52">
            <v>5</v>
          </cell>
          <cell r="M52">
            <v>2.5</v>
          </cell>
        </row>
        <row r="53">
          <cell r="L53">
            <v>5</v>
          </cell>
          <cell r="M53">
            <v>4.5</v>
          </cell>
        </row>
        <row r="54">
          <cell r="L54">
            <v>-1.5</v>
          </cell>
          <cell r="M54">
            <v>-2</v>
          </cell>
        </row>
        <row r="55">
          <cell r="L55">
            <v>-1.5</v>
          </cell>
          <cell r="M55">
            <v>-2</v>
          </cell>
        </row>
        <row r="56">
          <cell r="L56">
            <v>5</v>
          </cell>
          <cell r="M56">
            <v>4.5</v>
          </cell>
        </row>
        <row r="57">
          <cell r="L57">
            <v>5</v>
          </cell>
          <cell r="M57">
            <v>6.5</v>
          </cell>
        </row>
        <row r="58">
          <cell r="L58">
            <v>-1.5</v>
          </cell>
          <cell r="M58">
            <v>0</v>
          </cell>
        </row>
        <row r="59">
          <cell r="L59">
            <v>-1.5</v>
          </cell>
          <cell r="M59">
            <v>0</v>
          </cell>
        </row>
        <row r="60">
          <cell r="L60">
            <v>5</v>
          </cell>
          <cell r="M60">
            <v>6.5</v>
          </cell>
        </row>
        <row r="61">
          <cell r="L61">
            <v>5</v>
          </cell>
          <cell r="M61">
            <v>8.5</v>
          </cell>
        </row>
        <row r="62">
          <cell r="L62">
            <v>-1.5</v>
          </cell>
          <cell r="M62">
            <v>2</v>
          </cell>
        </row>
        <row r="63">
          <cell r="L63">
            <v>-1.5</v>
          </cell>
          <cell r="M63">
            <v>2</v>
          </cell>
        </row>
        <row r="64">
          <cell r="L64">
            <v>5</v>
          </cell>
          <cell r="M64">
            <v>8.5</v>
          </cell>
        </row>
        <row r="65">
          <cell r="L65">
            <v>5</v>
          </cell>
          <cell r="M65">
            <v>10.5</v>
          </cell>
        </row>
        <row r="66">
          <cell r="L66">
            <v>-1.5</v>
          </cell>
          <cell r="M66">
            <v>4</v>
          </cell>
        </row>
        <row r="67">
          <cell r="L67">
            <v>-1.5</v>
          </cell>
          <cell r="M67">
            <v>4</v>
          </cell>
        </row>
        <row r="68">
          <cell r="L68">
            <v>5</v>
          </cell>
          <cell r="M68">
            <v>10.5</v>
          </cell>
        </row>
        <row r="69">
          <cell r="L69">
            <v>5</v>
          </cell>
          <cell r="M69">
            <v>12.5</v>
          </cell>
        </row>
        <row r="70">
          <cell r="L70">
            <v>-1.5</v>
          </cell>
          <cell r="M70">
            <v>6</v>
          </cell>
        </row>
        <row r="71">
          <cell r="L71">
            <v>-1.5</v>
          </cell>
          <cell r="M71">
            <v>6</v>
          </cell>
        </row>
        <row r="72">
          <cell r="L72">
            <v>5</v>
          </cell>
          <cell r="M72">
            <v>12.5</v>
          </cell>
        </row>
        <row r="73">
          <cell r="L73">
            <v>5</v>
          </cell>
          <cell r="M73">
            <v>14.5</v>
          </cell>
        </row>
        <row r="74">
          <cell r="L74">
            <v>-1.5</v>
          </cell>
          <cell r="M74">
            <v>8</v>
          </cell>
        </row>
        <row r="75">
          <cell r="L75">
            <v>-1.5</v>
          </cell>
          <cell r="M75">
            <v>8</v>
          </cell>
        </row>
        <row r="76">
          <cell r="L76">
            <v>5</v>
          </cell>
          <cell r="M76">
            <v>14.5</v>
          </cell>
        </row>
        <row r="77">
          <cell r="L77">
            <v>5</v>
          </cell>
          <cell r="M77">
            <v>16.5</v>
          </cell>
        </row>
        <row r="78">
          <cell r="L78">
            <v>-1.5</v>
          </cell>
          <cell r="M78">
            <v>10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411"/>
  <sheetViews>
    <sheetView tabSelected="1" topLeftCell="A45" zoomScale="125" zoomScaleNormal="85" zoomScalePageLayoutView="85" workbookViewId="0">
      <selection activeCell="E49" sqref="E49"/>
    </sheetView>
  </sheetViews>
  <sheetFormatPr defaultColWidth="8.85546875" defaultRowHeight="15" x14ac:dyDescent="0.25"/>
  <cols>
    <col min="3" max="3" width="37.28515625" bestFit="1" customWidth="1"/>
    <col min="10" max="10" width="11" bestFit="1" customWidth="1"/>
    <col min="11" max="11" width="12" bestFit="1" customWidth="1"/>
    <col min="96" max="96" width="12.28515625" bestFit="1" customWidth="1"/>
  </cols>
  <sheetData>
    <row r="1" spans="24:99" x14ac:dyDescent="0.25">
      <c r="CC1" t="s">
        <v>0</v>
      </c>
      <c r="CD1" t="s">
        <v>1</v>
      </c>
      <c r="CE1" s="1">
        <v>0.5</v>
      </c>
      <c r="CF1" s="1"/>
      <c r="CM1">
        <v>0.4</v>
      </c>
      <c r="CN1">
        <f>CM1</f>
        <v>0.4</v>
      </c>
      <c r="CQ1" t="s">
        <v>2</v>
      </c>
    </row>
    <row r="2" spans="24:99" x14ac:dyDescent="0.25">
      <c r="X2" t="s">
        <v>3</v>
      </c>
      <c r="BJ2" t="s">
        <v>4</v>
      </c>
      <c r="BK2" t="s">
        <v>5</v>
      </c>
      <c r="BL2" t="s">
        <v>6</v>
      </c>
      <c r="BM2" t="s">
        <v>7</v>
      </c>
      <c r="BN2" t="s">
        <v>6</v>
      </c>
      <c r="BY2" t="s">
        <v>8</v>
      </c>
      <c r="BZ2">
        <f>CA18</f>
        <v>-0.57793026538576908</v>
      </c>
      <c r="CA2">
        <f>BZ18</f>
        <v>-1.1835620401155673</v>
      </c>
      <c r="CD2">
        <f>BK3</f>
        <v>-0.9343930087008443</v>
      </c>
      <c r="CE2">
        <f>BL3</f>
        <v>1</v>
      </c>
      <c r="CF2">
        <f>BM3</f>
        <v>-5.4291451354436637E-2</v>
      </c>
      <c r="CG2">
        <f>BN3</f>
        <v>2.2000000000000002</v>
      </c>
      <c r="CH2">
        <f>BK12</f>
        <v>0.8749085132916683</v>
      </c>
      <c r="CI2">
        <f>CE2</f>
        <v>1</v>
      </c>
      <c r="CJ2">
        <f>BM12</f>
        <v>-0.79873297351207717</v>
      </c>
      <c r="CK2">
        <f>CG2</f>
        <v>2.2000000000000002</v>
      </c>
      <c r="CM2">
        <f>IF(CG2="","",CG2+CM$1)</f>
        <v>2.6</v>
      </c>
      <c r="CN2">
        <f>IF(CK2="","",CK2+CN$1)</f>
        <v>2.6</v>
      </c>
      <c r="CR2" t="s">
        <v>9</v>
      </c>
      <c r="CS2" t="s">
        <v>10</v>
      </c>
      <c r="CT2" t="s">
        <v>11</v>
      </c>
      <c r="CU2" t="s">
        <v>12</v>
      </c>
    </row>
    <row r="3" spans="24:99" x14ac:dyDescent="0.25">
      <c r="X3">
        <v>-10</v>
      </c>
      <c r="Y3">
        <v>-16</v>
      </c>
      <c r="Z3">
        <f>-Y3</f>
        <v>16</v>
      </c>
      <c r="BJ3" t="str">
        <f t="shared" ref="BJ3:BJ11" si="0">B27</f>
        <v>proof_1</v>
      </c>
      <c r="BK3">
        <f t="shared" ref="BK3:BK11" si="1">BZ27</f>
        <v>-0.9343930087008443</v>
      </c>
      <c r="BL3">
        <v>1</v>
      </c>
      <c r="BM3">
        <f t="shared" ref="BM3:BM11" si="2">CA27</f>
        <v>-5.4291451354436637E-2</v>
      </c>
      <c r="BN3">
        <v>2.2000000000000002</v>
      </c>
      <c r="BZ3">
        <f>CA17</f>
        <v>0.17383244220607585</v>
      </c>
      <c r="CA3">
        <f>BZ18</f>
        <v>-1.1835620401155673</v>
      </c>
      <c r="CD3">
        <f>BK3</f>
        <v>-0.9343930087008443</v>
      </c>
      <c r="CE3">
        <f>BL3+$CE$1</f>
        <v>1.5</v>
      </c>
      <c r="CF3">
        <f>BM3</f>
        <v>-5.4291451354436637E-2</v>
      </c>
      <c r="CG3">
        <f>BN3+$CE$1</f>
        <v>2.7</v>
      </c>
      <c r="CH3">
        <f>BK12</f>
        <v>0.8749085132916683</v>
      </c>
      <c r="CI3">
        <f>CE3</f>
        <v>1.5</v>
      </c>
      <c r="CJ3">
        <f>BM12</f>
        <v>-0.79873297351207717</v>
      </c>
      <c r="CK3">
        <f>CG3</f>
        <v>2.7</v>
      </c>
      <c r="CM3">
        <f t="shared" ref="CM3:CM27" si="3">IF(CG3="","",CG3+CM$1)</f>
        <v>3.1</v>
      </c>
      <c r="CN3">
        <f t="shared" ref="CN3:CN27" si="4">IF(CK3="","",CK3+CN$1)</f>
        <v>3.1</v>
      </c>
      <c r="CQ3" t="s">
        <v>13</v>
      </c>
      <c r="CR3" s="2">
        <f>CD30</f>
        <v>-0.72666907189855279</v>
      </c>
      <c r="CS3" s="2">
        <f>CH30</f>
        <v>1.5668680172634821</v>
      </c>
      <c r="CT3" s="2">
        <f>CF30</f>
        <v>-0.20204891158984661</v>
      </c>
      <c r="CU3" s="2">
        <f>CJ30</f>
        <v>0.10204644943162225</v>
      </c>
    </row>
    <row r="4" spans="24:99" x14ac:dyDescent="0.25">
      <c r="X4">
        <v>10</v>
      </c>
      <c r="Y4">
        <f>Y3+(X4-X3)</f>
        <v>4</v>
      </c>
      <c r="Z4">
        <f t="shared" ref="Z4:Z23" si="5">-Y4</f>
        <v>-4</v>
      </c>
      <c r="BJ4" t="str">
        <f t="shared" si="0"/>
        <v>proof_2</v>
      </c>
      <c r="BK4">
        <f t="shared" si="1"/>
        <v>-0.80031890627543911</v>
      </c>
      <c r="BL4" s="3">
        <f t="shared" ref="BL4:BL18" si="6">BL$3</f>
        <v>1</v>
      </c>
      <c r="BM4">
        <f t="shared" si="2"/>
        <v>-0.63962127851055073</v>
      </c>
      <c r="BN4" s="3">
        <f t="shared" ref="BN4:BN18" si="7">BN$3</f>
        <v>2.2000000000000002</v>
      </c>
      <c r="BZ4">
        <f>CA17</f>
        <v>0.17383244220607585</v>
      </c>
      <c r="CA4">
        <f>BZ17</f>
        <v>-0.2697761036815382</v>
      </c>
      <c r="CD4" s="1">
        <f>CD3</f>
        <v>-0.9343930087008443</v>
      </c>
      <c r="CF4" s="1">
        <f>CF3</f>
        <v>-5.4291451354436637E-2</v>
      </c>
      <c r="CH4" s="1">
        <f>CH3</f>
        <v>0.8749085132916683</v>
      </c>
      <c r="CJ4" s="1">
        <f>CJ3</f>
        <v>-0.79873297351207717</v>
      </c>
      <c r="CQ4" t="s">
        <v>14</v>
      </c>
      <c r="CR4" s="2">
        <f>CD31</f>
        <v>0.45689296821701458</v>
      </c>
      <c r="CS4" s="2">
        <f>CH31</f>
        <v>0.78982341106503773</v>
      </c>
      <c r="CT4" s="2">
        <f>CF31</f>
        <v>0.37588135379592247</v>
      </c>
      <c r="CU4" s="2">
        <f>CJ31</f>
        <v>0.4464089604530676</v>
      </c>
    </row>
    <row r="5" spans="24:99" x14ac:dyDescent="0.25">
      <c r="X5">
        <f>X4</f>
        <v>10</v>
      </c>
      <c r="Y5">
        <f>Y4+2</f>
        <v>6</v>
      </c>
      <c r="Z5">
        <f t="shared" si="5"/>
        <v>-6</v>
      </c>
      <c r="BJ5" t="str">
        <f t="shared" si="0"/>
        <v>proof_3</v>
      </c>
      <c r="BK5">
        <f t="shared" si="1"/>
        <v>-0.90777422065481772</v>
      </c>
      <c r="BL5" s="3">
        <f t="shared" si="6"/>
        <v>1</v>
      </c>
      <c r="BM5">
        <f t="shared" si="2"/>
        <v>-0.33496657733623797</v>
      </c>
      <c r="BN5" s="3">
        <f t="shared" si="7"/>
        <v>2.2000000000000002</v>
      </c>
      <c r="BZ5">
        <f>CA18</f>
        <v>-0.57793026538576908</v>
      </c>
      <c r="CA5">
        <f>BZ17</f>
        <v>-0.2697761036815382</v>
      </c>
      <c r="CD5">
        <f>BK4</f>
        <v>-0.80031890627543911</v>
      </c>
      <c r="CE5">
        <f>CE3</f>
        <v>1.5</v>
      </c>
      <c r="CF5">
        <f>BM4</f>
        <v>-0.63962127851055073</v>
      </c>
      <c r="CG5">
        <f>CG3</f>
        <v>2.7</v>
      </c>
      <c r="CH5">
        <f>BK13</f>
        <v>1.0619649903898143</v>
      </c>
      <c r="CI5">
        <f>CE5</f>
        <v>1.5</v>
      </c>
      <c r="CJ5">
        <f>BM13</f>
        <v>0.47198361012826301</v>
      </c>
      <c r="CK5">
        <f>CG5</f>
        <v>2.7</v>
      </c>
      <c r="CM5">
        <f t="shared" si="3"/>
        <v>3.1</v>
      </c>
      <c r="CN5">
        <f t="shared" si="4"/>
        <v>3.1</v>
      </c>
      <c r="CQ5" t="s">
        <v>15</v>
      </c>
      <c r="CT5">
        <v>2</v>
      </c>
      <c r="CU5">
        <f>CT5</f>
        <v>2</v>
      </c>
    </row>
    <row r="6" spans="24:99" x14ac:dyDescent="0.25">
      <c r="X6">
        <f>X3</f>
        <v>-10</v>
      </c>
      <c r="Y6">
        <f>Y5+(Y3-Y4)</f>
        <v>-14</v>
      </c>
      <c r="Z6">
        <f t="shared" si="5"/>
        <v>14</v>
      </c>
      <c r="BJ6" t="str">
        <f t="shared" si="0"/>
        <v>proof_4</v>
      </c>
      <c r="BK6">
        <f t="shared" si="1"/>
        <v>-1.1479319101352701</v>
      </c>
      <c r="BL6" s="3">
        <f t="shared" si="6"/>
        <v>1</v>
      </c>
      <c r="BM6">
        <f t="shared" si="2"/>
        <v>-0.47169276822359685</v>
      </c>
      <c r="BN6" s="3">
        <f t="shared" si="7"/>
        <v>2.2000000000000002</v>
      </c>
      <c r="BZ6">
        <f>CA18</f>
        <v>-0.57793026538576908</v>
      </c>
      <c r="CA6">
        <f>BZ18</f>
        <v>-1.1835620401155673</v>
      </c>
      <c r="CD6">
        <f>BK4</f>
        <v>-0.80031890627543911</v>
      </c>
      <c r="CE6">
        <f>CE2</f>
        <v>1</v>
      </c>
      <c r="CF6">
        <f>BM4</f>
        <v>-0.63962127851055073</v>
      </c>
      <c r="CG6">
        <f>CG2</f>
        <v>2.2000000000000002</v>
      </c>
      <c r="CH6">
        <f>BK13</f>
        <v>1.0619649903898143</v>
      </c>
      <c r="CI6">
        <f>CE6</f>
        <v>1</v>
      </c>
      <c r="CJ6">
        <f>BM13</f>
        <v>0.47198361012826301</v>
      </c>
      <c r="CK6">
        <f>CG6</f>
        <v>2.2000000000000002</v>
      </c>
      <c r="CM6">
        <f t="shared" si="3"/>
        <v>2.6</v>
      </c>
      <c r="CN6">
        <f t="shared" si="4"/>
        <v>2.6</v>
      </c>
      <c r="CQ6">
        <v>-3</v>
      </c>
      <c r="CR6">
        <f>((1/(CR$4*SQRT(2*PI())))*EXP(-0.5*((($CQ6-CR$3)/CR$4)^2)))+CR$5</f>
        <v>3.6745291585766632E-6</v>
      </c>
      <c r="CS6">
        <f t="shared" ref="CS6:CU25" si="8">((1/(CS$4*SQRT(2*PI())))*EXP(-0.5*((($CQ6-CS$3)/CS$4)^2)))+CS$5</f>
        <v>2.7763239795551944E-8</v>
      </c>
      <c r="CT6">
        <f t="shared" si="8"/>
        <v>2.0000000000009863</v>
      </c>
      <c r="CU6">
        <f t="shared" si="8"/>
        <v>2.0000000000292264</v>
      </c>
    </row>
    <row r="7" spans="24:99" x14ac:dyDescent="0.25">
      <c r="X7">
        <f>X6</f>
        <v>-10</v>
      </c>
      <c r="Y7">
        <f>Y6+Y5-Y4</f>
        <v>-12</v>
      </c>
      <c r="Z7">
        <f t="shared" si="5"/>
        <v>12</v>
      </c>
      <c r="BJ7" t="str">
        <f t="shared" si="0"/>
        <v>proof_5a (1)</v>
      </c>
      <c r="BK7">
        <f t="shared" si="1"/>
        <v>-0.5127699894121488</v>
      </c>
      <c r="BL7" s="3">
        <f t="shared" si="6"/>
        <v>1</v>
      </c>
      <c r="BM7">
        <f t="shared" si="2"/>
        <v>-0.53200197566979435</v>
      </c>
      <c r="BN7" s="3">
        <f t="shared" si="7"/>
        <v>2.2000000000000002</v>
      </c>
      <c r="CD7" s="1">
        <f>CD6</f>
        <v>-0.80031890627543911</v>
      </c>
      <c r="CF7" s="1">
        <f>CF6</f>
        <v>-0.63962127851055073</v>
      </c>
      <c r="CH7" s="1">
        <f>CH6</f>
        <v>1.0619649903898143</v>
      </c>
      <c r="CJ7" s="1">
        <f>CJ6</f>
        <v>0.47198361012826301</v>
      </c>
      <c r="CQ7">
        <v>-2.9</v>
      </c>
      <c r="CR7">
        <f t="shared" ref="CR7:CU26" si="9">((1/(CR$4*SQRT(2*PI())))*EXP(-0.5*((($CQ7-CR$3)/CR$4)^2)))+CR$5</f>
        <v>1.0659885413309899E-5</v>
      </c>
      <c r="CS7">
        <f t="shared" si="8"/>
        <v>5.7270036898551927E-8</v>
      </c>
      <c r="CT7">
        <f t="shared" si="8"/>
        <v>2.0000000000068971</v>
      </c>
      <c r="CU7">
        <f t="shared" si="8"/>
        <v>2.000000000135179</v>
      </c>
    </row>
    <row r="8" spans="24:99" x14ac:dyDescent="0.25">
      <c r="X8">
        <f>X4</f>
        <v>10</v>
      </c>
      <c r="Y8">
        <f>Y7+(X8-X7)</f>
        <v>8</v>
      </c>
      <c r="Z8">
        <f t="shared" si="5"/>
        <v>-8</v>
      </c>
      <c r="BJ8" t="str">
        <f t="shared" si="0"/>
        <v>proof_5b</v>
      </c>
      <c r="BK8">
        <f t="shared" si="1"/>
        <v>-0.88741602203962011</v>
      </c>
      <c r="BL8" s="3">
        <f t="shared" si="6"/>
        <v>1</v>
      </c>
      <c r="BM8">
        <f t="shared" si="2"/>
        <v>-8.508133788386997E-2</v>
      </c>
      <c r="BN8" s="3">
        <f t="shared" si="7"/>
        <v>2.2000000000000002</v>
      </c>
      <c r="BZ8">
        <f>CA22</f>
        <v>-0.34436251102144533</v>
      </c>
      <c r="CA8">
        <f>BZ22</f>
        <v>0.7770446061984444</v>
      </c>
      <c r="CD8">
        <f>BK5</f>
        <v>-0.90777422065481772</v>
      </c>
      <c r="CE8" s="1">
        <f>CE2</f>
        <v>1</v>
      </c>
      <c r="CF8">
        <f>BM5</f>
        <v>-0.33496657733623797</v>
      </c>
      <c r="CG8" s="1">
        <f>CG2</f>
        <v>2.2000000000000002</v>
      </c>
      <c r="CH8">
        <f>BK14</f>
        <v>1.5136635226387571</v>
      </c>
      <c r="CI8">
        <f>CE8</f>
        <v>1</v>
      </c>
      <c r="CJ8">
        <f>BM14</f>
        <v>-6.0786974344240366E-2</v>
      </c>
      <c r="CK8">
        <f>CG8</f>
        <v>2.2000000000000002</v>
      </c>
      <c r="CM8">
        <f t="shared" si="3"/>
        <v>2.6</v>
      </c>
      <c r="CN8">
        <f t="shared" si="4"/>
        <v>2.6</v>
      </c>
      <c r="CQ8">
        <v>-2.8</v>
      </c>
      <c r="CR8">
        <f t="shared" si="9"/>
        <v>2.947806462597026E-5</v>
      </c>
      <c r="CS8">
        <f t="shared" si="8"/>
        <v>1.1625802406719342E-7</v>
      </c>
      <c r="CT8">
        <f t="shared" si="8"/>
        <v>2.0000000000449378</v>
      </c>
      <c r="CU8">
        <f t="shared" si="8"/>
        <v>2.0000000005946359</v>
      </c>
    </row>
    <row r="9" spans="24:99" x14ac:dyDescent="0.25">
      <c r="X9">
        <f>X5</f>
        <v>10</v>
      </c>
      <c r="Y9">
        <f>Y8+2</f>
        <v>10</v>
      </c>
      <c r="Z9">
        <f t="shared" si="5"/>
        <v>-10</v>
      </c>
      <c r="BJ9" t="str">
        <f t="shared" si="0"/>
        <v>proof_7</v>
      </c>
      <c r="BK9">
        <f t="shared" si="1"/>
        <v>0.32784851141346144</v>
      </c>
      <c r="BL9" s="3">
        <f t="shared" si="6"/>
        <v>1</v>
      </c>
      <c r="BM9">
        <f t="shared" si="2"/>
        <v>0.49301935159530064</v>
      </c>
      <c r="BN9" s="3">
        <f t="shared" si="7"/>
        <v>2.2000000000000002</v>
      </c>
      <c r="BZ9">
        <f>CA21</f>
        <v>0.54845540988468988</v>
      </c>
      <c r="CA9">
        <f>BZ22</f>
        <v>0.7770446061984444</v>
      </c>
      <c r="CD9">
        <f>BK5</f>
        <v>-0.90777422065481772</v>
      </c>
      <c r="CE9" s="1">
        <f>CE3</f>
        <v>1.5</v>
      </c>
      <c r="CF9">
        <f>BM5</f>
        <v>-0.33496657733623797</v>
      </c>
      <c r="CG9" s="1">
        <f>CG3</f>
        <v>2.7</v>
      </c>
      <c r="CH9">
        <f>BK14</f>
        <v>1.5136635226387571</v>
      </c>
      <c r="CI9">
        <f>CE9</f>
        <v>1.5</v>
      </c>
      <c r="CJ9">
        <f>BM14</f>
        <v>-6.0786974344240366E-2</v>
      </c>
      <c r="CK9">
        <f>CG9</f>
        <v>2.7</v>
      </c>
      <c r="CM9">
        <f t="shared" si="3"/>
        <v>3.1</v>
      </c>
      <c r="CN9">
        <f t="shared" si="4"/>
        <v>3.1</v>
      </c>
      <c r="CQ9">
        <v>-2.7</v>
      </c>
      <c r="CR9">
        <f t="shared" si="9"/>
        <v>7.7703572950640516E-5</v>
      </c>
      <c r="CS9">
        <f t="shared" si="8"/>
        <v>2.3225045180458482E-7</v>
      </c>
      <c r="CT9">
        <f t="shared" si="8"/>
        <v>2.0000000002727814</v>
      </c>
      <c r="CU9">
        <f t="shared" si="8"/>
        <v>2.0000000024877105</v>
      </c>
    </row>
    <row r="10" spans="24:99" x14ac:dyDescent="0.25">
      <c r="X10">
        <f>X7</f>
        <v>-10</v>
      </c>
      <c r="Y10">
        <f>Y9+(Y7-Y8)</f>
        <v>-10</v>
      </c>
      <c r="Z10">
        <f t="shared" si="5"/>
        <v>10</v>
      </c>
      <c r="BJ10" t="str">
        <f t="shared" si="0"/>
        <v>proof_8</v>
      </c>
      <c r="BK10">
        <f t="shared" si="1"/>
        <v>-0.52043272742837388</v>
      </c>
      <c r="BL10" s="3">
        <f t="shared" si="6"/>
        <v>1</v>
      </c>
      <c r="BM10">
        <f t="shared" si="2"/>
        <v>0.21840375156418765</v>
      </c>
      <c r="BN10" s="3">
        <f t="shared" si="7"/>
        <v>2.2000000000000002</v>
      </c>
      <c r="BZ10">
        <f>CA21</f>
        <v>0.54845540988468988</v>
      </c>
      <c r="CA10">
        <f>BZ21</f>
        <v>2.3566914283285199</v>
      </c>
      <c r="CD10" s="1">
        <f>CD9</f>
        <v>-0.90777422065481772</v>
      </c>
      <c r="CF10" s="1">
        <f>CF9</f>
        <v>-0.33496657733623797</v>
      </c>
      <c r="CH10" s="1">
        <f>CH9</f>
        <v>1.5136635226387571</v>
      </c>
      <c r="CJ10" s="1">
        <f>CJ9</f>
        <v>-6.0786974344240366E-2</v>
      </c>
      <c r="CQ10">
        <v>-2.6</v>
      </c>
      <c r="CR10">
        <f t="shared" si="9"/>
        <v>1.9524440756890236E-4</v>
      </c>
      <c r="CS10">
        <f t="shared" si="8"/>
        <v>4.5659205830246285E-7</v>
      </c>
      <c r="CT10">
        <f t="shared" si="8"/>
        <v>2.00000000154269</v>
      </c>
      <c r="CU10">
        <f t="shared" si="8"/>
        <v>2.0000000098981801</v>
      </c>
    </row>
    <row r="11" spans="24:99" x14ac:dyDescent="0.25">
      <c r="X11">
        <f>X10</f>
        <v>-10</v>
      </c>
      <c r="Y11">
        <f>Y10+Y9-Y8</f>
        <v>-8</v>
      </c>
      <c r="Z11">
        <f t="shared" si="5"/>
        <v>8</v>
      </c>
      <c r="BJ11" t="str">
        <f t="shared" si="0"/>
        <v>proof_9</v>
      </c>
      <c r="BK11">
        <f t="shared" si="1"/>
        <v>-1.1568333738539223</v>
      </c>
      <c r="BL11" s="3">
        <f t="shared" si="6"/>
        <v>1</v>
      </c>
      <c r="BM11">
        <f t="shared" si="2"/>
        <v>-0.41220791848962096</v>
      </c>
      <c r="BN11" s="3">
        <f t="shared" si="7"/>
        <v>2.2000000000000002</v>
      </c>
      <c r="BZ11">
        <f>CA22</f>
        <v>-0.34436251102144533</v>
      </c>
      <c r="CA11">
        <f>BZ21</f>
        <v>2.3566914283285199</v>
      </c>
      <c r="CD11">
        <f>BK6</f>
        <v>-1.1479319101352701</v>
      </c>
      <c r="CE11" s="1">
        <f>CE5</f>
        <v>1.5</v>
      </c>
      <c r="CF11">
        <f>BM6</f>
        <v>-0.47169276822359685</v>
      </c>
      <c r="CG11" s="1">
        <f>CG5</f>
        <v>2.7</v>
      </c>
      <c r="CH11">
        <f>BK15</f>
        <v>1.2416530426606665</v>
      </c>
      <c r="CI11">
        <f>CE11</f>
        <v>1.5</v>
      </c>
      <c r="CJ11">
        <f>BM15</f>
        <v>2.939466632507676E-2</v>
      </c>
      <c r="CK11">
        <f>CG11</f>
        <v>2.7</v>
      </c>
      <c r="CM11">
        <f t="shared" si="3"/>
        <v>3.1</v>
      </c>
      <c r="CN11">
        <f t="shared" si="4"/>
        <v>3.1</v>
      </c>
      <c r="CQ11">
        <v>-2.5</v>
      </c>
      <c r="CR11">
        <f t="shared" si="9"/>
        <v>4.6764016956557866E-4</v>
      </c>
      <c r="CS11">
        <f t="shared" si="8"/>
        <v>8.8336114940738238E-7</v>
      </c>
      <c r="CT11">
        <f t="shared" si="8"/>
        <v>2.000000008128374</v>
      </c>
      <c r="CU11">
        <f t="shared" si="8"/>
        <v>2.0000000374556905</v>
      </c>
    </row>
    <row r="12" spans="24:99" x14ac:dyDescent="0.25">
      <c r="X12">
        <f>X8</f>
        <v>10</v>
      </c>
      <c r="Y12">
        <f>Y11+(X12-X11)</f>
        <v>12</v>
      </c>
      <c r="Z12">
        <f t="shared" si="5"/>
        <v>-12</v>
      </c>
      <c r="BJ12" s="1" t="str">
        <f t="shared" ref="BJ12:BJ18" si="10">B38</f>
        <v>Cs_1</v>
      </c>
      <c r="BK12" s="1">
        <f t="shared" ref="BK12:BK18" si="11">BZ41</f>
        <v>0.8749085132916683</v>
      </c>
      <c r="BL12" s="3">
        <f t="shared" si="6"/>
        <v>1</v>
      </c>
      <c r="BM12" s="1">
        <f t="shared" ref="BM12:BM18" si="12">CA41</f>
        <v>-0.79873297351207717</v>
      </c>
      <c r="BN12" s="3">
        <f t="shared" si="7"/>
        <v>2.2000000000000002</v>
      </c>
      <c r="BZ12">
        <f>CA22</f>
        <v>-0.34436251102144533</v>
      </c>
      <c r="CA12">
        <f>BZ22</f>
        <v>0.7770446061984444</v>
      </c>
      <c r="CD12">
        <f>BK6</f>
        <v>-1.1479319101352701</v>
      </c>
      <c r="CE12" s="1">
        <f>CE6</f>
        <v>1</v>
      </c>
      <c r="CF12">
        <f>BM6</f>
        <v>-0.47169276822359685</v>
      </c>
      <c r="CG12" s="1">
        <f>CG6</f>
        <v>2.2000000000000002</v>
      </c>
      <c r="CH12">
        <f>BK15</f>
        <v>1.2416530426606665</v>
      </c>
      <c r="CI12">
        <f>CE12</f>
        <v>1</v>
      </c>
      <c r="CJ12">
        <f>BM15</f>
        <v>2.939466632507676E-2</v>
      </c>
      <c r="CK12">
        <f>CG12</f>
        <v>2.2000000000000002</v>
      </c>
      <c r="CM12">
        <f t="shared" si="3"/>
        <v>2.6</v>
      </c>
      <c r="CN12">
        <f t="shared" si="4"/>
        <v>2.6</v>
      </c>
      <c r="CQ12">
        <v>-2.4</v>
      </c>
      <c r="CR12">
        <f t="shared" si="9"/>
        <v>1.0676787706767985E-3</v>
      </c>
      <c r="CS12">
        <f t="shared" si="8"/>
        <v>1.6818466408034187E-6</v>
      </c>
      <c r="CT12">
        <f t="shared" si="8"/>
        <v>2.0000000399015931</v>
      </c>
      <c r="CU12">
        <f t="shared" si="8"/>
        <v>2.0000001347991621</v>
      </c>
    </row>
    <row r="13" spans="24:99" x14ac:dyDescent="0.25">
      <c r="X13">
        <f>X9</f>
        <v>10</v>
      </c>
      <c r="Y13">
        <f>Y12+2</f>
        <v>14</v>
      </c>
      <c r="Z13">
        <f t="shared" si="5"/>
        <v>-14</v>
      </c>
      <c r="BJ13" s="1" t="str">
        <f t="shared" si="10"/>
        <v>Cs_2</v>
      </c>
      <c r="BK13" s="1">
        <f t="shared" si="11"/>
        <v>1.0619649903898143</v>
      </c>
      <c r="BL13" s="3">
        <f t="shared" si="6"/>
        <v>1</v>
      </c>
      <c r="BM13" s="1">
        <f t="shared" si="12"/>
        <v>0.47198361012826301</v>
      </c>
      <c r="BN13" s="3">
        <f t="shared" si="7"/>
        <v>2.2000000000000002</v>
      </c>
      <c r="CD13" s="1">
        <f>CD12</f>
        <v>-1.1479319101352701</v>
      </c>
      <c r="CF13" s="1">
        <f>CF12</f>
        <v>-0.47169276822359685</v>
      </c>
      <c r="CH13" s="1">
        <f>CH12</f>
        <v>1.2416530426606665</v>
      </c>
      <c r="CJ13" s="1">
        <f>CJ12</f>
        <v>2.939466632507676E-2</v>
      </c>
      <c r="CQ13">
        <v>-2.2999999999999998</v>
      </c>
      <c r="CR13">
        <f t="shared" si="9"/>
        <v>2.3236194203605991E-3</v>
      </c>
      <c r="CS13">
        <f t="shared" si="8"/>
        <v>3.1511758905335948E-6</v>
      </c>
      <c r="CT13">
        <f t="shared" si="8"/>
        <v>2.0000001824896749</v>
      </c>
      <c r="CU13">
        <f t="shared" si="8"/>
        <v>2.0000004613850346</v>
      </c>
    </row>
    <row r="14" spans="24:99" x14ac:dyDescent="0.25">
      <c r="X14">
        <f>X11</f>
        <v>-10</v>
      </c>
      <c r="Y14">
        <f>Y13+(Y11-Y12)</f>
        <v>-6</v>
      </c>
      <c r="Z14">
        <f t="shared" si="5"/>
        <v>6</v>
      </c>
      <c r="BJ14" s="1" t="str">
        <f t="shared" si="10"/>
        <v>Cs_3</v>
      </c>
      <c r="BK14" s="1">
        <f t="shared" si="11"/>
        <v>1.5136635226387571</v>
      </c>
      <c r="BL14" s="3">
        <f t="shared" si="6"/>
        <v>1</v>
      </c>
      <c r="BM14" s="1">
        <f t="shared" si="12"/>
        <v>-6.0786974344240366E-2</v>
      </c>
      <c r="BN14" s="3">
        <f t="shared" si="7"/>
        <v>2.2000000000000002</v>
      </c>
      <c r="CD14">
        <f>BK7</f>
        <v>-0.5127699894121488</v>
      </c>
      <c r="CE14" s="1">
        <f>CE8</f>
        <v>1</v>
      </c>
      <c r="CF14">
        <f>BM7</f>
        <v>-0.53200197566979435</v>
      </c>
      <c r="CG14" s="1">
        <f>CG8</f>
        <v>2.2000000000000002</v>
      </c>
      <c r="CH14">
        <f>BK16</f>
        <v>2.258408724865117</v>
      </c>
      <c r="CI14">
        <f>CE14</f>
        <v>1</v>
      </c>
      <c r="CJ14">
        <f>BM16</f>
        <v>0.42555676806505732</v>
      </c>
      <c r="CK14">
        <f>CG14</f>
        <v>2.2000000000000002</v>
      </c>
      <c r="CM14">
        <f t="shared" si="3"/>
        <v>2.6</v>
      </c>
      <c r="CN14">
        <f t="shared" si="4"/>
        <v>2.6</v>
      </c>
      <c r="CQ14">
        <v>-2.2000000000000002</v>
      </c>
      <c r="CR14">
        <f t="shared" si="9"/>
        <v>4.8204211094851372E-3</v>
      </c>
      <c r="CS14">
        <f t="shared" si="8"/>
        <v>5.8102798921279718E-6</v>
      </c>
      <c r="CT14">
        <f t="shared" si="8"/>
        <v>2.0000007775849618</v>
      </c>
      <c r="CU14">
        <f t="shared" si="8"/>
        <v>2.0000015019197916</v>
      </c>
    </row>
    <row r="15" spans="24:99" x14ac:dyDescent="0.25">
      <c r="X15">
        <f>X14</f>
        <v>-10</v>
      </c>
      <c r="Y15">
        <f>Y14+Y13-Y12</f>
        <v>-4</v>
      </c>
      <c r="Z15">
        <f t="shared" si="5"/>
        <v>4</v>
      </c>
      <c r="BJ15" s="1" t="str">
        <f t="shared" si="10"/>
        <v>Cs_9</v>
      </c>
      <c r="BK15" s="1">
        <f t="shared" si="11"/>
        <v>1.2416530426606665</v>
      </c>
      <c r="BL15" s="3">
        <f t="shared" si="6"/>
        <v>1</v>
      </c>
      <c r="BM15" s="1">
        <f t="shared" si="12"/>
        <v>2.939466632507676E-2</v>
      </c>
      <c r="BN15" s="3">
        <f t="shared" si="7"/>
        <v>2.2000000000000002</v>
      </c>
      <c r="BX15" t="s">
        <v>16</v>
      </c>
      <c r="BY15" t="s">
        <v>13</v>
      </c>
      <c r="BZ15">
        <f>AVERAGE(BZ27:BZ35)</f>
        <v>-0.72666907189855279</v>
      </c>
      <c r="CA15">
        <f>AVERAGE(CA27:CA35)</f>
        <v>-0.20204891158984661</v>
      </c>
      <c r="CD15">
        <f>BK7</f>
        <v>-0.5127699894121488</v>
      </c>
      <c r="CE15" s="1">
        <f>CE9</f>
        <v>1.5</v>
      </c>
      <c r="CF15">
        <f>BM7</f>
        <v>-0.53200197566979435</v>
      </c>
      <c r="CG15" s="1">
        <f>CG9</f>
        <v>2.7</v>
      </c>
      <c r="CH15">
        <f>BK16</f>
        <v>2.258408724865117</v>
      </c>
      <c r="CI15">
        <f>CE15</f>
        <v>1.5</v>
      </c>
      <c r="CJ15">
        <f>BM16</f>
        <v>0.42555676806505732</v>
      </c>
      <c r="CK15">
        <f>CG15</f>
        <v>2.7</v>
      </c>
      <c r="CM15">
        <f t="shared" si="3"/>
        <v>3.1</v>
      </c>
      <c r="CN15">
        <f t="shared" si="4"/>
        <v>3.1</v>
      </c>
      <c r="CQ15">
        <v>-2.1</v>
      </c>
      <c r="CR15">
        <f t="shared" si="9"/>
        <v>9.5323625916460125E-3</v>
      </c>
      <c r="CS15">
        <f t="shared" si="8"/>
        <v>1.0542888609021826E-5</v>
      </c>
      <c r="CT15">
        <f t="shared" si="8"/>
        <v>2.000003086874</v>
      </c>
      <c r="CU15">
        <f t="shared" si="8"/>
        <v>2.0000046498281474</v>
      </c>
    </row>
    <row r="16" spans="24:99" x14ac:dyDescent="0.25">
      <c r="X16">
        <f>X12</f>
        <v>10</v>
      </c>
      <c r="Y16">
        <f>Y15+(X16-X15)</f>
        <v>16</v>
      </c>
      <c r="Z16">
        <f t="shared" si="5"/>
        <v>-16</v>
      </c>
      <c r="BJ16" s="1" t="str">
        <f t="shared" si="10"/>
        <v>Cs_10</v>
      </c>
      <c r="BK16" s="1">
        <f t="shared" si="11"/>
        <v>2.258408724865117</v>
      </c>
      <c r="BL16" s="3">
        <f t="shared" si="6"/>
        <v>1</v>
      </c>
      <c r="BM16" s="1">
        <f t="shared" si="12"/>
        <v>0.42555676806505732</v>
      </c>
      <c r="BN16" s="3">
        <f t="shared" si="7"/>
        <v>2.2000000000000002</v>
      </c>
      <c r="BY16" t="s">
        <v>14</v>
      </c>
      <c r="BZ16">
        <f>STDEV(BZ27:BZ35)</f>
        <v>0.45689296821701458</v>
      </c>
      <c r="CA16">
        <f>STDEV(CA27:CA35)</f>
        <v>0.37588135379592247</v>
      </c>
      <c r="CD16" s="1">
        <f>CD15</f>
        <v>-0.5127699894121488</v>
      </c>
      <c r="CF16" s="1">
        <f>CF15</f>
        <v>-0.53200197566979435</v>
      </c>
      <c r="CH16" s="1">
        <f>CH15</f>
        <v>2.258408724865117</v>
      </c>
      <c r="CJ16" s="1">
        <f>CJ15</f>
        <v>0.42555676806505732</v>
      </c>
      <c r="CQ16">
        <v>-2</v>
      </c>
      <c r="CR16">
        <f t="shared" si="9"/>
        <v>1.7968495684107268E-2</v>
      </c>
      <c r="CS16">
        <f t="shared" si="8"/>
        <v>1.8826098993747443E-5</v>
      </c>
      <c r="CT16">
        <f t="shared" si="8"/>
        <v>2.0000114169854446</v>
      </c>
      <c r="CU16">
        <f t="shared" si="8"/>
        <v>2.0000136909627675</v>
      </c>
    </row>
    <row r="17" spans="1:99" x14ac:dyDescent="0.25">
      <c r="X17">
        <f>X13</f>
        <v>10</v>
      </c>
      <c r="Y17">
        <f>Y16+2</f>
        <v>18</v>
      </c>
      <c r="Z17">
        <f t="shared" si="5"/>
        <v>-18</v>
      </c>
      <c r="BJ17" s="1" t="str">
        <f t="shared" si="10"/>
        <v>Cs_11</v>
      </c>
      <c r="BK17" s="1">
        <f t="shared" si="11"/>
        <v>1.1848329818066499</v>
      </c>
      <c r="BL17" s="3">
        <f t="shared" si="6"/>
        <v>1</v>
      </c>
      <c r="BM17" s="1">
        <f t="shared" si="12"/>
        <v>0.11782366258053967</v>
      </c>
      <c r="BN17" s="3">
        <f t="shared" si="7"/>
        <v>2.2000000000000002</v>
      </c>
      <c r="BY17" t="s">
        <v>17</v>
      </c>
      <c r="BZ17">
        <f>BZ15+BZ16</f>
        <v>-0.2697761036815382</v>
      </c>
      <c r="CA17">
        <f>CA15+CA16</f>
        <v>0.17383244220607585</v>
      </c>
      <c r="CD17">
        <f>BK8</f>
        <v>-0.88741602203962011</v>
      </c>
      <c r="CE17" s="1">
        <f>CE11</f>
        <v>1.5</v>
      </c>
      <c r="CF17">
        <f>BM8</f>
        <v>-8.508133788386997E-2</v>
      </c>
      <c r="CG17" s="1">
        <f>CG11</f>
        <v>2.7</v>
      </c>
      <c r="CH17">
        <f>BK17</f>
        <v>1.1848329818066499</v>
      </c>
      <c r="CI17">
        <f>CE17</f>
        <v>1.5</v>
      </c>
      <c r="CJ17">
        <f>BM17</f>
        <v>0.11782366258053967</v>
      </c>
      <c r="CK17">
        <f>CG17</f>
        <v>2.7</v>
      </c>
      <c r="CM17">
        <f t="shared" si="3"/>
        <v>3.1</v>
      </c>
      <c r="CN17">
        <f t="shared" si="4"/>
        <v>3.1</v>
      </c>
      <c r="CQ17">
        <v>-1.9</v>
      </c>
      <c r="CR17">
        <f t="shared" si="9"/>
        <v>3.2286314849881856E-2</v>
      </c>
      <c r="CS17">
        <f t="shared" si="8"/>
        <v>3.3082567991483063E-5</v>
      </c>
      <c r="CT17">
        <f t="shared" si="8"/>
        <v>2.0000393410083022</v>
      </c>
      <c r="CU17">
        <f t="shared" si="8"/>
        <v>2.0000383387546905</v>
      </c>
    </row>
    <row r="18" spans="1:99" x14ac:dyDescent="0.25">
      <c r="X18">
        <f>X15</f>
        <v>-10</v>
      </c>
      <c r="Y18">
        <f>Y17+(Y15-Y16)</f>
        <v>-2</v>
      </c>
      <c r="Z18">
        <f t="shared" si="5"/>
        <v>2</v>
      </c>
      <c r="BJ18" s="1" t="str">
        <f t="shared" si="10"/>
        <v>Cs_12</v>
      </c>
      <c r="BK18" s="1">
        <f t="shared" si="11"/>
        <v>1.1752703467063932</v>
      </c>
      <c r="BL18" s="3">
        <f t="shared" si="6"/>
        <v>1</v>
      </c>
      <c r="BM18" s="1">
        <f t="shared" si="12"/>
        <v>-1.5210880010596752E-2</v>
      </c>
      <c r="BN18" s="3">
        <f t="shared" si="7"/>
        <v>2.2000000000000002</v>
      </c>
      <c r="BY18" t="s">
        <v>18</v>
      </c>
      <c r="BZ18">
        <f>BZ15-BZ16</f>
        <v>-1.1835620401155673</v>
      </c>
      <c r="CA18">
        <f>CA15-CA16</f>
        <v>-0.57793026538576908</v>
      </c>
      <c r="CD18">
        <f>BK8</f>
        <v>-0.88741602203962011</v>
      </c>
      <c r="CE18" s="1">
        <f>CE12</f>
        <v>1</v>
      </c>
      <c r="CF18">
        <f>BM8</f>
        <v>-8.508133788386997E-2</v>
      </c>
      <c r="CG18" s="1">
        <f>CG12</f>
        <v>2.2000000000000002</v>
      </c>
      <c r="CH18">
        <f>BK17</f>
        <v>1.1848329818066499</v>
      </c>
      <c r="CI18">
        <f>CE18</f>
        <v>1</v>
      </c>
      <c r="CJ18">
        <f>BM17</f>
        <v>0.11782366258053967</v>
      </c>
      <c r="CK18">
        <f>CG18</f>
        <v>2.2000000000000002</v>
      </c>
      <c r="CM18">
        <f t="shared" si="3"/>
        <v>2.6</v>
      </c>
      <c r="CN18">
        <f t="shared" si="4"/>
        <v>2.6</v>
      </c>
      <c r="CQ18">
        <v>-1.8</v>
      </c>
      <c r="CR18">
        <f t="shared" si="9"/>
        <v>5.5299451988844409E-2</v>
      </c>
      <c r="CS18">
        <f t="shared" si="8"/>
        <v>5.7210566100834608E-5</v>
      </c>
      <c r="CT18">
        <f t="shared" si="8"/>
        <v>2.0001262993223703</v>
      </c>
      <c r="CU18">
        <f t="shared" si="8"/>
        <v>2.0001021054539039</v>
      </c>
    </row>
    <row r="19" spans="1:99" x14ac:dyDescent="0.25">
      <c r="X19">
        <f>X18</f>
        <v>-10</v>
      </c>
      <c r="Y19">
        <f>Y18+Y17-Y16</f>
        <v>0</v>
      </c>
      <c r="Z19">
        <f t="shared" si="5"/>
        <v>0</v>
      </c>
      <c r="BJ19" s="1"/>
      <c r="BK19" s="1"/>
      <c r="BL19" s="3"/>
      <c r="BM19" s="1"/>
      <c r="BN19" s="3"/>
      <c r="BX19" t="s">
        <v>19</v>
      </c>
      <c r="BY19" t="s">
        <v>13</v>
      </c>
      <c r="BZ19">
        <f>AVERAGE(BZ41:BZ50)</f>
        <v>1.5668680172634821</v>
      </c>
      <c r="CA19">
        <f>AVERAGE(CA41:CA50)</f>
        <v>0.10204644943162225</v>
      </c>
      <c r="CD19" s="1">
        <f>CD18</f>
        <v>-0.88741602203962011</v>
      </c>
      <c r="CF19" s="1">
        <f>CF18</f>
        <v>-8.508133788386997E-2</v>
      </c>
      <c r="CH19" s="1">
        <f>CH18</f>
        <v>1.1848329818066499</v>
      </c>
      <c r="CJ19" s="1">
        <f>CJ18</f>
        <v>0.11782366258053967</v>
      </c>
      <c r="CQ19">
        <v>-1.7</v>
      </c>
      <c r="CR19">
        <f t="shared" si="9"/>
        <v>9.0285658388654474E-2</v>
      </c>
      <c r="CS19">
        <f t="shared" si="8"/>
        <v>9.7362436199057499E-5</v>
      </c>
      <c r="CT19">
        <f t="shared" si="8"/>
        <v>2.0003777618085437</v>
      </c>
      <c r="CU19">
        <f t="shared" si="8"/>
        <v>2.0002586227967725</v>
      </c>
    </row>
    <row r="20" spans="1:99" x14ac:dyDescent="0.25">
      <c r="X20">
        <f>X16</f>
        <v>10</v>
      </c>
      <c r="Y20">
        <f>Y19+(X20-X19)</f>
        <v>20</v>
      </c>
      <c r="Z20">
        <f t="shared" si="5"/>
        <v>-20</v>
      </c>
      <c r="BJ20" s="1" t="str">
        <f>B46</f>
        <v>Cs_14</v>
      </c>
      <c r="BK20" s="1">
        <f>BZ49</f>
        <v>3.2242420157487901</v>
      </c>
      <c r="BL20" s="3">
        <f>BL$3</f>
        <v>1</v>
      </c>
      <c r="BM20" s="1">
        <f>CA49</f>
        <v>0.64634371622095554</v>
      </c>
      <c r="BN20" s="3">
        <f>BN$3</f>
        <v>2.2000000000000002</v>
      </c>
      <c r="BY20" t="s">
        <v>14</v>
      </c>
      <c r="BZ20">
        <f>STDEV(BZ41:BZ50)</f>
        <v>0.78982341106503773</v>
      </c>
      <c r="CA20">
        <f>STDEV(CA41:CA50)</f>
        <v>0.4464089604530676</v>
      </c>
      <c r="CD20">
        <f>BK9</f>
        <v>0.32784851141346144</v>
      </c>
      <c r="CE20" s="1">
        <f>CE14</f>
        <v>1</v>
      </c>
      <c r="CF20">
        <f>BM9</f>
        <v>0.49301935159530064</v>
      </c>
      <c r="CG20" s="1">
        <f>CG14</f>
        <v>2.2000000000000002</v>
      </c>
      <c r="CH20">
        <f>BK18</f>
        <v>1.1752703467063932</v>
      </c>
      <c r="CI20">
        <f>CE20</f>
        <v>1</v>
      </c>
      <c r="CJ20">
        <f>BM18</f>
        <v>-1.5210880010596752E-2</v>
      </c>
      <c r="CK20">
        <f>CG20</f>
        <v>2.2000000000000002</v>
      </c>
      <c r="CM20">
        <f t="shared" si="3"/>
        <v>2.6</v>
      </c>
      <c r="CN20">
        <f t="shared" si="4"/>
        <v>2.6</v>
      </c>
      <c r="CQ20">
        <v>-1.6</v>
      </c>
      <c r="CR20">
        <f t="shared" si="9"/>
        <v>0.14051164015830647</v>
      </c>
      <c r="CS20">
        <f t="shared" si="8"/>
        <v>1.6305900018265124E-4</v>
      </c>
      <c r="CT20">
        <f t="shared" si="8"/>
        <v>2.0010526804853654</v>
      </c>
      <c r="CU20">
        <f t="shared" si="8"/>
        <v>2.0006230050872098</v>
      </c>
    </row>
    <row r="21" spans="1:99" x14ac:dyDescent="0.25">
      <c r="X21">
        <f>X17</f>
        <v>10</v>
      </c>
      <c r="Y21">
        <f>Y20+2</f>
        <v>22</v>
      </c>
      <c r="Z21">
        <f t="shared" si="5"/>
        <v>-22</v>
      </c>
      <c r="BJ21" s="1"/>
      <c r="BY21" t="s">
        <v>17</v>
      </c>
      <c r="BZ21">
        <f>BZ19+BZ20</f>
        <v>2.3566914283285199</v>
      </c>
      <c r="CA21">
        <f>CA19+CA20</f>
        <v>0.54845540988468988</v>
      </c>
      <c r="CD21">
        <f>BK9</f>
        <v>0.32784851141346144</v>
      </c>
      <c r="CE21" s="1">
        <f>CE15</f>
        <v>1.5</v>
      </c>
      <c r="CF21">
        <f>BM9</f>
        <v>0.49301935159530064</v>
      </c>
      <c r="CG21" s="1">
        <f>CG15</f>
        <v>2.7</v>
      </c>
      <c r="CH21">
        <f>BK18</f>
        <v>1.1752703467063932</v>
      </c>
      <c r="CI21">
        <f>CE21</f>
        <v>1.5</v>
      </c>
      <c r="CJ21">
        <f>BM18</f>
        <v>-1.5210880010596752E-2</v>
      </c>
      <c r="CK21">
        <f>CG21</f>
        <v>2.7</v>
      </c>
      <c r="CM21">
        <f t="shared" si="3"/>
        <v>3.1</v>
      </c>
      <c r="CN21">
        <f t="shared" si="4"/>
        <v>3.1</v>
      </c>
      <c r="CQ21">
        <v>-1.5</v>
      </c>
      <c r="CR21">
        <f t="shared" si="9"/>
        <v>0.20844977419942309</v>
      </c>
      <c r="CS21">
        <f t="shared" si="8"/>
        <v>2.6874245090263997E-4</v>
      </c>
      <c r="CT21">
        <f t="shared" si="8"/>
        <v>2.0027329808573771</v>
      </c>
      <c r="CU21">
        <f t="shared" si="8"/>
        <v>2.0014273264289408</v>
      </c>
    </row>
    <row r="22" spans="1:99" x14ac:dyDescent="0.25">
      <c r="X22">
        <f>X19</f>
        <v>-10</v>
      </c>
      <c r="Y22">
        <f>Y21+(Y19-Y20)</f>
        <v>2</v>
      </c>
      <c r="Z22">
        <f t="shared" si="5"/>
        <v>-2</v>
      </c>
      <c r="BY22" t="s">
        <v>18</v>
      </c>
      <c r="BZ22">
        <f>BZ19-BZ20</f>
        <v>0.7770446061984444</v>
      </c>
      <c r="CA22">
        <f>CA19-CA20</f>
        <v>-0.34436251102144533</v>
      </c>
      <c r="CD22" s="1">
        <f>CD21</f>
        <v>0.32784851141346144</v>
      </c>
      <c r="CF22" s="1">
        <f>CF21</f>
        <v>0.49301935159530064</v>
      </c>
      <c r="CH22" s="1">
        <f>CH21</f>
        <v>1.1752703467063932</v>
      </c>
      <c r="CJ22" s="1">
        <f>CJ21</f>
        <v>-1.5210880010596752E-2</v>
      </c>
      <c r="CQ22">
        <v>-1.4</v>
      </c>
      <c r="CR22">
        <f t="shared" si="9"/>
        <v>0.29477194480680413</v>
      </c>
      <c r="CS22">
        <f t="shared" si="8"/>
        <v>4.3587898183780269E-4</v>
      </c>
      <c r="CT22">
        <f t="shared" si="8"/>
        <v>2.006610557727841</v>
      </c>
      <c r="CU22">
        <f t="shared" si="8"/>
        <v>2.0031100111593232</v>
      </c>
    </row>
    <row r="23" spans="1:99" x14ac:dyDescent="0.25">
      <c r="B23" s="4" t="s">
        <v>20</v>
      </c>
      <c r="X23">
        <f>X22</f>
        <v>-10</v>
      </c>
      <c r="Y23">
        <f>Y22+Y21-Y20</f>
        <v>4</v>
      </c>
      <c r="Z23">
        <f t="shared" si="5"/>
        <v>-4</v>
      </c>
      <c r="CD23">
        <f>BK10</f>
        <v>-0.52043272742837388</v>
      </c>
      <c r="CE23" s="1">
        <f>CE17</f>
        <v>1.5</v>
      </c>
      <c r="CF23">
        <f>BM10</f>
        <v>0.21840375156418765</v>
      </c>
      <c r="CG23" s="1">
        <f>CG17</f>
        <v>2.7</v>
      </c>
      <c r="CH23">
        <f>BK20</f>
        <v>3.2242420157487901</v>
      </c>
      <c r="CI23">
        <f>CE23</f>
        <v>1.5</v>
      </c>
      <c r="CJ23">
        <f>BM20</f>
        <v>0.64634371622095554</v>
      </c>
      <c r="CK23">
        <f>CG23</f>
        <v>2.7</v>
      </c>
      <c r="CM23">
        <f t="shared" si="3"/>
        <v>3.1</v>
      </c>
      <c r="CN23">
        <f t="shared" si="4"/>
        <v>3.1</v>
      </c>
      <c r="CQ23">
        <v>-1.3</v>
      </c>
      <c r="CR23">
        <f t="shared" si="9"/>
        <v>0.39734381431709576</v>
      </c>
      <c r="CS23">
        <f t="shared" si="8"/>
        <v>6.9571879753388345E-4</v>
      </c>
      <c r="CT23">
        <f t="shared" si="8"/>
        <v>2.0148970785973854</v>
      </c>
      <c r="CU23">
        <f t="shared" si="8"/>
        <v>2.0064447713326161</v>
      </c>
    </row>
    <row r="24" spans="1:99" x14ac:dyDescent="0.25">
      <c r="D24">
        <f>COUNT(D27:I35)</f>
        <v>37</v>
      </c>
      <c r="E24" t="s">
        <v>21</v>
      </c>
      <c r="G24">
        <f>COUNT(D27:D35)-2</f>
        <v>7</v>
      </c>
      <c r="H24" t="s">
        <v>22</v>
      </c>
      <c r="BG24" s="4" t="s">
        <v>23</v>
      </c>
      <c r="BZ24">
        <f>STDEV(BZ27:BZ35)</f>
        <v>0.45689296821701458</v>
      </c>
      <c r="CA24">
        <f>STDEV(CA27:CA35)</f>
        <v>0.37588135379592247</v>
      </c>
      <c r="CD24">
        <f>BK10</f>
        <v>-0.52043272742837388</v>
      </c>
      <c r="CE24" s="1">
        <f>CE18</f>
        <v>1</v>
      </c>
      <c r="CF24">
        <f>BM10</f>
        <v>0.21840375156418765</v>
      </c>
      <c r="CG24" s="1">
        <f>CG18</f>
        <v>2.2000000000000002</v>
      </c>
      <c r="CH24">
        <f>BK20</f>
        <v>3.2242420157487901</v>
      </c>
      <c r="CI24">
        <f>CE24</f>
        <v>1</v>
      </c>
      <c r="CJ24">
        <f>BM20</f>
        <v>0.64634371622095554</v>
      </c>
      <c r="CK24">
        <f>CG24</f>
        <v>2.2000000000000002</v>
      </c>
      <c r="CM24">
        <f t="shared" si="3"/>
        <v>2.6</v>
      </c>
      <c r="CN24">
        <f t="shared" si="4"/>
        <v>2.6</v>
      </c>
      <c r="CQ24">
        <v>-1.2</v>
      </c>
      <c r="CR24">
        <f t="shared" si="9"/>
        <v>0.51055479363286216</v>
      </c>
      <c r="CS24">
        <f t="shared" si="8"/>
        <v>1.0927975263036321E-3</v>
      </c>
      <c r="CT24">
        <f t="shared" si="8"/>
        <v>2.031277037494744</v>
      </c>
      <c r="CU24">
        <f t="shared" si="8"/>
        <v>2.0127016459686509</v>
      </c>
    </row>
    <row r="25" spans="1:99" x14ac:dyDescent="0.25">
      <c r="D25" t="s">
        <v>24</v>
      </c>
      <c r="J25" t="s">
        <v>25</v>
      </c>
      <c r="P25" t="s">
        <v>26</v>
      </c>
      <c r="V25" t="s">
        <v>27</v>
      </c>
      <c r="AB25" t="s">
        <v>28</v>
      </c>
      <c r="AH25" t="s">
        <v>29</v>
      </c>
      <c r="AN25" t="s">
        <v>30</v>
      </c>
      <c r="AT25" t="s">
        <v>31</v>
      </c>
      <c r="AZ25" t="s">
        <v>32</v>
      </c>
      <c r="BG25" t="s">
        <v>25</v>
      </c>
      <c r="BX25" t="s">
        <v>33</v>
      </c>
      <c r="BZ25">
        <f>AVERAGE(BZ27:BZ35)</f>
        <v>-0.72666907189855279</v>
      </c>
      <c r="CA25">
        <f>AVERAGE(CA27:CA35)</f>
        <v>-0.20204891158984661</v>
      </c>
      <c r="CD25" s="1">
        <f>CD24</f>
        <v>-0.52043272742837388</v>
      </c>
      <c r="CF25" s="1">
        <f>CF24</f>
        <v>0.21840375156418765</v>
      </c>
      <c r="CQ25">
        <v>-1.1000000000000001</v>
      </c>
      <c r="CR25">
        <f t="shared" si="9"/>
        <v>0.62533660545013081</v>
      </c>
      <c r="CS25">
        <f t="shared" si="8"/>
        <v>1.6892107031950159E-3</v>
      </c>
      <c r="CT25">
        <f t="shared" si="8"/>
        <v>2.0611803006683833</v>
      </c>
      <c r="CU25">
        <f t="shared" si="8"/>
        <v>2.0238078084554578</v>
      </c>
    </row>
    <row r="26" spans="1:99" x14ac:dyDescent="0.25">
      <c r="B26" t="s">
        <v>34</v>
      </c>
      <c r="C26" t="s">
        <v>4</v>
      </c>
      <c r="D26">
        <v>1</v>
      </c>
      <c r="E26">
        <v>2</v>
      </c>
      <c r="F26">
        <v>3</v>
      </c>
      <c r="G26">
        <v>4</v>
      </c>
      <c r="H26">
        <v>5</v>
      </c>
      <c r="I26">
        <v>6</v>
      </c>
      <c r="J26">
        <v>1</v>
      </c>
      <c r="K26">
        <v>2</v>
      </c>
      <c r="L26">
        <v>3</v>
      </c>
      <c r="M26">
        <v>4</v>
      </c>
      <c r="N26">
        <v>5</v>
      </c>
      <c r="O26">
        <v>6</v>
      </c>
      <c r="P26">
        <v>1</v>
      </c>
      <c r="Q26">
        <v>2</v>
      </c>
      <c r="R26">
        <v>3</v>
      </c>
      <c r="S26">
        <v>4</v>
      </c>
      <c r="T26">
        <v>5</v>
      </c>
      <c r="U26">
        <v>6</v>
      </c>
      <c r="V26">
        <v>1</v>
      </c>
      <c r="W26">
        <v>2</v>
      </c>
      <c r="X26">
        <v>3</v>
      </c>
      <c r="Y26">
        <v>4</v>
      </c>
      <c r="Z26">
        <v>5</v>
      </c>
      <c r="AA26">
        <v>6</v>
      </c>
      <c r="AB26">
        <v>1</v>
      </c>
      <c r="AC26">
        <v>2</v>
      </c>
      <c r="AD26">
        <v>3</v>
      </c>
      <c r="AE26">
        <v>4</v>
      </c>
      <c r="AF26">
        <v>5</v>
      </c>
      <c r="AG26">
        <v>6</v>
      </c>
      <c r="AH26">
        <v>1</v>
      </c>
      <c r="AI26">
        <v>2</v>
      </c>
      <c r="AJ26">
        <v>3</v>
      </c>
      <c r="AK26">
        <v>4</v>
      </c>
      <c r="AL26">
        <v>5</v>
      </c>
      <c r="AM26">
        <v>6</v>
      </c>
      <c r="AN26">
        <v>1</v>
      </c>
      <c r="AO26">
        <v>2</v>
      </c>
      <c r="AP26">
        <v>3</v>
      </c>
      <c r="AQ26">
        <v>4</v>
      </c>
      <c r="AR26">
        <v>5</v>
      </c>
      <c r="AS26">
        <v>6</v>
      </c>
      <c r="AT26">
        <v>1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1</v>
      </c>
      <c r="BA26">
        <v>2</v>
      </c>
      <c r="BB26">
        <v>3</v>
      </c>
      <c r="BC26">
        <v>4</v>
      </c>
      <c r="BD26">
        <v>5</v>
      </c>
      <c r="BE26">
        <v>6</v>
      </c>
      <c r="BG26">
        <v>1</v>
      </c>
      <c r="BH26" t="s">
        <v>35</v>
      </c>
      <c r="BJ26">
        <f>BG32+1</f>
        <v>3</v>
      </c>
      <c r="BK26" t="s">
        <v>35</v>
      </c>
      <c r="BM26">
        <f>BJ32+1</f>
        <v>5</v>
      </c>
      <c r="BN26" t="s">
        <v>35</v>
      </c>
      <c r="BP26">
        <f>BM32+1</f>
        <v>7</v>
      </c>
      <c r="BQ26" t="s">
        <v>35</v>
      </c>
      <c r="BS26">
        <f>BP32+1</f>
        <v>9</v>
      </c>
      <c r="BT26" t="s">
        <v>35</v>
      </c>
      <c r="BV26" t="str">
        <f t="shared" ref="BV26:BV35" si="13">B26</f>
        <v>ID</v>
      </c>
      <c r="BW26" t="s">
        <v>36</v>
      </c>
      <c r="BX26" t="s">
        <v>37</v>
      </c>
      <c r="BY26" t="s">
        <v>38</v>
      </c>
      <c r="BZ26" t="s">
        <v>39</v>
      </c>
      <c r="CA26" t="s">
        <v>40</v>
      </c>
      <c r="CD26">
        <f>BK11</f>
        <v>-1.1568333738539223</v>
      </c>
      <c r="CE26" s="1">
        <f>CE20</f>
        <v>1</v>
      </c>
      <c r="CF26">
        <f>BM11</f>
        <v>-0.41220791848962096</v>
      </c>
      <c r="CG26" s="1">
        <f>CG20</f>
        <v>2.2000000000000002</v>
      </c>
      <c r="CM26">
        <f t="shared" si="3"/>
        <v>2.6</v>
      </c>
      <c r="CN26" t="str">
        <f t="shared" si="4"/>
        <v/>
      </c>
      <c r="CQ26">
        <v>-1</v>
      </c>
      <c r="CR26">
        <f t="shared" si="9"/>
        <v>0.73009762788527721</v>
      </c>
      <c r="CS26">
        <f t="shared" si="9"/>
        <v>2.5696034194552624E-3</v>
      </c>
      <c r="CT26">
        <f t="shared" si="9"/>
        <v>2.1114959514305234</v>
      </c>
      <c r="CU26">
        <f t="shared" si="9"/>
        <v>2.0424410149736567</v>
      </c>
    </row>
    <row r="27" spans="1:99" x14ac:dyDescent="0.25">
      <c r="A27" t="s">
        <v>16</v>
      </c>
      <c r="B27" t="str">
        <f>B51</f>
        <v>proof_1</v>
      </c>
      <c r="C27" t="s">
        <v>41</v>
      </c>
      <c r="D27">
        <f>C56</f>
        <v>1</v>
      </c>
      <c r="E27">
        <f>D56</f>
        <v>2</v>
      </c>
      <c r="F27">
        <f>E56</f>
        <v>4</v>
      </c>
      <c r="G27">
        <f>F56</f>
        <v>8</v>
      </c>
      <c r="H27">
        <f>G56</f>
        <v>10</v>
      </c>
      <c r="J27">
        <f>K51</f>
        <v>3.4120172550601317E-3</v>
      </c>
      <c r="K27">
        <f>L51</f>
        <v>6.0738119959742667E-3</v>
      </c>
      <c r="L27">
        <f>M51</f>
        <v>1.1283456381668066E-2</v>
      </c>
      <c r="M27">
        <f>N51</f>
        <v>2.471208715572137E-2</v>
      </c>
      <c r="N27">
        <f>O51</f>
        <v>2.8741805673031581E-2</v>
      </c>
      <c r="P27">
        <f>K54</f>
        <v>3.0750653569021357E-2</v>
      </c>
      <c r="Q27">
        <f>L54</f>
        <v>6.2519632419345203E-2</v>
      </c>
      <c r="R27">
        <f>M54</f>
        <v>0.13141011539912409</v>
      </c>
      <c r="S27">
        <f>N54</f>
        <v>0.23477585423476477</v>
      </c>
      <c r="T27">
        <f>O54</f>
        <v>0.25729701792164633</v>
      </c>
      <c r="V27">
        <f>K53</f>
        <v>3.6082989963789198</v>
      </c>
      <c r="W27">
        <f>L53</f>
        <v>1.5539194872752087</v>
      </c>
      <c r="X27">
        <f>M53</f>
        <v>0.65340817089230996</v>
      </c>
      <c r="Y27">
        <f>N53</f>
        <v>0.44833492162250782</v>
      </c>
      <c r="Z27">
        <f>O53</f>
        <v>0.43415473631702645</v>
      </c>
      <c r="AB27">
        <f>IF(D27="","",V27*(P27^2))</f>
        <v>3.4120172550601317E-3</v>
      </c>
      <c r="AC27">
        <f t="shared" ref="AC27:AG42" si="14">IF(E27="","",W27*(Q27^2)/E27)</f>
        <v>3.0369059979871334E-3</v>
      </c>
      <c r="AD27">
        <f t="shared" si="14"/>
        <v>2.8208640954170165E-3</v>
      </c>
      <c r="AE27">
        <f t="shared" si="14"/>
        <v>3.0890108944651713E-3</v>
      </c>
      <c r="AF27">
        <f t="shared" si="14"/>
        <v>2.8741805673031581E-3</v>
      </c>
      <c r="AG27" t="str">
        <f t="shared" si="14"/>
        <v/>
      </c>
      <c r="AH27">
        <f t="shared" ref="AH27:AS35" si="15">IFERROR(LOG(D27),"")</f>
        <v>0</v>
      </c>
      <c r="AI27">
        <f t="shared" si="15"/>
        <v>0.3010299956639812</v>
      </c>
      <c r="AJ27">
        <f t="shared" si="15"/>
        <v>0.6020599913279624</v>
      </c>
      <c r="AK27">
        <f t="shared" si="15"/>
        <v>0.90308998699194354</v>
      </c>
      <c r="AL27">
        <f t="shared" si="15"/>
        <v>1</v>
      </c>
      <c r="AM27" t="str">
        <f t="shared" si="15"/>
        <v/>
      </c>
      <c r="AN27">
        <f t="shared" si="15"/>
        <v>-2.4669887812095403</v>
      </c>
      <c r="AO27">
        <f t="shared" si="15"/>
        <v>-2.2165386550214068</v>
      </c>
      <c r="AP27">
        <f t="shared" si="15"/>
        <v>-1.9475578456050224</v>
      </c>
      <c r="AQ27">
        <f t="shared" si="15"/>
        <v>-1.6070905730142251</v>
      </c>
      <c r="AR27">
        <f t="shared" si="15"/>
        <v>-1.5414859512609389</v>
      </c>
      <c r="AS27" t="str">
        <f t="shared" si="15"/>
        <v/>
      </c>
      <c r="AT27">
        <f>IF(AB27="","",LOG(AB27))</f>
        <v>-2.4669887812095403</v>
      </c>
      <c r="AU27">
        <f t="shared" ref="AU27:AY37" si="16">IF(AC27="","",LOG(AC27))</f>
        <v>-2.517568650685388</v>
      </c>
      <c r="AV27">
        <f t="shared" si="16"/>
        <v>-2.5496178369329847</v>
      </c>
      <c r="AW27">
        <f t="shared" si="16"/>
        <v>-2.5101805600061686</v>
      </c>
      <c r="AX27">
        <f t="shared" si="16"/>
        <v>-2.5414859512609387</v>
      </c>
      <c r="AY27" t="str">
        <f t="shared" si="16"/>
        <v/>
      </c>
      <c r="AZ27">
        <f t="shared" ref="AZ27:BE35" si="17">IFERROR(LOG(V27),"")</f>
        <v>0.5573025175332379</v>
      </c>
      <c r="BA27">
        <f t="shared" si="17"/>
        <v>0.19142851308913533</v>
      </c>
      <c r="BB27">
        <f t="shared" si="17"/>
        <v>-0.18481543895875277</v>
      </c>
      <c r="BC27">
        <f t="shared" si="17"/>
        <v>-0.34839743182955762</v>
      </c>
      <c r="BD27">
        <f t="shared" si="17"/>
        <v>-0.36235545677390796</v>
      </c>
      <c r="BE27" t="str">
        <f t="shared" si="17"/>
        <v/>
      </c>
      <c r="BG27">
        <f t="array" ref="BG27:BH31">LINEST(AN27:AR27,AH27:AL27,TRUE,TRUE)</f>
        <v>0.94570854864556353</v>
      </c>
      <c r="BH27">
        <v>-2.486698039309136</v>
      </c>
      <c r="BJ27">
        <f t="array" ref="BJ27:BK31">LINEST(AN29:AP29,AH29:AJ29,TRUE,TRUE)</f>
        <v>0.66503342266376153</v>
      </c>
      <c r="BK27">
        <v>-1.7710483368230807</v>
      </c>
      <c r="BM27">
        <f t="array" ref="BM27:BN31">LINEST(AN31:AP31,AH31:AJ31,TRUE,TRUE)</f>
        <v>0.4679980243302061</v>
      </c>
      <c r="BN27">
        <v>-1.5108977072849639</v>
      </c>
      <c r="BP27">
        <f t="array" ref="BP27:BQ31">LINEST(AN33:AQ33,AH33:AK33,TRUE,TRUE)</f>
        <v>1.4930193515953007</v>
      </c>
      <c r="BQ27">
        <v>-2.6597209300825826</v>
      </c>
      <c r="BS27">
        <f t="array" ref="BS27:BT31">LINEST(AN35:AR35,AH35:AL35,TRUE,TRUE)</f>
        <v>0.58779208151037909</v>
      </c>
      <c r="BT27">
        <v>0.54749122849182474</v>
      </c>
      <c r="BV27" t="str">
        <f t="shared" si="13"/>
        <v>proof_1</v>
      </c>
      <c r="BW27">
        <f>BG27</f>
        <v>0.94570854864556353</v>
      </c>
      <c r="BX27">
        <f>BG28</f>
        <v>3.2263910363434498E-2</v>
      </c>
      <c r="BY27">
        <f>BH27</f>
        <v>-2.486698039309136</v>
      </c>
      <c r="BZ27">
        <f>SLOPE(AZ27:BE27,AH27:AM27)</f>
        <v>-0.9343930087008443</v>
      </c>
      <c r="CA27">
        <f>SLOPE(AT27:AY27,AH27:AM27)</f>
        <v>-5.4291451354436637E-2</v>
      </c>
      <c r="CD27">
        <f>BK11</f>
        <v>-1.1568333738539223</v>
      </c>
      <c r="CE27" s="1">
        <f>CE21</f>
        <v>1.5</v>
      </c>
      <c r="CF27">
        <f>BM11</f>
        <v>-0.41220791848962096</v>
      </c>
      <c r="CG27" s="1">
        <f>CG21</f>
        <v>2.7</v>
      </c>
      <c r="CM27">
        <f t="shared" si="3"/>
        <v>3.1</v>
      </c>
      <c r="CN27" t="str">
        <f t="shared" si="4"/>
        <v/>
      </c>
      <c r="CQ27">
        <v>-0.9</v>
      </c>
      <c r="CR27">
        <f t="shared" ref="CR27:CU46" si="18">((1/(CR$4*SQRT(2*PI())))*EXP(-0.5*((($CQ27-CR$3)/CR$4)^2)))+CR$5</f>
        <v>0.81253787683408962</v>
      </c>
      <c r="CS27">
        <f t="shared" si="18"/>
        <v>3.8466842051017584E-3</v>
      </c>
      <c r="CT27">
        <f t="shared" si="18"/>
        <v>2.1893076146955375</v>
      </c>
      <c r="CU27">
        <f t="shared" si="18"/>
        <v>2.0719546770987236</v>
      </c>
    </row>
    <row r="28" spans="1:99" x14ac:dyDescent="0.25">
      <c r="B28" t="str">
        <f>B68</f>
        <v>proof_2</v>
      </c>
      <c r="C28" t="s">
        <v>42</v>
      </c>
      <c r="D28">
        <f>C73</f>
        <v>0.5</v>
      </c>
      <c r="E28">
        <f>D73</f>
        <v>2</v>
      </c>
      <c r="F28">
        <f>E73</f>
        <v>3.6</v>
      </c>
      <c r="G28">
        <f>F73</f>
        <v>4.3</v>
      </c>
      <c r="H28">
        <f>G73</f>
        <v>5.8</v>
      </c>
      <c r="J28">
        <f>K68</f>
        <v>6.7602309231941009E-3</v>
      </c>
      <c r="K28">
        <f>L68</f>
        <v>1.0343723166640144E-2</v>
      </c>
      <c r="L28">
        <f>M68</f>
        <v>1.233711126437439E-2</v>
      </c>
      <c r="M28">
        <f>N68</f>
        <v>1.2498465945156287E-2</v>
      </c>
      <c r="N28">
        <f>O68</f>
        <v>1.8729957941261328E-2</v>
      </c>
      <c r="P28">
        <f>K71</f>
        <v>0.26940932141311458</v>
      </c>
      <c r="Q28">
        <f>L71</f>
        <v>0.7579573923310009</v>
      </c>
      <c r="R28">
        <f>M71</f>
        <v>0.92696799736295932</v>
      </c>
      <c r="S28">
        <f>N71</f>
        <v>1.0688825885269468</v>
      </c>
      <c r="T28">
        <f>O71</f>
        <v>1.0427825920736695</v>
      </c>
      <c r="V28">
        <f>K70</f>
        <v>9.3140013233028993E-2</v>
      </c>
      <c r="W28">
        <f>L70</f>
        <v>1.8004758598518078E-2</v>
      </c>
      <c r="X28">
        <f>M70</f>
        <v>1.4357671080314145E-2</v>
      </c>
      <c r="Y28">
        <f>N70</f>
        <v>1.0939480683597272E-2</v>
      </c>
      <c r="Z28">
        <f>O70</f>
        <v>1.7224604433169217E-2</v>
      </c>
      <c r="AB28">
        <f t="shared" ref="AB28:AB36" si="19">IF(D28="","",V28*(P28^2)/D28)</f>
        <v>1.3520461846388202E-2</v>
      </c>
      <c r="AC28">
        <f t="shared" si="14"/>
        <v>5.1718615833200718E-3</v>
      </c>
      <c r="AD28">
        <f t="shared" si="14"/>
        <v>3.4269753512151083E-3</v>
      </c>
      <c r="AE28">
        <f t="shared" si="14"/>
        <v>2.9066199872456481E-3</v>
      </c>
      <c r="AF28">
        <f t="shared" si="14"/>
        <v>3.2293030933209185E-3</v>
      </c>
      <c r="AG28" t="str">
        <f t="shared" si="14"/>
        <v/>
      </c>
      <c r="AH28">
        <f t="shared" si="15"/>
        <v>-0.3010299956639812</v>
      </c>
      <c r="AI28">
        <f t="shared" si="15"/>
        <v>0.3010299956639812</v>
      </c>
      <c r="AJ28">
        <f t="shared" si="15"/>
        <v>0.55630250076728727</v>
      </c>
      <c r="AK28">
        <f t="shared" si="15"/>
        <v>0.63346845557958653</v>
      </c>
      <c r="AL28">
        <f t="shared" si="15"/>
        <v>0.76342799356293722</v>
      </c>
      <c r="AM28" t="str">
        <f t="shared" si="15"/>
        <v/>
      </c>
      <c r="AN28">
        <f t="shared" si="15"/>
        <v>-2.1700384687098375</v>
      </c>
      <c r="AO28">
        <f t="shared" si="15"/>
        <v>-1.9853231111757506</v>
      </c>
      <c r="AP28">
        <f t="shared" si="15"/>
        <v>-1.9087865184882153</v>
      </c>
      <c r="AQ28">
        <f t="shared" si="15"/>
        <v>-1.9031432887870106</v>
      </c>
      <c r="AR28">
        <f t="shared" si="15"/>
        <v>-1.7274631978462591</v>
      </c>
      <c r="AS28" t="str">
        <f t="shared" si="15"/>
        <v/>
      </c>
      <c r="AT28">
        <f t="shared" ref="AT28:AT37" si="20">IF(AB28="","",LOG(AB28))</f>
        <v>-1.8690084730458565</v>
      </c>
      <c r="AU28">
        <f t="shared" si="16"/>
        <v>-2.2863531068397318</v>
      </c>
      <c r="AV28">
        <f t="shared" si="16"/>
        <v>-2.4650890192555028</v>
      </c>
      <c r="AW28">
        <f t="shared" si="16"/>
        <v>-2.536611744366597</v>
      </c>
      <c r="AX28">
        <f t="shared" si="16"/>
        <v>-2.4908911914091965</v>
      </c>
      <c r="AY28" t="str">
        <f t="shared" si="16"/>
        <v/>
      </c>
      <c r="AZ28">
        <f t="shared" si="17"/>
        <v>-1.030863704700141</v>
      </c>
      <c r="BA28">
        <f t="shared" si="17"/>
        <v>-1.7446126971215958</v>
      </c>
      <c r="BB28">
        <f t="shared" si="17"/>
        <v>-1.8429160001351654</v>
      </c>
      <c r="BC28">
        <f t="shared" si="17"/>
        <v>-1.961003294236709</v>
      </c>
      <c r="BD28">
        <f t="shared" si="17"/>
        <v>-1.7638507429741506</v>
      </c>
      <c r="BE28" t="str">
        <f t="shared" si="17"/>
        <v/>
      </c>
      <c r="BG28">
        <v>3.2263910363434498E-2</v>
      </c>
      <c r="BH28">
        <v>2.1732883881613589E-2</v>
      </c>
      <c r="BJ28">
        <v>1.1919415993121915E-2</v>
      </c>
      <c r="BK28">
        <v>2.2195256098588519E-2</v>
      </c>
      <c r="BM28">
        <v>0.10710965096747709</v>
      </c>
      <c r="BN28">
        <v>0.18113018021595095</v>
      </c>
      <c r="BP28">
        <v>0.25155171676755289</v>
      </c>
      <c r="BQ28">
        <v>0.51731369404796157</v>
      </c>
      <c r="BS28">
        <v>7.7826175106762346E-2</v>
      </c>
      <c r="BT28">
        <v>0.11185146663886474</v>
      </c>
      <c r="BV28" t="str">
        <f t="shared" si="13"/>
        <v>proof_2</v>
      </c>
      <c r="BW28">
        <f>BG33</f>
        <v>0.36037872148944922</v>
      </c>
      <c r="BX28">
        <f>BG34</f>
        <v>6.8517362038881049E-2</v>
      </c>
      <c r="BY28">
        <f>BH33</f>
        <v>-2.0797291850780208</v>
      </c>
      <c r="BZ28">
        <f t="shared" ref="BZ28:BZ35" si="21">SLOPE(AZ28:BE28,AH28:AM28)</f>
        <v>-0.80031890627543911</v>
      </c>
      <c r="CA28">
        <f t="shared" ref="CA28:CA35" si="22">SLOPE(AT28:AY28,AH28:AM28)</f>
        <v>-0.63962127851055073</v>
      </c>
      <c r="CQ28">
        <v>-0.8</v>
      </c>
      <c r="CR28">
        <f t="shared" si="18"/>
        <v>0.86198931902921094</v>
      </c>
      <c r="CS28">
        <f t="shared" si="18"/>
        <v>5.6668944359334001E-3</v>
      </c>
      <c r="CT28">
        <f t="shared" si="18"/>
        <v>2.299459822940888</v>
      </c>
      <c r="CU28">
        <f t="shared" si="18"/>
        <v>2.116021699070703</v>
      </c>
    </row>
    <row r="29" spans="1:99" x14ac:dyDescent="0.25">
      <c r="B29" t="str">
        <f>B87</f>
        <v>proof_3</v>
      </c>
      <c r="C29" t="s">
        <v>43</v>
      </c>
      <c r="D29">
        <f>C92</f>
        <v>50</v>
      </c>
      <c r="E29">
        <f>D92</f>
        <v>75</v>
      </c>
      <c r="F29">
        <f>E92</f>
        <v>100</v>
      </c>
      <c r="J29">
        <f>K87</f>
        <v>0.22801515432478228</v>
      </c>
      <c r="K29">
        <f>L87</f>
        <v>0.30060878230856564</v>
      </c>
      <c r="L29">
        <f>M87</f>
        <v>0.36124904291427712</v>
      </c>
      <c r="P29">
        <f>K90</f>
        <v>16.008991146477754</v>
      </c>
      <c r="Q29">
        <f>L90</f>
        <v>19.010968224048757</v>
      </c>
      <c r="R29">
        <f>M90</f>
        <v>28.103549036137604</v>
      </c>
      <c r="V29">
        <f>K89</f>
        <v>8.8968400573136283E-4</v>
      </c>
      <c r="W29">
        <f>L89</f>
        <v>8.3175073343006822E-4</v>
      </c>
      <c r="X29">
        <f>M89</f>
        <v>4.5738758188596407E-4</v>
      </c>
      <c r="AB29">
        <f t="shared" si="19"/>
        <v>4.5603030864956456E-3</v>
      </c>
      <c r="AC29">
        <f t="shared" si="14"/>
        <v>4.0081170974475416E-3</v>
      </c>
      <c r="AD29">
        <f t="shared" si="14"/>
        <v>3.6124904291427711E-3</v>
      </c>
      <c r="AE29" t="str">
        <f t="shared" si="14"/>
        <v/>
      </c>
      <c r="AF29" t="str">
        <f t="shared" si="14"/>
        <v/>
      </c>
      <c r="AG29" t="str">
        <f t="shared" si="14"/>
        <v/>
      </c>
      <c r="AH29">
        <f t="shared" si="15"/>
        <v>1.6989700043360187</v>
      </c>
      <c r="AI29">
        <f t="shared" si="15"/>
        <v>1.8750612633917001</v>
      </c>
      <c r="AJ29">
        <f t="shared" si="15"/>
        <v>2</v>
      </c>
      <c r="AK29" t="str">
        <f t="shared" si="15"/>
        <v/>
      </c>
      <c r="AL29" t="str">
        <f t="shared" si="15"/>
        <v/>
      </c>
      <c r="AM29" t="str">
        <f t="shared" si="15"/>
        <v/>
      </c>
      <c r="AN29">
        <f t="shared" si="15"/>
        <v>-0.64203628799552204</v>
      </c>
      <c r="AO29">
        <f t="shared" si="15"/>
        <v>-0.52199833561726383</v>
      </c>
      <c r="AP29">
        <f t="shared" si="15"/>
        <v>-0.44219329484466569</v>
      </c>
      <c r="AQ29" t="str">
        <f t="shared" si="15"/>
        <v/>
      </c>
      <c r="AR29" t="str">
        <f t="shared" si="15"/>
        <v/>
      </c>
      <c r="AS29" t="str">
        <f t="shared" si="15"/>
        <v/>
      </c>
      <c r="AT29">
        <f t="shared" si="20"/>
        <v>-2.3410062923315409</v>
      </c>
      <c r="AU29">
        <f t="shared" si="16"/>
        <v>-2.3970595990089638</v>
      </c>
      <c r="AV29">
        <f t="shared" si="16"/>
        <v>-2.4421932948446656</v>
      </c>
      <c r="AW29" t="str">
        <f t="shared" si="16"/>
        <v/>
      </c>
      <c r="AX29" t="str">
        <f t="shared" si="16"/>
        <v/>
      </c>
      <c r="AY29" t="str">
        <f t="shared" si="16"/>
        <v/>
      </c>
      <c r="AZ29">
        <f t="shared" si="17"/>
        <v>-3.0507642168781199</v>
      </c>
      <c r="BA29">
        <f t="shared" si="17"/>
        <v>-3.0800068075021323</v>
      </c>
      <c r="BB29">
        <f t="shared" si="17"/>
        <v>-3.3397156307035001</v>
      </c>
      <c r="BC29" t="str">
        <f t="shared" si="17"/>
        <v/>
      </c>
      <c r="BD29" t="str">
        <f t="shared" si="17"/>
        <v/>
      </c>
      <c r="BE29" t="str">
        <f t="shared" si="17"/>
        <v/>
      </c>
      <c r="BG29">
        <v>0.99652041994891305</v>
      </c>
      <c r="BH29">
        <v>2.6872905277575149E-2</v>
      </c>
      <c r="BJ29">
        <v>0.99967886804626016</v>
      </c>
      <c r="BK29">
        <v>2.5493517631463014E-3</v>
      </c>
      <c r="BM29">
        <v>0.9502267040903376</v>
      </c>
      <c r="BN29">
        <v>5.3107897737206339E-2</v>
      </c>
      <c r="BP29">
        <v>0.94627562796321429</v>
      </c>
      <c r="BQ29">
        <v>0.11375429393461861</v>
      </c>
      <c r="BS29">
        <v>0.9500351224442215</v>
      </c>
      <c r="BT29">
        <v>4.2959775091359023E-2</v>
      </c>
      <c r="BV29" t="str">
        <f t="shared" si="13"/>
        <v>proof_3</v>
      </c>
      <c r="BW29">
        <f>BJ27</f>
        <v>0.66503342266376153</v>
      </c>
      <c r="BX29">
        <f>BJ28</f>
        <v>1.1919415993121915E-2</v>
      </c>
      <c r="BY29">
        <f>BK28</f>
        <v>2.2195256098588519E-2</v>
      </c>
      <c r="BZ29">
        <f t="shared" si="21"/>
        <v>-0.90777422065481772</v>
      </c>
      <c r="CA29">
        <f t="shared" si="22"/>
        <v>-0.33496657733623797</v>
      </c>
      <c r="CQ29">
        <v>-0.7</v>
      </c>
      <c r="CR29">
        <f t="shared" si="18"/>
        <v>0.87167731930860948</v>
      </c>
      <c r="CS29">
        <f t="shared" si="18"/>
        <v>8.2156488144878425E-3</v>
      </c>
      <c r="CT29">
        <f t="shared" si="18"/>
        <v>2.4413372029011828</v>
      </c>
      <c r="CU29">
        <f t="shared" si="18"/>
        <v>2.1779206428959506</v>
      </c>
    </row>
    <row r="30" spans="1:99" x14ac:dyDescent="0.25">
      <c r="B30" t="str">
        <f>B107</f>
        <v>proof_4</v>
      </c>
      <c r="C30" t="s">
        <v>44</v>
      </c>
      <c r="D30">
        <f>C112</f>
        <v>2.8</v>
      </c>
      <c r="E30">
        <f>D112</f>
        <v>14</v>
      </c>
      <c r="F30">
        <f>E112</f>
        <v>53</v>
      </c>
      <c r="G30">
        <f>F112</f>
        <v>110</v>
      </c>
      <c r="J30">
        <f>K107</f>
        <v>7.803479592170727E-2</v>
      </c>
      <c r="K30">
        <f>L107</f>
        <v>6.2389442479128795E-2</v>
      </c>
      <c r="L30">
        <f>M107</f>
        <v>0.20821140563927876</v>
      </c>
      <c r="M30">
        <f>N107</f>
        <v>0.55209098319150807</v>
      </c>
      <c r="P30">
        <f>K110</f>
        <v>0.36532197981896397</v>
      </c>
      <c r="Q30">
        <f>L110</f>
        <v>1.6852303282650856</v>
      </c>
      <c r="R30">
        <f>M110</f>
        <v>3.8442748735240886</v>
      </c>
      <c r="S30">
        <f>N110</f>
        <v>8.8478946387886737</v>
      </c>
      <c r="V30">
        <f>K109</f>
        <v>0.58470484666897393</v>
      </c>
      <c r="W30">
        <f>L109</f>
        <v>2.1968103807957027E-2</v>
      </c>
      <c r="X30">
        <f>M109</f>
        <v>1.408885339506308E-2</v>
      </c>
      <c r="Y30">
        <f>N109</f>
        <v>7.0522998516945896E-3</v>
      </c>
      <c r="AB30">
        <f t="shared" si="19"/>
        <v>2.7869569972038311E-2</v>
      </c>
      <c r="AC30">
        <f t="shared" si="14"/>
        <v>4.4563887485091994E-3</v>
      </c>
      <c r="AD30">
        <f t="shared" si="14"/>
        <v>3.9285170875335614E-3</v>
      </c>
      <c r="AE30">
        <f t="shared" si="14"/>
        <v>5.0190089381046184E-3</v>
      </c>
      <c r="AF30" t="str">
        <f t="shared" si="14"/>
        <v/>
      </c>
      <c r="AG30" t="str">
        <f t="shared" si="14"/>
        <v/>
      </c>
      <c r="AH30">
        <f t="shared" si="15"/>
        <v>0.44715803134221921</v>
      </c>
      <c r="AI30">
        <f t="shared" si="15"/>
        <v>1.146128035678238</v>
      </c>
      <c r="AJ30">
        <f t="shared" si="15"/>
        <v>1.7242758696007889</v>
      </c>
      <c r="AK30">
        <f t="shared" si="15"/>
        <v>2.0413926851582249</v>
      </c>
      <c r="AL30" t="str">
        <f t="shared" si="15"/>
        <v/>
      </c>
      <c r="AM30" t="str">
        <f t="shared" si="15"/>
        <v/>
      </c>
      <c r="AN30">
        <f t="shared" si="15"/>
        <v>-1.1077117010643784</v>
      </c>
      <c r="AO30">
        <f t="shared" si="15"/>
        <v>-1.2048888952691359</v>
      </c>
      <c r="AP30">
        <f t="shared" si="15"/>
        <v>-0.68149548390076009</v>
      </c>
      <c r="AQ30">
        <f t="shared" si="15"/>
        <v>-0.25798934574548049</v>
      </c>
      <c r="AR30" t="str">
        <f t="shared" si="15"/>
        <v/>
      </c>
      <c r="AS30" t="str">
        <f t="shared" si="15"/>
        <v/>
      </c>
      <c r="AT30">
        <f t="shared" si="20"/>
        <v>-1.5548697324065976</v>
      </c>
      <c r="AU30">
        <f t="shared" si="16"/>
        <v>-2.3510169309473739</v>
      </c>
      <c r="AV30">
        <f t="shared" si="16"/>
        <v>-2.405771353501549</v>
      </c>
      <c r="AW30">
        <f t="shared" si="16"/>
        <v>-2.2993820309037054</v>
      </c>
      <c r="AX30" t="str">
        <f t="shared" si="16"/>
        <v/>
      </c>
      <c r="AY30" t="str">
        <f t="shared" si="16"/>
        <v/>
      </c>
      <c r="AZ30">
        <f t="shared" si="17"/>
        <v>-0.23306330624332636</v>
      </c>
      <c r="BA30">
        <f t="shared" si="17"/>
        <v>-1.6582074278897128</v>
      </c>
      <c r="BB30">
        <f t="shared" si="17"/>
        <v>-1.8511243500034609</v>
      </c>
      <c r="BC30">
        <f t="shared" si="17"/>
        <v>-2.1516692305236145</v>
      </c>
      <c r="BD30" t="str">
        <f t="shared" si="17"/>
        <v/>
      </c>
      <c r="BE30" t="str">
        <f t="shared" si="17"/>
        <v/>
      </c>
      <c r="BG30">
        <v>859.17300822346658</v>
      </c>
      <c r="BH30">
        <v>3</v>
      </c>
      <c r="BJ30">
        <v>3112.9847291877932</v>
      </c>
      <c r="BK30">
        <v>1</v>
      </c>
      <c r="BM30">
        <v>19.091094666806502</v>
      </c>
      <c r="BN30">
        <v>1</v>
      </c>
      <c r="BP30">
        <v>35.227052158572988</v>
      </c>
      <c r="BQ30">
        <v>2</v>
      </c>
      <c r="BS30">
        <v>57.042176559943329</v>
      </c>
      <c r="BT30">
        <v>3</v>
      </c>
      <c r="BV30" t="str">
        <f t="shared" si="13"/>
        <v>proof_4</v>
      </c>
      <c r="BW30">
        <f>BJ33</f>
        <v>0.52830723177640337</v>
      </c>
      <c r="BX30">
        <f>BJ34</f>
        <v>0.22871629015247616</v>
      </c>
      <c r="BY30">
        <f>BK34</f>
        <v>0.33641459104279287</v>
      </c>
      <c r="BZ30">
        <f t="shared" si="21"/>
        <v>-1.1479319101352701</v>
      </c>
      <c r="CA30">
        <f t="shared" si="22"/>
        <v>-0.47169276822359685</v>
      </c>
      <c r="CD30">
        <f>AVERAGE(BK3:BK11)</f>
        <v>-0.72666907189855279</v>
      </c>
      <c r="CF30">
        <f>AVERAGE(BM3:BM11)</f>
        <v>-0.20204891158984661</v>
      </c>
      <c r="CH30">
        <f>AVERAGE(BK12:BK20)</f>
        <v>1.5668680172634821</v>
      </c>
      <c r="CJ30">
        <f>AVERAGE(BM12:BM20)</f>
        <v>0.10204644943162225</v>
      </c>
      <c r="CQ30">
        <v>-0.6</v>
      </c>
      <c r="CR30">
        <f t="shared" si="18"/>
        <v>0.84024357331077171</v>
      </c>
      <c r="CS30">
        <f t="shared" si="18"/>
        <v>1.1721326579953327E-2</v>
      </c>
      <c r="CT30">
        <f t="shared" si="18"/>
        <v>2.6059879768472607</v>
      </c>
      <c r="CU30">
        <f t="shared" si="18"/>
        <v>2.2594898545591593</v>
      </c>
    </row>
    <row r="31" spans="1:99" x14ac:dyDescent="0.25">
      <c r="B31" t="str">
        <f>B125</f>
        <v>proof_5a (1)</v>
      </c>
      <c r="C31" s="1" t="s">
        <v>45</v>
      </c>
      <c r="D31">
        <f>C130</f>
        <v>20</v>
      </c>
      <c r="E31">
        <f>D130</f>
        <v>50</v>
      </c>
      <c r="F31">
        <f>E130</f>
        <v>100</v>
      </c>
      <c r="J31">
        <f>K125</f>
        <v>0.13079688186432556</v>
      </c>
      <c r="K31">
        <f>L125</f>
        <v>0.17417777673978604</v>
      </c>
      <c r="L31">
        <f>M125</f>
        <v>0.2816481262343799</v>
      </c>
      <c r="P31">
        <f>K128</f>
        <v>0.83125381343324634</v>
      </c>
      <c r="Q31">
        <f>L128</f>
        <v>1.2239712015093263</v>
      </c>
      <c r="R31">
        <f>M128</f>
        <v>1.8412984688276135</v>
      </c>
      <c r="V31">
        <f>K127</f>
        <v>0.18929105397543117</v>
      </c>
      <c r="W31">
        <f>L127</f>
        <v>0.11626536081258432</v>
      </c>
      <c r="X31">
        <f>M127</f>
        <v>8.3072729892275946E-2</v>
      </c>
      <c r="AB31">
        <f t="shared" si="19"/>
        <v>6.539844093216278E-3</v>
      </c>
      <c r="AC31">
        <f t="shared" si="14"/>
        <v>3.4835555347957209E-3</v>
      </c>
      <c r="AD31">
        <f t="shared" si="14"/>
        <v>2.816481262343799E-3</v>
      </c>
      <c r="AE31" t="str">
        <f t="shared" si="14"/>
        <v/>
      </c>
      <c r="AF31" t="str">
        <f t="shared" si="14"/>
        <v/>
      </c>
      <c r="AG31" t="str">
        <f t="shared" si="14"/>
        <v/>
      </c>
      <c r="AH31">
        <f t="shared" si="15"/>
        <v>1.3010299956639813</v>
      </c>
      <c r="AI31">
        <f t="shared" si="15"/>
        <v>1.6989700043360187</v>
      </c>
      <c r="AJ31">
        <f t="shared" si="15"/>
        <v>2</v>
      </c>
      <c r="AK31" t="str">
        <f t="shared" si="15"/>
        <v/>
      </c>
      <c r="AL31" t="str">
        <f t="shared" si="15"/>
        <v/>
      </c>
      <c r="AM31" t="str">
        <f t="shared" si="15"/>
        <v/>
      </c>
      <c r="AN31">
        <f t="shared" si="15"/>
        <v>-0.88340260926296499</v>
      </c>
      <c r="AO31">
        <f t="shared" si="15"/>
        <v>-0.75900725722138618</v>
      </c>
      <c r="AP31">
        <f t="shared" si="15"/>
        <v>-0.55029313371950961</v>
      </c>
      <c r="AQ31" t="str">
        <f t="shared" si="15"/>
        <v/>
      </c>
      <c r="AR31" t="str">
        <f t="shared" si="15"/>
        <v/>
      </c>
      <c r="AS31" t="str">
        <f t="shared" si="15"/>
        <v/>
      </c>
      <c r="AT31">
        <f t="shared" si="20"/>
        <v>-2.184432604926946</v>
      </c>
      <c r="AU31">
        <f t="shared" si="16"/>
        <v>-2.4579772615574051</v>
      </c>
      <c r="AV31">
        <f t="shared" si="16"/>
        <v>-2.5502931337195096</v>
      </c>
      <c r="AW31" t="str">
        <f t="shared" si="16"/>
        <v/>
      </c>
      <c r="AX31" t="str">
        <f t="shared" si="16"/>
        <v/>
      </c>
      <c r="AY31" t="str">
        <f t="shared" si="16"/>
        <v/>
      </c>
      <c r="AZ31">
        <f t="shared" si="17"/>
        <v>-0.72286991060520789</v>
      </c>
      <c r="BA31">
        <f t="shared" si="17"/>
        <v>-0.93454965628373432</v>
      </c>
      <c r="BB31">
        <f t="shared" si="17"/>
        <v>-1.0805415177438455</v>
      </c>
      <c r="BC31" t="str">
        <f t="shared" si="17"/>
        <v/>
      </c>
      <c r="BD31" t="str">
        <f t="shared" si="17"/>
        <v/>
      </c>
      <c r="BE31" t="str">
        <f t="shared" si="17"/>
        <v/>
      </c>
      <c r="BG31">
        <v>0.62045439810560044</v>
      </c>
      <c r="BH31">
        <v>2.1664591141725789E-3</v>
      </c>
      <c r="BJ31">
        <v>2.023189295737916E-2</v>
      </c>
      <c r="BK31">
        <v>6.4991944122571558E-6</v>
      </c>
      <c r="BM31">
        <v>5.384545508311471E-2</v>
      </c>
      <c r="BN31">
        <v>2.820448802065566E-3</v>
      </c>
      <c r="BP31">
        <v>0.45583944247491909</v>
      </c>
      <c r="BQ31">
        <v>2.5880078777127214E-2</v>
      </c>
      <c r="BS31">
        <v>0.10527374835073608</v>
      </c>
      <c r="BT31">
        <v>5.5366268277004544E-3</v>
      </c>
      <c r="BV31" t="str">
        <f t="shared" si="13"/>
        <v>proof_5a (1)</v>
      </c>
      <c r="BW31">
        <f>BM27</f>
        <v>0.4679980243302061</v>
      </c>
      <c r="BX31">
        <f>BM28</f>
        <v>0.10710965096747709</v>
      </c>
      <c r="BY31">
        <f>BN28</f>
        <v>0.18113018021595095</v>
      </c>
      <c r="BZ31">
        <f t="shared" si="21"/>
        <v>-0.5127699894121488</v>
      </c>
      <c r="CA31">
        <f t="shared" si="22"/>
        <v>-0.53200197566979435</v>
      </c>
      <c r="CD31">
        <f>STDEV(BK3:BK11)</f>
        <v>0.45689296821701458</v>
      </c>
      <c r="CF31">
        <f>STDEV(BM3:BM11)</f>
        <v>0.37588135379592247</v>
      </c>
      <c r="CH31">
        <f>STDEV(BK12:BK20)</f>
        <v>0.78982341106503773</v>
      </c>
      <c r="CJ31">
        <f>STDEV(BM12:BM20)</f>
        <v>0.4464089604530676</v>
      </c>
      <c r="CQ31">
        <v>-0.5</v>
      </c>
      <c r="CR31">
        <f t="shared" si="18"/>
        <v>0.77205856417962082</v>
      </c>
      <c r="CS31">
        <f t="shared" si="18"/>
        <v>1.6456967895358176E-2</v>
      </c>
      <c r="CT31">
        <f t="shared" si="18"/>
        <v>2.7752092953632221</v>
      </c>
      <c r="CU31">
        <f t="shared" si="18"/>
        <v>2.3599327391841043</v>
      </c>
    </row>
    <row r="32" spans="1:99" x14ac:dyDescent="0.25">
      <c r="B32" t="str">
        <f>B142</f>
        <v>proof_5b</v>
      </c>
      <c r="C32" s="1" t="s">
        <v>46</v>
      </c>
      <c r="D32">
        <f>C147</f>
        <v>20</v>
      </c>
      <c r="E32">
        <f>D147</f>
        <v>50</v>
      </c>
      <c r="F32">
        <f>E147</f>
        <v>100</v>
      </c>
      <c r="J32">
        <f>K142</f>
        <v>9.1237785747510361E-2</v>
      </c>
      <c r="K32">
        <f>L142</f>
        <v>0.12411044080398836</v>
      </c>
      <c r="L32">
        <f>M142</f>
        <v>0.41880153910874385</v>
      </c>
      <c r="P32">
        <f>K145</f>
        <v>0.84205501256827109</v>
      </c>
      <c r="Q32">
        <f>L145</f>
        <v>2.9840247736896277</v>
      </c>
      <c r="R32">
        <f>M145</f>
        <v>3.4413907968857353</v>
      </c>
      <c r="V32">
        <f>K144</f>
        <v>0.12867489007392796</v>
      </c>
      <c r="W32">
        <f>L144</f>
        <v>1.3938096574997536E-2</v>
      </c>
      <c r="X32">
        <f>M144</f>
        <v>3.5362281998325744E-2</v>
      </c>
      <c r="AB32">
        <f t="shared" si="19"/>
        <v>4.5618892873755179E-3</v>
      </c>
      <c r="AC32">
        <f t="shared" si="14"/>
        <v>2.4822088160797672E-3</v>
      </c>
      <c r="AD32">
        <f t="shared" si="14"/>
        <v>4.1880153910874383E-3</v>
      </c>
      <c r="AE32" t="str">
        <f t="shared" si="14"/>
        <v/>
      </c>
      <c r="AF32" t="str">
        <f t="shared" si="14"/>
        <v/>
      </c>
      <c r="AG32" t="str">
        <f t="shared" si="14"/>
        <v/>
      </c>
      <c r="AH32">
        <f t="shared" si="15"/>
        <v>1.3010299956639813</v>
      </c>
      <c r="AI32">
        <f t="shared" si="15"/>
        <v>1.6989700043360187</v>
      </c>
      <c r="AJ32">
        <f t="shared" si="15"/>
        <v>2</v>
      </c>
      <c r="AK32" t="str">
        <f t="shared" si="15"/>
        <v/>
      </c>
      <c r="AL32" t="str">
        <f t="shared" si="15"/>
        <v/>
      </c>
      <c r="AM32" t="str">
        <f t="shared" si="15"/>
        <v/>
      </c>
      <c r="AN32">
        <f t="shared" si="15"/>
        <v>-1.0398252631729723</v>
      </c>
      <c r="AO32">
        <f t="shared" si="15"/>
        <v>-0.90619168189510024</v>
      </c>
      <c r="AP32">
        <f t="shared" si="15"/>
        <v>-0.37799173094446975</v>
      </c>
      <c r="AQ32" t="str">
        <f t="shared" si="15"/>
        <v/>
      </c>
      <c r="AR32" t="str">
        <f t="shared" si="15"/>
        <v/>
      </c>
      <c r="AS32" t="str">
        <f t="shared" si="15"/>
        <v/>
      </c>
      <c r="AT32">
        <f t="shared" si="20"/>
        <v>-2.3408552588369536</v>
      </c>
      <c r="AU32">
        <f t="shared" si="16"/>
        <v>-2.6051616862311193</v>
      </c>
      <c r="AV32">
        <f t="shared" si="16"/>
        <v>-2.3779917309444696</v>
      </c>
      <c r="AW32" t="str">
        <f t="shared" si="16"/>
        <v/>
      </c>
      <c r="AX32" t="str">
        <f t="shared" si="16"/>
        <v/>
      </c>
      <c r="AY32" t="str">
        <f t="shared" si="16"/>
        <v/>
      </c>
      <c r="AZ32">
        <f t="shared" si="17"/>
        <v>-0.89050619409241805</v>
      </c>
      <c r="BA32">
        <f t="shared" si="17"/>
        <v>-1.8557965306438426</v>
      </c>
      <c r="BB32">
        <f t="shared" si="17"/>
        <v>-1.4514597168687389</v>
      </c>
      <c r="BC32" t="str">
        <f t="shared" si="17"/>
        <v/>
      </c>
      <c r="BD32" t="str">
        <f t="shared" si="17"/>
        <v/>
      </c>
      <c r="BE32" t="str">
        <f t="shared" si="17"/>
        <v/>
      </c>
      <c r="BG32">
        <v>2</v>
      </c>
      <c r="BH32" t="s">
        <v>35</v>
      </c>
      <c r="BJ32">
        <f>BJ26+1</f>
        <v>4</v>
      </c>
      <c r="BK32" t="s">
        <v>35</v>
      </c>
      <c r="BM32">
        <f>BM26+1</f>
        <v>6</v>
      </c>
      <c r="BN32" t="s">
        <v>35</v>
      </c>
      <c r="BP32">
        <f>BP26+1</f>
        <v>8</v>
      </c>
      <c r="BQ32" t="s">
        <v>35</v>
      </c>
      <c r="BV32" t="str">
        <f t="shared" si="13"/>
        <v>proof_5b</v>
      </c>
      <c r="BW32">
        <f>BM33</f>
        <v>0.91491866211612982</v>
      </c>
      <c r="BX32">
        <f>BM34</f>
        <v>0.39914965205141439</v>
      </c>
      <c r="BY32">
        <f>BN34</f>
        <v>0.67499098126236523</v>
      </c>
      <c r="BZ32">
        <f t="shared" si="21"/>
        <v>-0.88741602203962011</v>
      </c>
      <c r="CA32">
        <f t="shared" si="22"/>
        <v>-8.508133788386997E-2</v>
      </c>
      <c r="CQ32">
        <v>-0.4</v>
      </c>
      <c r="CR32">
        <f t="shared" si="18"/>
        <v>0.6762244699857356</v>
      </c>
      <c r="CS32">
        <f t="shared" si="18"/>
        <v>2.2738459216834338E-2</v>
      </c>
      <c r="CT32">
        <f t="shared" si="18"/>
        <v>2.9239222590879343</v>
      </c>
      <c r="CU32">
        <f t="shared" si="18"/>
        <v>2.4748202647592694</v>
      </c>
    </row>
    <row r="33" spans="1:99" x14ac:dyDescent="0.25">
      <c r="B33" t="str">
        <f>B159</f>
        <v>proof_7</v>
      </c>
      <c r="C33" t="s">
        <v>47</v>
      </c>
      <c r="D33">
        <f>C164</f>
        <v>50</v>
      </c>
      <c r="E33">
        <f>D164</f>
        <v>100</v>
      </c>
      <c r="F33">
        <f>E164</f>
        <v>150</v>
      </c>
      <c r="G33">
        <f>F164</f>
        <v>200</v>
      </c>
      <c r="J33">
        <f>K159</f>
        <v>0.8734423293268192</v>
      </c>
      <c r="K33">
        <f>L159</f>
        <v>1.5498206505748102</v>
      </c>
      <c r="L33">
        <f>M159</f>
        <v>4.0443916572138745</v>
      </c>
      <c r="M33">
        <f>N159</f>
        <v>6.7578705044907439</v>
      </c>
      <c r="P33">
        <f>K162</f>
        <v>21.091402646003264</v>
      </c>
      <c r="Q33">
        <f>L162</f>
        <v>36.135163807868572</v>
      </c>
      <c r="R33">
        <f>M162</f>
        <v>40.545720095317243</v>
      </c>
      <c r="S33">
        <f>N162</f>
        <v>48.067244103648086</v>
      </c>
      <c r="V33">
        <f>K161</f>
        <v>1.9634656587046565E-3</v>
      </c>
      <c r="W33">
        <f>L161</f>
        <v>1.1869198355723377E-3</v>
      </c>
      <c r="X33">
        <f>M161</f>
        <v>2.4601589634447424E-3</v>
      </c>
      <c r="Y33">
        <f>N161</f>
        <v>2.9249026747947752E-3</v>
      </c>
      <c r="AB33">
        <f t="shared" si="19"/>
        <v>1.7468846586536385E-2</v>
      </c>
      <c r="AC33">
        <f t="shared" si="14"/>
        <v>1.5498206505748102E-2</v>
      </c>
      <c r="AD33">
        <f t="shared" si="14"/>
        <v>2.6962611048092496E-2</v>
      </c>
      <c r="AE33">
        <f t="shared" si="14"/>
        <v>3.3789352522453721E-2</v>
      </c>
      <c r="AF33" t="str">
        <f t="shared" si="14"/>
        <v/>
      </c>
      <c r="AG33" t="str">
        <f t="shared" si="14"/>
        <v/>
      </c>
      <c r="AH33">
        <f t="shared" si="15"/>
        <v>1.6989700043360187</v>
      </c>
      <c r="AI33">
        <f t="shared" si="15"/>
        <v>2</v>
      </c>
      <c r="AJ33">
        <f t="shared" si="15"/>
        <v>2.1760912590556813</v>
      </c>
      <c r="AK33">
        <f t="shared" si="15"/>
        <v>2.3010299956639813</v>
      </c>
      <c r="AL33" t="str">
        <f t="shared" si="15"/>
        <v/>
      </c>
      <c r="AM33" t="str">
        <f t="shared" si="15"/>
        <v/>
      </c>
      <c r="AN33">
        <f t="shared" si="15"/>
        <v>-5.8765764844723213E-2</v>
      </c>
      <c r="AO33">
        <f t="shared" si="15"/>
        <v>0.19028144334941022</v>
      </c>
      <c r="AP33">
        <f t="shared" si="15"/>
        <v>0.60685320585332891</v>
      </c>
      <c r="AQ33">
        <f t="shared" si="15"/>
        <v>0.82980986549097424</v>
      </c>
      <c r="AR33" t="str">
        <f t="shared" si="15"/>
        <v/>
      </c>
      <c r="AS33" t="str">
        <f t="shared" si="15"/>
        <v/>
      </c>
      <c r="AT33">
        <f t="shared" si="20"/>
        <v>-1.757735769180742</v>
      </c>
      <c r="AU33">
        <f t="shared" si="16"/>
        <v>-1.8097185566505898</v>
      </c>
      <c r="AV33">
        <f t="shared" si="16"/>
        <v>-1.5692380532023524</v>
      </c>
      <c r="AW33">
        <f t="shared" si="16"/>
        <v>-1.471220130173007</v>
      </c>
      <c r="AX33" t="str">
        <f t="shared" si="16"/>
        <v/>
      </c>
      <c r="AY33" t="str">
        <f t="shared" si="16"/>
        <v/>
      </c>
      <c r="AZ33">
        <f t="shared" si="17"/>
        <v>-2.7069766901997734</v>
      </c>
      <c r="BA33">
        <f t="shared" si="17"/>
        <v>-2.9255786122537084</v>
      </c>
      <c r="BB33">
        <f t="shared" si="17"/>
        <v>-2.6090368300037703</v>
      </c>
      <c r="BC33">
        <f t="shared" si="17"/>
        <v>-2.5338885803519871</v>
      </c>
      <c r="BD33" t="str">
        <f t="shared" si="17"/>
        <v/>
      </c>
      <c r="BE33" t="str">
        <f t="shared" si="17"/>
        <v/>
      </c>
      <c r="BG33">
        <f t="array" ref="BG33:BH37">LINEST(AN28:AR28,AH28:AL28,TRUE,TRUE)</f>
        <v>0.36037872148944922</v>
      </c>
      <c r="BH33">
        <v>-2.0797291850780208</v>
      </c>
      <c r="BJ33">
        <f t="array" ref="BJ33:BK37">LINEST(AN30:AQ30,AH30:AK30,TRUE,TRUE)</f>
        <v>0.52830723177640337</v>
      </c>
      <c r="BK33">
        <v>-1.5208149768568575</v>
      </c>
      <c r="BM33">
        <f t="array" ref="BM33:BN37">LINEST(AN32:AP32,AH32:AJ32,TRUE,TRUE)</f>
        <v>0.91491866211612982</v>
      </c>
      <c r="BN33">
        <v>-2.2995339955310636</v>
      </c>
      <c r="BP33">
        <f t="array" ref="BP33:BQ37">LINEST(AN34:AR34,AH34:AL34,TRUE,TRUE)</f>
        <v>1.2184037515641877</v>
      </c>
      <c r="BQ33">
        <v>-3.0523786479817909</v>
      </c>
      <c r="BV33" t="str">
        <f t="shared" si="13"/>
        <v>proof_7</v>
      </c>
      <c r="BW33">
        <f>BP27</f>
        <v>1.4930193515953007</v>
      </c>
      <c r="BX33">
        <f>BP28</f>
        <v>0.25155171676755289</v>
      </c>
      <c r="BY33">
        <f>BQ28</f>
        <v>0.51731369404796157</v>
      </c>
      <c r="BZ33">
        <f t="shared" si="21"/>
        <v>0.32784851141346144</v>
      </c>
      <c r="CA33">
        <f t="shared" si="22"/>
        <v>0.49301935159530064</v>
      </c>
      <c r="CD33">
        <f>CD30-CD31</f>
        <v>-1.1835620401155673</v>
      </c>
      <c r="CE33">
        <f>CE27+0.1</f>
        <v>1.6</v>
      </c>
      <c r="CF33">
        <f>CF30-CF31</f>
        <v>-0.57793026538576908</v>
      </c>
      <c r="CG33">
        <f>CG27+0.1</f>
        <v>2.8000000000000003</v>
      </c>
      <c r="CH33">
        <f>CH30-CH31</f>
        <v>0.7770446061984444</v>
      </c>
      <c r="CI33">
        <f>CI23+0.1</f>
        <v>1.6</v>
      </c>
      <c r="CJ33">
        <f>CJ30-CJ31</f>
        <v>-0.34436251102144533</v>
      </c>
      <c r="CK33">
        <f>CK23+0.5</f>
        <v>3.2</v>
      </c>
      <c r="CQ33">
        <v>-0.3</v>
      </c>
      <c r="CR33">
        <f t="shared" si="18"/>
        <v>0.56458210873631087</v>
      </c>
      <c r="CS33">
        <f t="shared" si="18"/>
        <v>3.0917929313619679E-2</v>
      </c>
      <c r="CT33">
        <f t="shared" si="18"/>
        <v>3.0259197334364174</v>
      </c>
      <c r="CU33">
        <f t="shared" si="18"/>
        <v>2.5957225853524712</v>
      </c>
    </row>
    <row r="34" spans="1:99" x14ac:dyDescent="0.25">
      <c r="B34" t="str">
        <f>B176</f>
        <v>proof_8</v>
      </c>
      <c r="C34" t="s">
        <v>48</v>
      </c>
      <c r="D34">
        <f>C181</f>
        <v>100</v>
      </c>
      <c r="E34">
        <f>D181</f>
        <v>200</v>
      </c>
      <c r="F34">
        <f>E181</f>
        <v>300</v>
      </c>
      <c r="G34">
        <f>F181</f>
        <v>400</v>
      </c>
      <c r="H34">
        <f>G181</f>
        <v>500</v>
      </c>
      <c r="J34">
        <f>K176</f>
        <v>0.27279296790954422</v>
      </c>
      <c r="K34">
        <f>L176</f>
        <v>0.47414922968643841</v>
      </c>
      <c r="L34">
        <f>M176</f>
        <v>0.8462623766719547</v>
      </c>
      <c r="M34">
        <f>N176</f>
        <v>1.3929922381320126</v>
      </c>
      <c r="N34">
        <f>O176</f>
        <v>1.8716496444537458</v>
      </c>
      <c r="P34">
        <f>K179</f>
        <v>6.4088592989863944</v>
      </c>
      <c r="Q34">
        <f>L179</f>
        <v>11.951906500289983</v>
      </c>
      <c r="R34">
        <f>M179</f>
        <v>16.852554696395401</v>
      </c>
      <c r="S34">
        <f>N179</f>
        <v>21.709374702297012</v>
      </c>
      <c r="T34">
        <f>O179</f>
        <v>25.868948920295715</v>
      </c>
      <c r="V34">
        <f>K178</f>
        <v>6.6415844096766492E-3</v>
      </c>
      <c r="W34">
        <f>L178</f>
        <v>3.3192554371461241E-3</v>
      </c>
      <c r="X34">
        <f>M178</f>
        <v>2.9797068725482202E-3</v>
      </c>
      <c r="Y34">
        <f>N178</f>
        <v>2.9556572310435029E-3</v>
      </c>
      <c r="Z34">
        <f>O178</f>
        <v>2.7968359255039076E-3</v>
      </c>
      <c r="AB34">
        <f t="shared" si="19"/>
        <v>2.7279296790954422E-3</v>
      </c>
      <c r="AC34">
        <f t="shared" si="14"/>
        <v>2.3707461484321918E-3</v>
      </c>
      <c r="AD34">
        <f t="shared" si="14"/>
        <v>2.8208745889065157E-3</v>
      </c>
      <c r="AE34">
        <f t="shared" si="14"/>
        <v>3.4824805953300314E-3</v>
      </c>
      <c r="AF34">
        <f t="shared" si="14"/>
        <v>3.7432992889074915E-3</v>
      </c>
      <c r="AG34" t="str">
        <f t="shared" si="14"/>
        <v/>
      </c>
      <c r="AH34">
        <f t="shared" si="15"/>
        <v>2</v>
      </c>
      <c r="AI34">
        <f t="shared" si="15"/>
        <v>2.3010299956639813</v>
      </c>
      <c r="AJ34">
        <f t="shared" si="15"/>
        <v>2.4771212547196626</v>
      </c>
      <c r="AK34">
        <f t="shared" si="15"/>
        <v>2.6020599913279625</v>
      </c>
      <c r="AL34">
        <f t="shared" si="15"/>
        <v>2.6989700043360187</v>
      </c>
      <c r="AM34" t="str">
        <f t="shared" si="15"/>
        <v/>
      </c>
      <c r="AN34">
        <f t="shared" si="15"/>
        <v>-0.56416682916747962</v>
      </c>
      <c r="AO34">
        <f t="shared" si="15"/>
        <v>-0.32408495066880288</v>
      </c>
      <c r="AP34">
        <f t="shared" si="15"/>
        <v>-7.2494966660089408E-2</v>
      </c>
      <c r="AQ34">
        <f t="shared" si="15"/>
        <v>0.1439486965059249</v>
      </c>
      <c r="AR34">
        <f t="shared" si="15"/>
        <v>0.27222455608969748</v>
      </c>
      <c r="AS34" t="str">
        <f t="shared" si="15"/>
        <v/>
      </c>
      <c r="AT34">
        <f t="shared" si="20"/>
        <v>-2.5641668291674797</v>
      </c>
      <c r="AU34">
        <f t="shared" si="16"/>
        <v>-2.6251149463327841</v>
      </c>
      <c r="AV34">
        <f t="shared" si="16"/>
        <v>-2.5496162213797517</v>
      </c>
      <c r="AW34">
        <f t="shared" si="16"/>
        <v>-2.4581112948220376</v>
      </c>
      <c r="AX34">
        <f t="shared" si="16"/>
        <v>-2.4267454482463213</v>
      </c>
      <c r="AY34" t="str">
        <f t="shared" si="16"/>
        <v/>
      </c>
      <c r="AZ34">
        <f t="shared" si="17"/>
        <v>-2.1777283034186015</v>
      </c>
      <c r="BA34">
        <f t="shared" si="17"/>
        <v>-2.4789593246705279</v>
      </c>
      <c r="BB34">
        <f t="shared" si="17"/>
        <v>-2.5258264573654623</v>
      </c>
      <c r="BC34">
        <f t="shared" si="17"/>
        <v>-2.5293459326919199</v>
      </c>
      <c r="BD34">
        <f t="shared" si="17"/>
        <v>-2.5533330104745025</v>
      </c>
      <c r="BE34" t="str">
        <f t="shared" si="17"/>
        <v/>
      </c>
      <c r="BG34">
        <v>6.8517362038881049E-2</v>
      </c>
      <c r="BH34">
        <v>3.7212121523876436E-2</v>
      </c>
      <c r="BJ34">
        <v>0.22871629015247616</v>
      </c>
      <c r="BK34">
        <v>0.33641459104279287</v>
      </c>
      <c r="BM34">
        <v>0.39914965205141439</v>
      </c>
      <c r="BN34">
        <v>0.67499098126236523</v>
      </c>
      <c r="BP34">
        <v>0.11340753596421851</v>
      </c>
      <c r="BQ34">
        <v>0.27540068741388435</v>
      </c>
      <c r="BV34" t="str">
        <f t="shared" si="13"/>
        <v>proof_8</v>
      </c>
      <c r="BW34">
        <f>BP33</f>
        <v>1.2184037515641877</v>
      </c>
      <c r="BX34">
        <f>BP34</f>
        <v>0.11340753596421851</v>
      </c>
      <c r="BY34">
        <f>BQ34</f>
        <v>0.27540068741388435</v>
      </c>
      <c r="BZ34">
        <f t="shared" si="21"/>
        <v>-0.52043272742837388</v>
      </c>
      <c r="CA34">
        <f t="shared" si="22"/>
        <v>0.21840375156418765</v>
      </c>
      <c r="CD34">
        <f>CD30+CD31</f>
        <v>-0.2697761036815382</v>
      </c>
      <c r="CE34">
        <f>CE33</f>
        <v>1.6</v>
      </c>
      <c r="CF34">
        <f>CF30+CF31</f>
        <v>0.17383244220607585</v>
      </c>
      <c r="CG34">
        <f>CG33</f>
        <v>2.8000000000000003</v>
      </c>
      <c r="CH34">
        <f>CH30+CH31</f>
        <v>2.3566914283285199</v>
      </c>
      <c r="CI34">
        <f>CI33</f>
        <v>1.6</v>
      </c>
      <c r="CJ34">
        <f>CJ30+CJ31</f>
        <v>0.54845540988468988</v>
      </c>
      <c r="CK34">
        <f>CK33</f>
        <v>3.2</v>
      </c>
      <c r="CQ34">
        <v>-0.2</v>
      </c>
      <c r="CR34">
        <f t="shared" si="18"/>
        <v>0.44932329269643118</v>
      </c>
      <c r="CS34">
        <f t="shared" si="18"/>
        <v>4.1371181367801671E-2</v>
      </c>
      <c r="CT34">
        <f t="shared" si="18"/>
        <v>3.0613358432201001</v>
      </c>
      <c r="CU34">
        <f t="shared" si="18"/>
        <v>2.7108301019047669</v>
      </c>
    </row>
    <row r="35" spans="1:99" x14ac:dyDescent="0.25">
      <c r="B35" t="str">
        <f>B191</f>
        <v>proof_9</v>
      </c>
      <c r="C35" t="s">
        <v>49</v>
      </c>
      <c r="D35">
        <f>C196</f>
        <v>10</v>
      </c>
      <c r="E35">
        <f>D196</f>
        <v>20</v>
      </c>
      <c r="F35">
        <f>E196</f>
        <v>30</v>
      </c>
      <c r="G35">
        <f>F196</f>
        <v>40</v>
      </c>
      <c r="H35">
        <f>G196</f>
        <v>50</v>
      </c>
      <c r="J35">
        <f>K191</f>
        <v>14.703495097071185</v>
      </c>
      <c r="K35">
        <f>L191</f>
        <v>17.751164725848174</v>
      </c>
      <c r="L35">
        <f>M191</f>
        <v>26.785381130073443</v>
      </c>
      <c r="M35">
        <f>N191</f>
        <v>30.776507298311198</v>
      </c>
      <c r="N35">
        <f>O191</f>
        <v>36.794103438173735</v>
      </c>
      <c r="P35">
        <f>K194</f>
        <v>166.20678505583828</v>
      </c>
      <c r="Q35">
        <f>L194</f>
        <v>313.70515262699774</v>
      </c>
      <c r="R35">
        <f>M194</f>
        <v>439.44651559997817</v>
      </c>
      <c r="S35">
        <f>N194</f>
        <v>567.32792143098266</v>
      </c>
      <c r="T35">
        <f>O194</f>
        <v>674.80856962135192</v>
      </c>
      <c r="V35">
        <f>K193</f>
        <v>5.3225908502931799E-4</v>
      </c>
      <c r="W35">
        <f>L193</f>
        <v>1.803779928441329E-4</v>
      </c>
      <c r="X35">
        <f>M193</f>
        <v>1.387029761395615E-4</v>
      </c>
      <c r="Y35">
        <f>N193</f>
        <v>9.5620501164515943E-5</v>
      </c>
      <c r="Z35">
        <f>O193</f>
        <v>8.0801057835394705E-5</v>
      </c>
      <c r="AB35">
        <f t="shared" si="19"/>
        <v>1.4703495097071184</v>
      </c>
      <c r="AC35">
        <f t="shared" si="14"/>
        <v>0.88755823629240871</v>
      </c>
      <c r="AD35">
        <f t="shared" si="14"/>
        <v>0.89284603766911474</v>
      </c>
      <c r="AE35">
        <f t="shared" si="14"/>
        <v>0.76941268245777994</v>
      </c>
      <c r="AF35">
        <f t="shared" si="14"/>
        <v>0.73588206876347473</v>
      </c>
      <c r="AG35" t="str">
        <f t="shared" si="14"/>
        <v/>
      </c>
      <c r="AH35">
        <f t="shared" si="15"/>
        <v>1</v>
      </c>
      <c r="AI35">
        <f t="shared" si="15"/>
        <v>1.3010299956639813</v>
      </c>
      <c r="AJ35">
        <f t="shared" si="15"/>
        <v>1.4771212547196624</v>
      </c>
      <c r="AK35">
        <f t="shared" si="15"/>
        <v>1.6020599913279623</v>
      </c>
      <c r="AL35">
        <f t="shared" si="15"/>
        <v>1.6989700043360187</v>
      </c>
      <c r="AM35" t="str">
        <f t="shared" si="15"/>
        <v/>
      </c>
      <c r="AN35">
        <f t="shared" si="15"/>
        <v>1.167420581071368</v>
      </c>
      <c r="AO35">
        <f t="shared" si="15"/>
        <v>1.2492268541468041</v>
      </c>
      <c r="AP35">
        <f t="shared" si="15"/>
        <v>1.4278978303433811</v>
      </c>
      <c r="AQ35">
        <f t="shared" si="15"/>
        <v>1.4882193319627002</v>
      </c>
      <c r="AR35">
        <f t="shared" si="15"/>
        <v>1.565778224938444</v>
      </c>
      <c r="AS35" t="str">
        <f t="shared" si="15"/>
        <v/>
      </c>
      <c r="AT35">
        <f t="shared" si="20"/>
        <v>0.1674205810713679</v>
      </c>
      <c r="AU35">
        <f t="shared" si="16"/>
        <v>-5.1803141517177055E-2</v>
      </c>
      <c r="AV35">
        <f t="shared" si="16"/>
        <v>-4.9223424376281223E-2</v>
      </c>
      <c r="AW35">
        <f t="shared" si="16"/>
        <v>-0.11384065936526233</v>
      </c>
      <c r="AX35">
        <f t="shared" si="16"/>
        <v>-0.13319177939757473</v>
      </c>
      <c r="AY35" t="str">
        <f t="shared" si="16"/>
        <v/>
      </c>
      <c r="AZ35">
        <f t="shared" si="17"/>
        <v>-3.2738769169362771</v>
      </c>
      <c r="BA35">
        <f t="shared" si="17"/>
        <v>-3.7438164499945876</v>
      </c>
      <c r="BB35">
        <f t="shared" si="17"/>
        <v>-3.8579142202019705</v>
      </c>
      <c r="BC35">
        <f t="shared" si="17"/>
        <v>-4.0194489844175418</v>
      </c>
      <c r="BD35">
        <f t="shared" si="17"/>
        <v>-4.0925829534696296</v>
      </c>
      <c r="BE35" t="str">
        <f t="shared" si="17"/>
        <v/>
      </c>
      <c r="BG35">
        <v>0.90216581956493769</v>
      </c>
      <c r="BH35">
        <v>5.7807621519220725E-2</v>
      </c>
      <c r="BJ35">
        <v>0.7273550130198666</v>
      </c>
      <c r="BK35">
        <v>0.27771587589729374</v>
      </c>
      <c r="BM35">
        <v>0.84010338428523734</v>
      </c>
      <c r="BN35">
        <v>0.19790932667145555</v>
      </c>
      <c r="BP35">
        <v>0.9746674396117202</v>
      </c>
      <c r="BQ35">
        <v>6.26005612122741E-2</v>
      </c>
      <c r="BV35" t="str">
        <f t="shared" si="13"/>
        <v>proof_9</v>
      </c>
      <c r="BW35">
        <f>BS27</f>
        <v>0.58779208151037909</v>
      </c>
      <c r="BX35">
        <f>BS28</f>
        <v>7.7826175106762346E-2</v>
      </c>
      <c r="BY35">
        <f>BT28</f>
        <v>0.11185146663886474</v>
      </c>
      <c r="BZ35">
        <f t="shared" si="21"/>
        <v>-1.1568333738539223</v>
      </c>
      <c r="CA35">
        <f t="shared" si="22"/>
        <v>-0.41220791848962096</v>
      </c>
      <c r="CQ35">
        <v>-0.1</v>
      </c>
      <c r="CR35">
        <f t="shared" si="18"/>
        <v>0.34086808914712502</v>
      </c>
      <c r="CS35">
        <f t="shared" si="18"/>
        <v>5.4478306752672262E-2</v>
      </c>
      <c r="CT35">
        <f t="shared" si="18"/>
        <v>3.0229485095286748</v>
      </c>
      <c r="CU35">
        <f t="shared" si="18"/>
        <v>2.8066673543092122</v>
      </c>
    </row>
    <row r="36" spans="1:99" x14ac:dyDescent="0.25">
      <c r="D36">
        <f>COUNT(D39:I47)-COUNT(D45:H45)</f>
        <v>27</v>
      </c>
      <c r="E36" t="s">
        <v>21</v>
      </c>
      <c r="G36">
        <f>COUNT(D38:D47)-3</f>
        <v>6</v>
      </c>
      <c r="H36" t="s">
        <v>22</v>
      </c>
      <c r="AB36">
        <f t="shared" si="19"/>
        <v>0</v>
      </c>
      <c r="AC36" t="e">
        <f t="shared" si="14"/>
        <v>#VALUE!</v>
      </c>
      <c r="AD36" t="str">
        <f t="shared" si="14"/>
        <v/>
      </c>
      <c r="AE36">
        <f t="shared" si="14"/>
        <v>0</v>
      </c>
      <c r="AF36" t="e">
        <f t="shared" si="14"/>
        <v>#VALUE!</v>
      </c>
      <c r="AG36" t="str">
        <f t="shared" si="14"/>
        <v/>
      </c>
      <c r="AT36" t="e">
        <f t="shared" si="20"/>
        <v>#NUM!</v>
      </c>
      <c r="AU36" t="e">
        <f t="shared" si="16"/>
        <v>#VALUE!</v>
      </c>
      <c r="AV36" t="str">
        <f t="shared" si="16"/>
        <v/>
      </c>
      <c r="AW36" t="e">
        <f t="shared" si="16"/>
        <v>#NUM!</v>
      </c>
      <c r="AX36" t="e">
        <f t="shared" si="16"/>
        <v>#VALUE!</v>
      </c>
      <c r="AY36" t="str">
        <f t="shared" si="16"/>
        <v/>
      </c>
      <c r="BG36">
        <v>27.66412972091339</v>
      </c>
      <c r="BH36">
        <v>3</v>
      </c>
      <c r="BJ36">
        <v>5.3355465734117189</v>
      </c>
      <c r="BK36">
        <v>2</v>
      </c>
      <c r="BM36">
        <v>5.2540410597800662</v>
      </c>
      <c r="BN36">
        <v>1</v>
      </c>
      <c r="BP36">
        <v>115.42466588525178</v>
      </c>
      <c r="BQ36">
        <v>3</v>
      </c>
      <c r="CG36">
        <f>CG33+(CM2-CG2)</f>
        <v>3.2</v>
      </c>
      <c r="CK36">
        <f>CK33+(CN2-CK2)</f>
        <v>3.6</v>
      </c>
      <c r="CQ36">
        <v>0</v>
      </c>
      <c r="CR36">
        <f t="shared" si="18"/>
        <v>0.24649570205606275</v>
      </c>
      <c r="CS36">
        <f t="shared" si="18"/>
        <v>7.059719319495858E-2</v>
      </c>
      <c r="CT36">
        <f t="shared" si="18"/>
        <v>2.918578362132437</v>
      </c>
      <c r="CU36">
        <f t="shared" si="18"/>
        <v>2.8706228826445352</v>
      </c>
    </row>
    <row r="37" spans="1:99" x14ac:dyDescent="0.25">
      <c r="D37" t="s">
        <v>50</v>
      </c>
      <c r="AB37" t="e">
        <f>IF(D37="","",V37*(P37^2)/D37)</f>
        <v>#VALUE!</v>
      </c>
      <c r="AC37" t="str">
        <f t="shared" si="14"/>
        <v/>
      </c>
      <c r="AD37" t="str">
        <f t="shared" si="14"/>
        <v/>
      </c>
      <c r="AE37" t="str">
        <f t="shared" si="14"/>
        <v/>
      </c>
      <c r="AF37" t="str">
        <f t="shared" si="14"/>
        <v/>
      </c>
      <c r="AG37" t="str">
        <f t="shared" si="14"/>
        <v/>
      </c>
      <c r="AT37" t="e">
        <f t="shared" si="20"/>
        <v>#VALUE!</v>
      </c>
      <c r="AU37" t="str">
        <f t="shared" si="16"/>
        <v/>
      </c>
      <c r="AV37" t="str">
        <f t="shared" si="16"/>
        <v/>
      </c>
      <c r="AW37" t="str">
        <f t="shared" si="16"/>
        <v/>
      </c>
      <c r="AX37" t="str">
        <f t="shared" si="16"/>
        <v/>
      </c>
      <c r="AY37" t="str">
        <f t="shared" si="16"/>
        <v/>
      </c>
      <c r="BG37">
        <v>9.2445806159460936E-2</v>
      </c>
      <c r="BH37">
        <v>1.0025163317128412E-2</v>
      </c>
      <c r="BJ37">
        <v>0.41150993979484674</v>
      </c>
      <c r="BK37">
        <v>0.15425221545080212</v>
      </c>
      <c r="BM37">
        <v>0.20579081395360257</v>
      </c>
      <c r="BN37">
        <v>3.9168101583548907E-2</v>
      </c>
      <c r="BP37">
        <v>0.45232967389379475</v>
      </c>
      <c r="BQ37">
        <v>1.1756490792275028E-2</v>
      </c>
      <c r="CG37">
        <f>CG36</f>
        <v>3.2</v>
      </c>
      <c r="CK37">
        <f>CK34+(CN3-CK3)</f>
        <v>3.6</v>
      </c>
      <c r="CQ37">
        <v>0.1</v>
      </c>
      <c r="CR37">
        <f t="shared" si="18"/>
        <v>0.16991352446108929</v>
      </c>
      <c r="CS37">
        <f t="shared" si="18"/>
        <v>9.0030450718289051E-2</v>
      </c>
      <c r="CT37">
        <f t="shared" si="18"/>
        <v>2.768493401377496</v>
      </c>
      <c r="CU37">
        <f t="shared" si="18"/>
        <v>2.8936605754207783</v>
      </c>
    </row>
    <row r="38" spans="1:99" s="7" customFormat="1" x14ac:dyDescent="0.25">
      <c r="A38" s="7" t="s">
        <v>19</v>
      </c>
      <c r="B38" s="7" t="str">
        <f>B208</f>
        <v>Cs_1</v>
      </c>
      <c r="C38" s="7" t="s">
        <v>51</v>
      </c>
      <c r="D38" s="7">
        <f>C213</f>
        <v>1</v>
      </c>
      <c r="E38" s="7">
        <f>D213</f>
        <v>1.5</v>
      </c>
      <c r="F38" s="7">
        <f>E213</f>
        <v>2</v>
      </c>
      <c r="G38" s="7">
        <f>F213</f>
        <v>3</v>
      </c>
      <c r="J38" s="7">
        <f>K208</f>
        <v>1.9850970729212087</v>
      </c>
      <c r="K38" s="7">
        <f>L208</f>
        <v>1.2547626873089357</v>
      </c>
      <c r="L38" s="7">
        <f>M208</f>
        <v>1.0706183508560021</v>
      </c>
      <c r="M38" s="7">
        <f>N208</f>
        <v>0.81022711578241291</v>
      </c>
      <c r="P38" s="7">
        <f>K211</f>
        <v>48.710039826459798</v>
      </c>
      <c r="Q38" s="7">
        <f>L211</f>
        <v>39.345161827746772</v>
      </c>
      <c r="R38" s="7">
        <f>M211</f>
        <v>29.772987021980846</v>
      </c>
      <c r="S38" s="7">
        <f>N211</f>
        <v>19.619087880629372</v>
      </c>
      <c r="V38" s="7">
        <f>K210</f>
        <v>8.3665185763109027E-4</v>
      </c>
      <c r="W38" s="7">
        <f>L210</f>
        <v>8.1054834587638322E-4</v>
      </c>
      <c r="X38" s="7">
        <f>M210</f>
        <v>1.2077856542706774E-3</v>
      </c>
      <c r="Y38" s="7">
        <f>N210</f>
        <v>2.1049856934183954E-3</v>
      </c>
      <c r="AB38" s="7">
        <f>IF(D38="","",V38*(P38^2))</f>
        <v>1.9850970729212087</v>
      </c>
      <c r="AC38" s="7">
        <f t="shared" si="14"/>
        <v>0.8365084582059571</v>
      </c>
      <c r="AD38" s="7">
        <f t="shared" si="14"/>
        <v>0.53530917542800105</v>
      </c>
      <c r="AE38" s="7">
        <f t="shared" si="14"/>
        <v>0.27007570526080432</v>
      </c>
      <c r="AF38" s="7" t="str">
        <f t="shared" si="14"/>
        <v/>
      </c>
      <c r="AG38" s="7" t="str">
        <f t="shared" si="14"/>
        <v/>
      </c>
      <c r="AH38" s="7">
        <f t="shared" ref="AH38:AS48" si="23">IFERROR(LOG(D38),"")</f>
        <v>0</v>
      </c>
      <c r="AI38" s="7">
        <f t="shared" si="23"/>
        <v>0.17609125905568124</v>
      </c>
      <c r="AJ38" s="7">
        <f t="shared" si="23"/>
        <v>0.3010299956639812</v>
      </c>
      <c r="AK38" s="7">
        <f t="shared" si="23"/>
        <v>0.47712125471966244</v>
      </c>
      <c r="AL38" s="7" t="str">
        <f t="shared" si="23"/>
        <v/>
      </c>
      <c r="AM38" s="7" t="str">
        <f t="shared" si="23"/>
        <v/>
      </c>
      <c r="AN38" s="8">
        <f t="shared" ref="AN38:AS46" si="24">IFERROR(LOG(J38*D38),"")</f>
        <v>0.29778174898488691</v>
      </c>
      <c r="AO38" s="8">
        <f t="shared" si="24"/>
        <v>0.27465285472310841</v>
      </c>
      <c r="AP38" s="8">
        <f t="shared" si="24"/>
        <v>0.33066467876818245</v>
      </c>
      <c r="AQ38" s="8">
        <f t="shared" si="24"/>
        <v>0.38572802829645336</v>
      </c>
      <c r="AR38" s="8" t="str">
        <f t="shared" si="24"/>
        <v/>
      </c>
      <c r="AS38" s="8" t="str">
        <f t="shared" si="24"/>
        <v/>
      </c>
      <c r="AT38" s="8">
        <f>IF(AB38="","",LOG(AB38*D38))</f>
        <v>0.29778174898488691</v>
      </c>
      <c r="AU38" s="8">
        <f t="shared" ref="AU38:AY46" si="25">IF(AC38="","",LOG(AC38*E38))</f>
        <v>9.8561595667427143E-2</v>
      </c>
      <c r="AV38" s="8">
        <f t="shared" si="25"/>
        <v>2.9634683104201254E-2</v>
      </c>
      <c r="AW38" s="8">
        <f t="shared" si="25"/>
        <v>-9.1393226423209045E-2</v>
      </c>
      <c r="AX38" s="8" t="str">
        <f t="shared" si="25"/>
        <v/>
      </c>
      <c r="AY38" s="8" t="str">
        <f t="shared" si="25"/>
        <v/>
      </c>
      <c r="AZ38" s="7">
        <f t="shared" ref="AZ38:BE46" si="26">IFERROR(LOG(V38),"")</f>
        <v>-3.0774552203374519</v>
      </c>
      <c r="BA38" s="7">
        <f t="shared" si="26"/>
        <v>-3.0912210761625967</v>
      </c>
      <c r="BB38" s="7">
        <f t="shared" si="26"/>
        <v>-2.9180101331215456</v>
      </c>
      <c r="BC38" s="7">
        <f t="shared" si="26"/>
        <v>-2.6767508515102891</v>
      </c>
      <c r="BD38" s="7" t="str">
        <f t="shared" si="26"/>
        <v/>
      </c>
      <c r="BE38" s="7" t="str">
        <f t="shared" si="26"/>
        <v/>
      </c>
      <c r="BZ38" s="7">
        <f>STDEV(BZ41:BZ49)</f>
        <v>0.78982341106503773</v>
      </c>
      <c r="CA38" s="7">
        <f>STDEV(CA41:CA49)</f>
        <v>0.4464089604530676</v>
      </c>
      <c r="CQ38" s="7">
        <v>0.2</v>
      </c>
      <c r="CR38" s="7">
        <f t="shared" si="18"/>
        <v>0.11164573509814954</v>
      </c>
      <c r="CS38" s="7">
        <f t="shared" si="18"/>
        <v>0.11298728414204461</v>
      </c>
      <c r="CT38" s="7">
        <f t="shared" si="18"/>
        <v>2.5989982715492146</v>
      </c>
      <c r="CU38" s="7">
        <f t="shared" si="18"/>
        <v>2.8724128344789754</v>
      </c>
    </row>
    <row r="39" spans="1:99" x14ac:dyDescent="0.25">
      <c r="B39" t="str">
        <f>B227</f>
        <v>Cs_2</v>
      </c>
      <c r="C39" t="s">
        <v>52</v>
      </c>
      <c r="D39">
        <f>C232</f>
        <v>0.5</v>
      </c>
      <c r="E39">
        <f>D232</f>
        <v>1</v>
      </c>
      <c r="F39">
        <f>E232</f>
        <v>1.5</v>
      </c>
      <c r="G39">
        <f>F232</f>
        <v>2</v>
      </c>
      <c r="J39">
        <f>K227</f>
        <v>2.6925133323755648</v>
      </c>
      <c r="K39">
        <f>L227</f>
        <v>2.6536984843650471</v>
      </c>
      <c r="L39">
        <f>M227</f>
        <v>5.1184809933086006</v>
      </c>
      <c r="M39">
        <f>N227</f>
        <v>4.5841832835944762</v>
      </c>
      <c r="P39">
        <f>K230</f>
        <v>6.5689159844090099</v>
      </c>
      <c r="Q39">
        <f>L230</f>
        <v>6.0793277815588613</v>
      </c>
      <c r="R39">
        <f>M230</f>
        <v>5.209266324660109</v>
      </c>
      <c r="S39">
        <f>N230</f>
        <v>4.2537372290170259</v>
      </c>
      <c r="V39">
        <f>K229</f>
        <v>6.2397968106441631E-2</v>
      </c>
      <c r="W39">
        <f>L229</f>
        <v>7.1802647252978011E-2</v>
      </c>
      <c r="X39">
        <f>M229</f>
        <v>0.18862010061219325</v>
      </c>
      <c r="Y39">
        <f>N229</f>
        <v>0.2533498530379692</v>
      </c>
      <c r="AB39">
        <f t="shared" ref="AB39:AG46" si="27">IF(D39="","",V39*(P39^2)/D39)</f>
        <v>5.3850266647511296</v>
      </c>
      <c r="AC39">
        <f t="shared" si="14"/>
        <v>2.6536984843650471</v>
      </c>
      <c r="AD39">
        <f t="shared" si="14"/>
        <v>3.4123206622057336</v>
      </c>
      <c r="AE39">
        <f t="shared" si="14"/>
        <v>2.2920916417972381</v>
      </c>
      <c r="AF39" t="str">
        <f t="shared" si="14"/>
        <v/>
      </c>
      <c r="AG39" t="str">
        <f t="shared" si="14"/>
        <v/>
      </c>
      <c r="AH39">
        <f t="shared" si="23"/>
        <v>-0.3010299956639812</v>
      </c>
      <c r="AI39">
        <f t="shared" si="23"/>
        <v>0</v>
      </c>
      <c r="AJ39">
        <f t="shared" si="23"/>
        <v>0.17609125905568124</v>
      </c>
      <c r="AK39">
        <f t="shared" si="23"/>
        <v>0.3010299956639812</v>
      </c>
      <c r="AL39" t="str">
        <f t="shared" si="23"/>
        <v/>
      </c>
      <c r="AM39" t="str">
        <f t="shared" si="23"/>
        <v/>
      </c>
      <c r="AN39" s="3">
        <f t="shared" si="24"/>
        <v>0.12912786678433066</v>
      </c>
      <c r="AO39" s="3">
        <f t="shared" si="24"/>
        <v>0.42385157639754995</v>
      </c>
      <c r="AP39" s="3">
        <f t="shared" si="24"/>
        <v>0.88523235399575528</v>
      </c>
      <c r="AQ39" s="3">
        <f t="shared" si="24"/>
        <v>0.96229196881668932</v>
      </c>
      <c r="AR39" s="3" t="str">
        <f t="shared" si="24"/>
        <v/>
      </c>
      <c r="AS39" s="3" t="str">
        <f t="shared" si="24"/>
        <v/>
      </c>
      <c r="AT39" s="3">
        <f t="shared" ref="AT39:AT46" si="28">IF(AB39="","",LOG(AB39*D39))</f>
        <v>0.43015786244831183</v>
      </c>
      <c r="AU39" s="3">
        <f t="shared" si="25"/>
        <v>0.42385157639754995</v>
      </c>
      <c r="AV39" s="3">
        <f t="shared" si="25"/>
        <v>0.70914109494007405</v>
      </c>
      <c r="AW39" s="3">
        <f t="shared" si="25"/>
        <v>0.66126197315270818</v>
      </c>
      <c r="AX39" s="3" t="str">
        <f t="shared" si="25"/>
        <v/>
      </c>
      <c r="AY39" s="3" t="str">
        <f t="shared" si="25"/>
        <v/>
      </c>
      <c r="AZ39">
        <f t="shared" si="26"/>
        <v>-1.2048295522170585</v>
      </c>
      <c r="BA39">
        <f t="shared" si="26"/>
        <v>-1.1438595436940968</v>
      </c>
      <c r="BB39">
        <f t="shared" si="26"/>
        <v>-0.72441202782456227</v>
      </c>
      <c r="BC39">
        <f t="shared" si="26"/>
        <v>-0.59627934329680543</v>
      </c>
      <c r="BD39" t="str">
        <f t="shared" si="26"/>
        <v/>
      </c>
      <c r="BE39" t="str">
        <f t="shared" si="26"/>
        <v/>
      </c>
      <c r="BZ39">
        <f>AVERAGE(BZ41:BZ49)</f>
        <v>1.5668680172634821</v>
      </c>
      <c r="CA39">
        <f>AVERAGE(CA41:CA49)</f>
        <v>0.10204644943162225</v>
      </c>
      <c r="CQ39">
        <v>0.3</v>
      </c>
      <c r="CR39">
        <f t="shared" si="18"/>
        <v>6.9928130648203815E-2</v>
      </c>
      <c r="CS39">
        <f t="shared" si="18"/>
        <v>0.13954294062496533</v>
      </c>
      <c r="CT39">
        <f t="shared" si="18"/>
        <v>2.4349832063596604</v>
      </c>
      <c r="CU39">
        <f t="shared" si="18"/>
        <v>2.8099876897236742</v>
      </c>
    </row>
    <row r="40" spans="1:99" x14ac:dyDescent="0.25">
      <c r="B40" s="5" t="str">
        <f>B246</f>
        <v>Cs_3</v>
      </c>
      <c r="C40" s="5" t="s">
        <v>53</v>
      </c>
      <c r="D40" s="5">
        <f t="shared" ref="D40:I40" si="29">C251</f>
        <v>0.5</v>
      </c>
      <c r="E40" s="5">
        <f t="shared" si="29"/>
        <v>0.8</v>
      </c>
      <c r="F40" s="5">
        <f t="shared" si="29"/>
        <v>1</v>
      </c>
      <c r="G40" s="5">
        <f t="shared" si="29"/>
        <v>1.5</v>
      </c>
      <c r="H40" s="5">
        <f t="shared" si="29"/>
        <v>2</v>
      </c>
      <c r="I40" s="5">
        <f t="shared" si="29"/>
        <v>2.5</v>
      </c>
      <c r="J40" s="6">
        <f t="shared" ref="J40:O40" si="30">K395</f>
        <v>0.42867369464430483</v>
      </c>
      <c r="K40" s="6">
        <f t="shared" si="30"/>
        <v>0.63930289316800248</v>
      </c>
      <c r="L40" s="6">
        <f t="shared" si="30"/>
        <v>0.1674661403990888</v>
      </c>
      <c r="M40" s="6">
        <f t="shared" si="30"/>
        <v>0.17137000707012981</v>
      </c>
      <c r="N40" s="6">
        <f t="shared" si="30"/>
        <v>0.24147113058289532</v>
      </c>
      <c r="O40" s="6">
        <f t="shared" si="30"/>
        <v>0.71651994966089338</v>
      </c>
      <c r="P40">
        <f t="shared" ref="P40:U40" si="31">K398</f>
        <v>46.101489043794281</v>
      </c>
      <c r="Q40">
        <f t="shared" si="31"/>
        <v>28.339872053452346</v>
      </c>
      <c r="R40">
        <f t="shared" si="31"/>
        <v>25.820547103728476</v>
      </c>
      <c r="S40">
        <f t="shared" si="31"/>
        <v>19.852006482521979</v>
      </c>
      <c r="T40">
        <f t="shared" si="31"/>
        <v>14.104165299804423</v>
      </c>
      <c r="U40">
        <f t="shared" si="31"/>
        <v>12.790854641686009</v>
      </c>
      <c r="V40">
        <f t="shared" ref="V40:AA40" si="32">K397</f>
        <v>2.0169583401581534E-4</v>
      </c>
      <c r="W40">
        <f t="shared" si="32"/>
        <v>7.959960258340558E-4</v>
      </c>
      <c r="X40">
        <f t="shared" si="32"/>
        <v>2.511864053408043E-4</v>
      </c>
      <c r="Y40">
        <f t="shared" si="32"/>
        <v>4.3483650652699946E-4</v>
      </c>
      <c r="Z40">
        <f t="shared" si="32"/>
        <v>1.2138651333361611E-3</v>
      </c>
      <c r="AA40">
        <f t="shared" si="32"/>
        <v>4.379546679512453E-3</v>
      </c>
      <c r="AB40">
        <f t="shared" si="27"/>
        <v>0.85734738928860965</v>
      </c>
      <c r="AC40">
        <f t="shared" si="14"/>
        <v>0.79912861646000311</v>
      </c>
      <c r="AD40">
        <f t="shared" si="14"/>
        <v>0.1674661403990888</v>
      </c>
      <c r="AE40">
        <f t="shared" si="14"/>
        <v>0.11424667138008654</v>
      </c>
      <c r="AF40">
        <f t="shared" si="14"/>
        <v>0.12073556529144766</v>
      </c>
      <c r="AG40">
        <f t="shared" si="14"/>
        <v>0.28660797986435738</v>
      </c>
      <c r="AH40">
        <f t="shared" si="23"/>
        <v>-0.3010299956639812</v>
      </c>
      <c r="AI40">
        <f t="shared" si="23"/>
        <v>-9.6910013008056392E-2</v>
      </c>
      <c r="AJ40">
        <f t="shared" si="23"/>
        <v>0</v>
      </c>
      <c r="AK40">
        <f t="shared" si="23"/>
        <v>0.17609125905568124</v>
      </c>
      <c r="AL40">
        <f t="shared" si="23"/>
        <v>0.3010299956639812</v>
      </c>
      <c r="AM40">
        <f t="shared" si="23"/>
        <v>0.3979400086720376</v>
      </c>
      <c r="AN40" s="3">
        <f t="shared" si="24"/>
        <v>-0.66890316160830121</v>
      </c>
      <c r="AO40" s="3">
        <f t="shared" si="24"/>
        <v>-0.2912033431681923</v>
      </c>
      <c r="AP40" s="3">
        <f t="shared" si="24"/>
        <v>-0.77607298877235509</v>
      </c>
      <c r="AQ40" s="3">
        <f t="shared" si="24"/>
        <v>-0.58997392629615575</v>
      </c>
      <c r="AR40" s="3">
        <f t="shared" si="24"/>
        <v>-0.31610478882614096</v>
      </c>
      <c r="AS40" s="3">
        <f t="shared" si="24"/>
        <v>0.25316829539008601</v>
      </c>
      <c r="AT40" s="3">
        <f t="shared" si="28"/>
        <v>-0.36787316594431996</v>
      </c>
      <c r="AU40" s="3">
        <f t="shared" si="25"/>
        <v>-0.19429333016013595</v>
      </c>
      <c r="AV40" s="3">
        <f t="shared" si="25"/>
        <v>-0.77607298877235509</v>
      </c>
      <c r="AW40" s="3">
        <f t="shared" si="25"/>
        <v>-0.76606518535183687</v>
      </c>
      <c r="AX40" s="3">
        <f t="shared" si="25"/>
        <v>-0.61713478449012216</v>
      </c>
      <c r="AY40" s="3">
        <f t="shared" si="25"/>
        <v>-0.14477171328195157</v>
      </c>
      <c r="AZ40">
        <f t="shared" si="26"/>
        <v>-3.695303071953957</v>
      </c>
      <c r="BA40">
        <f t="shared" si="26"/>
        <v>-3.0990891005571153</v>
      </c>
      <c r="BB40">
        <f t="shared" si="26"/>
        <v>-3.6000038690958247</v>
      </c>
      <c r="BC40">
        <f t="shared" si="26"/>
        <v>-3.3616740020335856</v>
      </c>
      <c r="BD40">
        <f t="shared" si="26"/>
        <v>-2.915829562932585</v>
      </c>
      <c r="BE40">
        <f t="shared" si="26"/>
        <v>-2.3585708403577783</v>
      </c>
      <c r="BG40">
        <v>1</v>
      </c>
      <c r="BH40" t="s">
        <v>35</v>
      </c>
      <c r="BJ40">
        <f>BG46+1</f>
        <v>3</v>
      </c>
      <c r="BK40" t="s">
        <v>35</v>
      </c>
      <c r="BM40">
        <f>BJ46+1</f>
        <v>5</v>
      </c>
      <c r="BN40" t="s">
        <v>35</v>
      </c>
      <c r="BP40">
        <f>BM46+1</f>
        <v>7</v>
      </c>
      <c r="BQ40" t="s">
        <v>35</v>
      </c>
      <c r="BS40">
        <f>BP46+1</f>
        <v>9</v>
      </c>
      <c r="BT40" t="s">
        <v>35</v>
      </c>
      <c r="BV40" t="str">
        <f>BV26</f>
        <v>ID</v>
      </c>
      <c r="BW40" t="str">
        <f>BW26</f>
        <v>slope (order of reaction)</v>
      </c>
      <c r="BX40" t="str">
        <f>BX26</f>
        <v>m</v>
      </c>
      <c r="BY40" t="str">
        <f>BY26</f>
        <v>c</v>
      </c>
      <c r="BZ40" t="s">
        <v>39</v>
      </c>
      <c r="CQ40">
        <v>0.4</v>
      </c>
      <c r="CR40">
        <f t="shared" si="18"/>
        <v>4.1750078046750065E-2</v>
      </c>
      <c r="CS40">
        <f t="shared" si="18"/>
        <v>0.16959940624095587</v>
      </c>
      <c r="CT40">
        <f t="shared" si="18"/>
        <v>2.2942936598177286</v>
      </c>
      <c r="CU40">
        <f t="shared" si="18"/>
        <v>2.7152234024255057</v>
      </c>
    </row>
    <row r="41" spans="1:99" x14ac:dyDescent="0.25">
      <c r="B41" t="str">
        <f>B264</f>
        <v>Cs_9</v>
      </c>
      <c r="C41" s="1" t="s">
        <v>54</v>
      </c>
      <c r="D41">
        <f>C269</f>
        <v>0.05</v>
      </c>
      <c r="E41">
        <f>D269</f>
        <v>0.1</v>
      </c>
      <c r="F41">
        <f>E269</f>
        <v>0.5</v>
      </c>
      <c r="J41">
        <f>K264</f>
        <v>1.6031672400754048E-2</v>
      </c>
      <c r="K41">
        <f>L264</f>
        <v>9.8576699698842946E-2</v>
      </c>
      <c r="L41">
        <f>M264</f>
        <v>2.6124979495372323E-2</v>
      </c>
      <c r="P41">
        <f>K267</f>
        <v>0.77963685836398822</v>
      </c>
      <c r="Q41">
        <f>L267</f>
        <v>0.37966383509508883</v>
      </c>
      <c r="R41">
        <f>M267</f>
        <v>0.18001428816266363</v>
      </c>
      <c r="V41">
        <f>K266</f>
        <v>2.6375099345025833E-2</v>
      </c>
      <c r="W41">
        <f>L266</f>
        <v>0.6838735600905681</v>
      </c>
      <c r="X41">
        <f>M266</f>
        <v>0.80619853260207808</v>
      </c>
      <c r="AB41">
        <f t="shared" si="27"/>
        <v>0.32063344801508092</v>
      </c>
      <c r="AC41">
        <f t="shared" si="14"/>
        <v>0.9857669969884294</v>
      </c>
      <c r="AD41">
        <f t="shared" si="14"/>
        <v>5.2249958990744645E-2</v>
      </c>
      <c r="AE41" t="str">
        <f t="shared" si="14"/>
        <v/>
      </c>
      <c r="AF41" t="str">
        <f t="shared" si="14"/>
        <v/>
      </c>
      <c r="AG41" t="str">
        <f t="shared" si="14"/>
        <v/>
      </c>
      <c r="AH41">
        <f t="shared" si="23"/>
        <v>-1.3010299956639813</v>
      </c>
      <c r="AI41">
        <f t="shared" si="23"/>
        <v>-1</v>
      </c>
      <c r="AJ41">
        <f t="shared" si="23"/>
        <v>-0.3010299956639812</v>
      </c>
      <c r="AK41" t="str">
        <f t="shared" si="23"/>
        <v/>
      </c>
      <c r="AL41" t="str">
        <f t="shared" si="23"/>
        <v/>
      </c>
      <c r="AM41" t="str">
        <f t="shared" si="23"/>
        <v/>
      </c>
      <c r="AN41" s="3">
        <f t="shared" si="24"/>
        <v>-3.0960511659777299</v>
      </c>
      <c r="AO41" s="3">
        <f t="shared" si="24"/>
        <v>-2.0062257259111993</v>
      </c>
      <c r="AP41" s="3">
        <f t="shared" si="24"/>
        <v>-1.8839740374080343</v>
      </c>
      <c r="AQ41" s="3" t="str">
        <f t="shared" si="24"/>
        <v/>
      </c>
      <c r="AR41" s="3" t="str">
        <f t="shared" si="24"/>
        <v/>
      </c>
      <c r="AS41" s="3" t="str">
        <f t="shared" si="24"/>
        <v/>
      </c>
      <c r="AT41" s="3">
        <f t="shared" si="28"/>
        <v>-1.7950211703137489</v>
      </c>
      <c r="AU41" s="3">
        <f t="shared" si="25"/>
        <v>-1.0062257259111993</v>
      </c>
      <c r="AV41" s="3">
        <f t="shared" si="25"/>
        <v>-1.5829440417440532</v>
      </c>
      <c r="AW41" s="3" t="str">
        <f t="shared" si="25"/>
        <v/>
      </c>
      <c r="AX41" s="3" t="str">
        <f t="shared" si="25"/>
        <v/>
      </c>
      <c r="AY41" s="3" t="str">
        <f t="shared" si="25"/>
        <v/>
      </c>
      <c r="AZ41">
        <f t="shared" si="26"/>
        <v>-1.5788058958680795</v>
      </c>
      <c r="BA41">
        <f t="shared" si="26"/>
        <v>-0.16502418662921248</v>
      </c>
      <c r="BB41">
        <f t="shared" si="26"/>
        <v>-9.3557996661013054E-2</v>
      </c>
      <c r="BC41" t="str">
        <f t="shared" si="26"/>
        <v/>
      </c>
      <c r="BD41" t="str">
        <f t="shared" si="26"/>
        <v/>
      </c>
      <c r="BE41" t="str">
        <f t="shared" si="26"/>
        <v/>
      </c>
      <c r="BG41">
        <f t="array" ref="BG41:BH45">LINEST(AN38:AQ38,AH38:AK38,TRUE,TRUE)</f>
        <v>0.2012670264879228</v>
      </c>
      <c r="BH41">
        <v>0.27419243958735118</v>
      </c>
      <c r="BJ41">
        <f t="array" ref="BJ41:BK45">LINEST(AN40:AS40,AH40:AM40,TRUE,TRUE)</f>
        <v>0.93921302565575948</v>
      </c>
      <c r="BK41">
        <v>-0.47286806842183093</v>
      </c>
      <c r="BM41">
        <f t="array" ref="BM41:BN45">LINEST(AN42:AP42,AH42:AJ42,TRUE,TRUE)</f>
        <v>1.4255567680650572</v>
      </c>
      <c r="BN41">
        <v>-0.3345461584563254</v>
      </c>
      <c r="BP41">
        <f t="array" ref="BP41:BQ45">LINEST(AN44:AP44,AH44:AJ44,TRUE,TRUE)</f>
        <v>0.98478911998940355</v>
      </c>
      <c r="BQ41">
        <v>0.36211877656474123</v>
      </c>
      <c r="BS41">
        <f t="array" ref="BS41:BT45">LINEST(AN46:AR46,AH46:AL46,TRUE,TRUE)</f>
        <v>1.6463437162209555</v>
      </c>
      <c r="BT41">
        <v>-0.49000631484019419</v>
      </c>
      <c r="BV41" t="str">
        <f>B38</f>
        <v>Cs_1</v>
      </c>
      <c r="BW41">
        <f>BG41</f>
        <v>0.2012670264879228</v>
      </c>
      <c r="BX41">
        <f>BG42</f>
        <v>9.1520927611865172E-2</v>
      </c>
      <c r="BY41">
        <f>BH41</f>
        <v>0.27419243958735118</v>
      </c>
      <c r="BZ41">
        <f>SLOPE(AZ38:BE38,AH38:AM38)</f>
        <v>0.8749085132916683</v>
      </c>
      <c r="CA41">
        <f>SLOPE(AT38:AY38,AH38:AM38)</f>
        <v>-0.79873297351207717</v>
      </c>
      <c r="CQ41">
        <v>0.5</v>
      </c>
      <c r="CR41">
        <f t="shared" si="18"/>
        <v>2.376064669521754E-2</v>
      </c>
      <c r="CS41">
        <f t="shared" si="18"/>
        <v>0.2028518346379567</v>
      </c>
      <c r="CT41">
        <f t="shared" si="18"/>
        <v>2.1855029481592547</v>
      </c>
      <c r="CU41">
        <f t="shared" si="18"/>
        <v>2.6006368033923826</v>
      </c>
    </row>
    <row r="42" spans="1:99" x14ac:dyDescent="0.25">
      <c r="B42" t="str">
        <f>B281</f>
        <v>Cs_10</v>
      </c>
      <c r="C42" s="1" t="s">
        <v>55</v>
      </c>
      <c r="D42">
        <f>C286</f>
        <v>0.05</v>
      </c>
      <c r="E42">
        <f>D286</f>
        <v>0.1</v>
      </c>
      <c r="F42">
        <f>E286</f>
        <v>0.5</v>
      </c>
      <c r="J42">
        <f>K281</f>
        <v>9.1858830321870755E-2</v>
      </c>
      <c r="K42">
        <f>L281</f>
        <v>0.28352862827428033</v>
      </c>
      <c r="L42">
        <f>M281</f>
        <v>0.29738527221051991</v>
      </c>
      <c r="P42">
        <f>K284</f>
        <v>1.5776223834562355</v>
      </c>
      <c r="Q42">
        <f>L284</f>
        <v>0.95299220532855233</v>
      </c>
      <c r="R42">
        <f>M284</f>
        <v>0.19720504740603589</v>
      </c>
      <c r="V42">
        <f>K283</f>
        <v>3.690751391403034E-2</v>
      </c>
      <c r="W42">
        <f>L283</f>
        <v>0.31218944796047238</v>
      </c>
      <c r="X42">
        <f>M283</f>
        <v>7.6468646606656794</v>
      </c>
      <c r="AB42">
        <f t="shared" si="27"/>
        <v>1.8371766064374151</v>
      </c>
      <c r="AC42">
        <f t="shared" si="14"/>
        <v>2.8352862827428029</v>
      </c>
      <c r="AD42">
        <f t="shared" si="14"/>
        <v>0.59477054442103983</v>
      </c>
      <c r="AE42" t="str">
        <f t="shared" si="14"/>
        <v/>
      </c>
      <c r="AF42" t="str">
        <f t="shared" si="14"/>
        <v/>
      </c>
      <c r="AG42" t="str">
        <f t="shared" si="14"/>
        <v/>
      </c>
      <c r="AH42">
        <f t="shared" si="23"/>
        <v>-1.3010299956639813</v>
      </c>
      <c r="AI42">
        <f t="shared" si="23"/>
        <v>-1</v>
      </c>
      <c r="AJ42">
        <f t="shared" si="23"/>
        <v>-0.3010299956639812</v>
      </c>
      <c r="AK42" t="str">
        <f t="shared" si="23"/>
        <v/>
      </c>
      <c r="AL42" t="str">
        <f t="shared" si="23"/>
        <v/>
      </c>
      <c r="AM42" t="str">
        <f t="shared" si="23"/>
        <v/>
      </c>
      <c r="AN42" s="3">
        <f t="shared" si="24"/>
        <v>-2.3379090846059314</v>
      </c>
      <c r="AO42" s="3">
        <f t="shared" si="24"/>
        <v>-1.5474030832478591</v>
      </c>
      <c r="AP42" s="3">
        <f t="shared" si="24"/>
        <v>-0.82771053906406711</v>
      </c>
      <c r="AQ42" s="3" t="str">
        <f t="shared" si="24"/>
        <v/>
      </c>
      <c r="AR42" s="3" t="str">
        <f t="shared" si="24"/>
        <v/>
      </c>
      <c r="AS42" s="3" t="str">
        <f t="shared" si="24"/>
        <v/>
      </c>
      <c r="AT42" s="3">
        <f t="shared" si="28"/>
        <v>-1.0368790889419504</v>
      </c>
      <c r="AU42" s="3">
        <f t="shared" si="25"/>
        <v>-0.54740308324785913</v>
      </c>
      <c r="AV42" s="3">
        <f t="shared" si="25"/>
        <v>-0.52668054340008597</v>
      </c>
      <c r="AW42" s="3" t="str">
        <f t="shared" si="25"/>
        <v/>
      </c>
      <c r="AX42" s="3" t="str">
        <f t="shared" si="25"/>
        <v/>
      </c>
      <c r="AY42" s="3" t="str">
        <f t="shared" si="25"/>
        <v/>
      </c>
      <c r="AZ42">
        <f t="shared" si="26"/>
        <v>-1.4328852078463736</v>
      </c>
      <c r="BA42">
        <f t="shared" si="26"/>
        <v>-0.50558178022935585</v>
      </c>
      <c r="BB42">
        <f t="shared" si="26"/>
        <v>0.88348340382222201</v>
      </c>
      <c r="BC42" t="str">
        <f t="shared" si="26"/>
        <v/>
      </c>
      <c r="BD42" t="str">
        <f t="shared" si="26"/>
        <v/>
      </c>
      <c r="BE42" t="str">
        <f t="shared" si="26"/>
        <v/>
      </c>
      <c r="BG42">
        <v>9.1520927611865172E-2</v>
      </c>
      <c r="BH42">
        <v>2.704408108982187E-2</v>
      </c>
      <c r="BJ42">
        <v>0.53634041244260522</v>
      </c>
      <c r="BK42">
        <v>0.13497498696615948</v>
      </c>
      <c r="BM42">
        <v>0.36840693531168006</v>
      </c>
      <c r="BN42">
        <v>0.35485181595961041</v>
      </c>
      <c r="BP42">
        <v>5.658301792437762E-4</v>
      </c>
      <c r="BQ42">
        <v>4.1923845749119109E-4</v>
      </c>
      <c r="BS42">
        <v>0.12773518939865347</v>
      </c>
      <c r="BT42">
        <v>2.4905822397301054E-2</v>
      </c>
      <c r="BV42" t="str">
        <f t="shared" ref="BV42:BV49" si="33">B39</f>
        <v>Cs_2</v>
      </c>
      <c r="BW42">
        <f>BG47</f>
        <v>1.4719836101282633</v>
      </c>
      <c r="BX42">
        <f>BG48</f>
        <v>0.23338394901509499</v>
      </c>
      <c r="BY42">
        <f>BH47</f>
        <v>0.53532507969437815</v>
      </c>
      <c r="BZ42">
        <f t="shared" ref="BZ42:BZ49" si="34">SLOPE(AZ39:BE39,AH39:AM39)</f>
        <v>1.0619649903898143</v>
      </c>
      <c r="CA42">
        <f t="shared" ref="CA42:CA49" si="35">SLOPE(AT39:AY39,AH39:AM39)</f>
        <v>0.47198361012826301</v>
      </c>
      <c r="CQ42">
        <v>0.6</v>
      </c>
      <c r="CR42">
        <f t="shared" si="18"/>
        <v>1.2890056283323115E-2</v>
      </c>
      <c r="CS42">
        <f t="shared" si="18"/>
        <v>0.23876557349056407</v>
      </c>
      <c r="CT42">
        <f t="shared" si="18"/>
        <v>2.1089387081942821</v>
      </c>
      <c r="CU42">
        <f t="shared" si="18"/>
        <v>2.4797213954841548</v>
      </c>
    </row>
    <row r="43" spans="1:99" x14ac:dyDescent="0.25">
      <c r="B43" t="str">
        <f>B339</f>
        <v>Cs_11</v>
      </c>
      <c r="C43" s="1" t="s">
        <v>56</v>
      </c>
      <c r="D43">
        <f>C344</f>
        <v>0.1</v>
      </c>
      <c r="E43">
        <f>D344</f>
        <v>0.2</v>
      </c>
      <c r="F43">
        <f>E344</f>
        <v>0.4</v>
      </c>
      <c r="J43">
        <f>K339</f>
        <v>2.5218282218567447</v>
      </c>
      <c r="K43">
        <f>L339</f>
        <v>1.9967711395617471</v>
      </c>
      <c r="L43">
        <f>M339</f>
        <v>2.9692886204541353</v>
      </c>
      <c r="P43">
        <f>K342</f>
        <v>253.3642437666893</v>
      </c>
      <c r="Q43">
        <f>L342</f>
        <v>215.03832778849946</v>
      </c>
      <c r="R43">
        <f>M342</f>
        <v>120.93263448724888</v>
      </c>
      <c r="V43">
        <f>K341</f>
        <v>3.928482756325276E-5</v>
      </c>
      <c r="W43">
        <f>L341</f>
        <v>4.3181382497834471E-5</v>
      </c>
      <c r="X43">
        <f>M341</f>
        <v>2.0303241757637348E-4</v>
      </c>
      <c r="AB43">
        <f t="shared" si="27"/>
        <v>25.218282218567445</v>
      </c>
      <c r="AC43">
        <f t="shared" si="27"/>
        <v>9.9838556978087354</v>
      </c>
      <c r="AD43">
        <f t="shared" si="27"/>
        <v>7.4232215511353381</v>
      </c>
      <c r="AE43" t="str">
        <f t="shared" si="27"/>
        <v/>
      </c>
      <c r="AF43" t="str">
        <f t="shared" si="27"/>
        <v/>
      </c>
      <c r="AG43" t="str">
        <f t="shared" si="27"/>
        <v/>
      </c>
      <c r="AH43">
        <f t="shared" si="23"/>
        <v>-1</v>
      </c>
      <c r="AI43">
        <f t="shared" si="23"/>
        <v>-0.69897000433601875</v>
      </c>
      <c r="AJ43">
        <f t="shared" si="23"/>
        <v>-0.3979400086720376</v>
      </c>
      <c r="AN43" s="3">
        <f t="shared" si="24"/>
        <v>-0.59828449938089667</v>
      </c>
      <c r="AO43" s="3">
        <f t="shared" si="24"/>
        <v>-0.39864171338680282</v>
      </c>
      <c r="AP43" s="3">
        <f t="shared" si="24"/>
        <v>7.4712405218534145E-2</v>
      </c>
      <c r="AQ43" s="3"/>
      <c r="AR43" s="3"/>
      <c r="AS43" s="3"/>
      <c r="AT43" s="3">
        <f t="shared" si="28"/>
        <v>0.40171550061910327</v>
      </c>
      <c r="AU43" s="3">
        <f t="shared" si="25"/>
        <v>0.30032829094921598</v>
      </c>
      <c r="AV43" s="3">
        <f t="shared" si="25"/>
        <v>0.47265241389057178</v>
      </c>
      <c r="AW43" s="3" t="str">
        <f t="shared" si="25"/>
        <v/>
      </c>
      <c r="AX43" s="3" t="str">
        <f t="shared" si="25"/>
        <v/>
      </c>
      <c r="AY43" s="3" t="str">
        <f t="shared" si="25"/>
        <v/>
      </c>
      <c r="AZ43">
        <f t="shared" si="26"/>
        <v>-4.4057751488062742</v>
      </c>
      <c r="BA43">
        <f t="shared" si="26"/>
        <v>-4.3647034573799894</v>
      </c>
      <c r="BB43">
        <f t="shared" si="26"/>
        <v>-3.6924346140546787</v>
      </c>
      <c r="BC43" t="str">
        <f t="shared" si="26"/>
        <v/>
      </c>
      <c r="BD43" t="str">
        <f t="shared" si="26"/>
        <v/>
      </c>
      <c r="BE43" t="str">
        <f t="shared" si="26"/>
        <v/>
      </c>
      <c r="BG43">
        <v>0.70743989224973225</v>
      </c>
      <c r="BH43">
        <v>3.191800581501264E-2</v>
      </c>
      <c r="BJ43">
        <v>0.43395129043015856</v>
      </c>
      <c r="BK43">
        <v>0.31368040729354391</v>
      </c>
      <c r="BM43">
        <v>0.93739497639695346</v>
      </c>
      <c r="BN43">
        <v>0.26729001148581832</v>
      </c>
      <c r="BP43">
        <v>0.99999966986954714</v>
      </c>
      <c r="BQ43">
        <v>2.4088562143115277E-4</v>
      </c>
      <c r="BS43">
        <v>0.98226103555476185</v>
      </c>
      <c r="BT43">
        <v>3.0379977383694086E-2</v>
      </c>
      <c r="BV43" t="str">
        <f t="shared" si="33"/>
        <v>Cs_3</v>
      </c>
      <c r="BW43">
        <f>BJ41</f>
        <v>0.93921302565575948</v>
      </c>
      <c r="BX43">
        <f>BJ42</f>
        <v>0.53634041244260522</v>
      </c>
      <c r="BY43">
        <f>BK42</f>
        <v>0.13497498696615948</v>
      </c>
      <c r="BZ43">
        <f t="shared" si="34"/>
        <v>1.5136635226387571</v>
      </c>
      <c r="CA43">
        <f t="shared" si="35"/>
        <v>-6.0786974344240366E-2</v>
      </c>
      <c r="CQ43">
        <v>0.7</v>
      </c>
      <c r="CR43">
        <f t="shared" si="18"/>
        <v>6.6657184014993799E-3</v>
      </c>
      <c r="CS43">
        <f t="shared" si="18"/>
        <v>0.27656844753826892</v>
      </c>
      <c r="CT43">
        <f t="shared" si="18"/>
        <v>2.0596039608241017</v>
      </c>
      <c r="CU43">
        <f t="shared" si="18"/>
        <v>2.3643956320546891</v>
      </c>
    </row>
    <row r="44" spans="1:99" x14ac:dyDescent="0.25">
      <c r="B44" t="str">
        <f>B369</f>
        <v>Cs_12</v>
      </c>
      <c r="C44" s="1" t="s">
        <v>57</v>
      </c>
      <c r="D44">
        <f>C374</f>
        <v>0.1</v>
      </c>
      <c r="E44">
        <f>D374</f>
        <v>0.2</v>
      </c>
      <c r="F44">
        <f>E374</f>
        <v>0.4</v>
      </c>
      <c r="J44">
        <f>K369</f>
        <v>2.3846684052239309</v>
      </c>
      <c r="K44">
        <f>L369</f>
        <v>2.3580556116478353</v>
      </c>
      <c r="L44">
        <f>M369</f>
        <v>2.3349099475999555</v>
      </c>
      <c r="P44">
        <f>K372</f>
        <v>208.5072768815813</v>
      </c>
      <c r="Q44">
        <f>L372</f>
        <v>151.18563723249548</v>
      </c>
      <c r="R44">
        <f>M372</f>
        <v>91.358857095778234</v>
      </c>
      <c r="V44">
        <f>K371</f>
        <v>5.4851128220548383E-5</v>
      </c>
      <c r="W44">
        <f>L371</f>
        <v>1.0316514041164977E-4</v>
      </c>
      <c r="X44">
        <f>M371</f>
        <v>2.7974917836058697E-4</v>
      </c>
      <c r="AB44">
        <f t="shared" si="27"/>
        <v>23.846684052239308</v>
      </c>
      <c r="AC44">
        <f t="shared" si="27"/>
        <v>11.790278058239176</v>
      </c>
      <c r="AD44">
        <f t="shared" si="27"/>
        <v>5.8372748689998888</v>
      </c>
      <c r="AE44" t="str">
        <f t="shared" si="27"/>
        <v/>
      </c>
      <c r="AF44" t="str">
        <f t="shared" si="27"/>
        <v/>
      </c>
      <c r="AG44" t="str">
        <f t="shared" si="27"/>
        <v/>
      </c>
      <c r="AH44">
        <f t="shared" si="23"/>
        <v>-1</v>
      </c>
      <c r="AI44">
        <f t="shared" si="23"/>
        <v>-0.69897000433601875</v>
      </c>
      <c r="AJ44">
        <f t="shared" si="23"/>
        <v>-0.3979400086720376</v>
      </c>
      <c r="AN44" s="3">
        <f t="shared" si="24"/>
        <v>-0.62257200228151555</v>
      </c>
      <c r="AO44" s="3">
        <f t="shared" si="24"/>
        <v>-0.32641596119060939</v>
      </c>
      <c r="AP44" s="3">
        <f t="shared" si="24"/>
        <v>-2.9669873240823662E-2</v>
      </c>
      <c r="AQ44" s="3"/>
      <c r="AR44" s="3"/>
      <c r="AS44" s="3"/>
      <c r="AT44" s="3">
        <f t="shared" si="28"/>
        <v>0.37742799771848445</v>
      </c>
      <c r="AU44" s="3">
        <f t="shared" si="25"/>
        <v>0.37255404314540941</v>
      </c>
      <c r="AV44" s="3">
        <f t="shared" si="25"/>
        <v>0.3682701354312139</v>
      </c>
      <c r="AW44" s="3" t="str">
        <f t="shared" si="25"/>
        <v/>
      </c>
      <c r="AX44" s="3" t="str">
        <f t="shared" si="25"/>
        <v/>
      </c>
      <c r="AY44" s="3" t="str">
        <f t="shared" si="25"/>
        <v/>
      </c>
      <c r="AZ44">
        <f t="shared" si="26"/>
        <v>-4.2608144350916524</v>
      </c>
      <c r="BA44">
        <f t="shared" si="26"/>
        <v>-3.9864670263945592</v>
      </c>
      <c r="BB44">
        <f t="shared" si="26"/>
        <v>-3.5532311803455898</v>
      </c>
      <c r="BC44" t="str">
        <f t="shared" si="26"/>
        <v/>
      </c>
      <c r="BD44" t="str">
        <f t="shared" si="26"/>
        <v/>
      </c>
      <c r="BE44" t="str">
        <f t="shared" si="26"/>
        <v/>
      </c>
      <c r="BG44">
        <v>4.8362020214568</v>
      </c>
      <c r="BH44">
        <v>2</v>
      </c>
      <c r="BJ44">
        <v>3.06652966851515</v>
      </c>
      <c r="BK44">
        <v>4</v>
      </c>
      <c r="BM44">
        <v>14.973159060534847</v>
      </c>
      <c r="BN44">
        <v>1</v>
      </c>
      <c r="BP44">
        <v>3029104.5891530747</v>
      </c>
      <c r="BQ44">
        <v>1</v>
      </c>
      <c r="BS44">
        <v>166.11922955036516</v>
      </c>
      <c r="BT44">
        <v>3</v>
      </c>
      <c r="BV44" t="str">
        <f t="shared" si="33"/>
        <v>Cs_9</v>
      </c>
      <c r="BW44">
        <f>BJ47</f>
        <v>1.0293946663250766</v>
      </c>
      <c r="BX44">
        <f>BJ48</f>
        <v>0.79513318430928803</v>
      </c>
      <c r="BY44">
        <f>BK48</f>
        <v>0.76587715196835215</v>
      </c>
      <c r="BZ44">
        <f t="shared" si="34"/>
        <v>1.2416530426606665</v>
      </c>
      <c r="CA44">
        <f t="shared" si="35"/>
        <v>2.939466632507676E-2</v>
      </c>
      <c r="CQ44">
        <v>0.8</v>
      </c>
      <c r="CR44">
        <f t="shared" si="18"/>
        <v>3.2857514142311658E-3</v>
      </c>
      <c r="CS44">
        <f t="shared" si="18"/>
        <v>0.3152620617327071</v>
      </c>
      <c r="CT44">
        <f t="shared" si="18"/>
        <v>2.0303829203248154</v>
      </c>
      <c r="CU44">
        <f t="shared" si="18"/>
        <v>2.2632474434158061</v>
      </c>
    </row>
    <row r="45" spans="1:99" s="5" customFormat="1" x14ac:dyDescent="0.25">
      <c r="A45" s="5" t="s">
        <v>58</v>
      </c>
      <c r="B45" s="5" t="str">
        <f>B296</f>
        <v>Cs_13</v>
      </c>
      <c r="C45" t="s">
        <v>59</v>
      </c>
      <c r="D45" s="5">
        <f>C301</f>
        <v>0.2</v>
      </c>
      <c r="E45" s="5">
        <f>D301</f>
        <v>0.4</v>
      </c>
      <c r="F45" s="5">
        <f>E301</f>
        <v>0.6</v>
      </c>
      <c r="G45" s="5">
        <f>F301</f>
        <v>0.8</v>
      </c>
      <c r="H45" s="5">
        <f>G301</f>
        <v>1</v>
      </c>
      <c r="J45" s="5">
        <f>K296</f>
        <v>15.674070328803555</v>
      </c>
      <c r="K45" s="5">
        <f>L296</f>
        <v>21.707033847861553</v>
      </c>
      <c r="L45" s="5">
        <f>M296</f>
        <v>20.56419095145904</v>
      </c>
      <c r="M45" s="5">
        <f>N296</f>
        <v>15.557413671646684</v>
      </c>
      <c r="N45" s="5">
        <f>O296</f>
        <v>16.147656883804597</v>
      </c>
      <c r="P45" s="5">
        <f>K299</f>
        <v>98.363652114164893</v>
      </c>
      <c r="Q45" s="5">
        <f>L299</f>
        <v>56.41045812961017</v>
      </c>
      <c r="R45" s="5">
        <f>M299</f>
        <v>34.44892623932931</v>
      </c>
      <c r="S45" s="5">
        <f>N299</f>
        <v>27.701003188554427</v>
      </c>
      <c r="T45" s="5">
        <f>O299</f>
        <v>22.684981176132407</v>
      </c>
      <c r="V45" s="5">
        <f>K298</f>
        <v>1.6199906232461756E-3</v>
      </c>
      <c r="W45" s="5">
        <f>L298</f>
        <v>6.8215211477149389E-3</v>
      </c>
      <c r="X45" s="5">
        <f>M298</f>
        <v>1.7328471189052314E-2</v>
      </c>
      <c r="Y45" s="5">
        <f>N298</f>
        <v>2.0274325056051885E-2</v>
      </c>
      <c r="Z45" s="5">
        <f>O298</f>
        <v>3.13785352026721E-2</v>
      </c>
      <c r="AB45">
        <f t="shared" si="27"/>
        <v>78.370351644017774</v>
      </c>
      <c r="AC45">
        <f t="shared" si="27"/>
        <v>54.267584619653881</v>
      </c>
      <c r="AD45">
        <f t="shared" si="27"/>
        <v>34.273651585765066</v>
      </c>
      <c r="AE45">
        <f t="shared" si="27"/>
        <v>19.446767089558353</v>
      </c>
      <c r="AF45">
        <f t="shared" si="27"/>
        <v>16.147656883804597</v>
      </c>
      <c r="AG45" t="str">
        <f t="shared" si="27"/>
        <v/>
      </c>
      <c r="AH45" s="5">
        <f t="shared" si="23"/>
        <v>-0.69897000433601875</v>
      </c>
      <c r="AI45" s="5">
        <f t="shared" si="23"/>
        <v>-0.3979400086720376</v>
      </c>
      <c r="AJ45" s="5">
        <f t="shared" si="23"/>
        <v>-0.22184874961635639</v>
      </c>
      <c r="AK45" s="5">
        <f t="shared" si="23"/>
        <v>-9.6910013008056392E-2</v>
      </c>
      <c r="AL45" s="5">
        <f t="shared" si="23"/>
        <v>0</v>
      </c>
      <c r="AM45" s="5" t="str">
        <f t="shared" si="23"/>
        <v/>
      </c>
      <c r="AN45" s="3">
        <f t="shared" si="24"/>
        <v>0.49621178675881539</v>
      </c>
      <c r="AO45" s="3">
        <f t="shared" si="24"/>
        <v>0.93866047477713332</v>
      </c>
      <c r="AP45" s="3">
        <f t="shared" si="24"/>
        <v>1.0912628782950349</v>
      </c>
      <c r="AQ45" s="3">
        <f t="shared" si="24"/>
        <v>1.0950273867476645</v>
      </c>
      <c r="AR45" s="3">
        <f t="shared" si="24"/>
        <v>1.2081095126571848</v>
      </c>
      <c r="AS45" s="3" t="str">
        <f t="shared" si="24"/>
        <v/>
      </c>
      <c r="AT45" s="3">
        <f t="shared" si="28"/>
        <v>1.1951817910948341</v>
      </c>
      <c r="AU45" s="3">
        <f t="shared" si="25"/>
        <v>1.3366004834491709</v>
      </c>
      <c r="AV45" s="3">
        <f t="shared" si="25"/>
        <v>1.3131116279113912</v>
      </c>
      <c r="AW45" s="3">
        <f t="shared" si="25"/>
        <v>1.1919373997557208</v>
      </c>
      <c r="AX45" s="3">
        <f t="shared" si="25"/>
        <v>1.2081095126571848</v>
      </c>
      <c r="AY45" s="3" t="str">
        <f t="shared" si="25"/>
        <v/>
      </c>
      <c r="AZ45">
        <f t="shared" si="26"/>
        <v>-2.7904874992130662</v>
      </c>
      <c r="BA45">
        <f t="shared" si="26"/>
        <v>-2.1661187701534961</v>
      </c>
      <c r="BB45">
        <f t="shared" si="26"/>
        <v>-1.7612397513914724</v>
      </c>
      <c r="BC45">
        <f t="shared" si="26"/>
        <v>-1.6930535947893759</v>
      </c>
      <c r="BD45">
        <f t="shared" si="26"/>
        <v>-1.5033673337970326</v>
      </c>
      <c r="BE45" t="str">
        <f t="shared" si="26"/>
        <v/>
      </c>
      <c r="BF45"/>
      <c r="BG45">
        <v>4.9269247956184679E-3</v>
      </c>
      <c r="BH45">
        <v>2.0375181904143612E-3</v>
      </c>
      <c r="BI45"/>
      <c r="BJ45">
        <v>0.30173240696655423</v>
      </c>
      <c r="BK45">
        <v>0.39358159167937434</v>
      </c>
      <c r="BL45"/>
      <c r="BM45">
        <v>1.0697416308577876</v>
      </c>
      <c r="BN45">
        <v>7.1443950240088885E-2</v>
      </c>
      <c r="BO45"/>
      <c r="BP45">
        <v>0.17576646731049267</v>
      </c>
      <c r="BQ45">
        <v>5.8025882612272646E-8</v>
      </c>
      <c r="BR45"/>
      <c r="BS45">
        <v>0.15331858437038767</v>
      </c>
      <c r="BT45">
        <v>2.7688290775012927E-3</v>
      </c>
      <c r="BU45"/>
      <c r="BV45" t="str">
        <f t="shared" si="33"/>
        <v>Cs_10</v>
      </c>
      <c r="BW45">
        <f>BM41</f>
        <v>1.4255567680650572</v>
      </c>
      <c r="BX45">
        <f>BM42</f>
        <v>0.36840693531168006</v>
      </c>
      <c r="BY45">
        <f>BN42</f>
        <v>0.35485181595961041</v>
      </c>
      <c r="BZ45">
        <f t="shared" si="34"/>
        <v>2.258408724865117</v>
      </c>
      <c r="CA45">
        <f t="shared" si="35"/>
        <v>0.42555676806505732</v>
      </c>
      <c r="CQ45">
        <v>0.9</v>
      </c>
      <c r="CR45">
        <f t="shared" si="18"/>
        <v>1.5438959798561808E-3</v>
      </c>
      <c r="CS45">
        <f t="shared" si="18"/>
        <v>0.35365430300449224</v>
      </c>
      <c r="CT45">
        <f t="shared" si="18"/>
        <v>2.0144293046715473</v>
      </c>
      <c r="CU45">
        <f t="shared" si="18"/>
        <v>2.1808681461416386</v>
      </c>
    </row>
    <row r="46" spans="1:99" x14ac:dyDescent="0.25">
      <c r="B46" t="s">
        <v>60</v>
      </c>
      <c r="C46" t="s">
        <v>61</v>
      </c>
      <c r="D46">
        <f>C318</f>
        <v>1</v>
      </c>
      <c r="E46">
        <f>D318</f>
        <v>1.25</v>
      </c>
      <c r="F46">
        <f>E318</f>
        <v>1.5</v>
      </c>
      <c r="G46">
        <f>F318</f>
        <v>1.75</v>
      </c>
      <c r="H46">
        <f>G318</f>
        <v>2</v>
      </c>
      <c r="J46">
        <f>K313</f>
        <v>0.33867027987457077</v>
      </c>
      <c r="K46">
        <f>L313</f>
        <v>0.34196824636944206</v>
      </c>
      <c r="L46">
        <f>M313</f>
        <v>0.42322801685653599</v>
      </c>
      <c r="M46">
        <f>N313</f>
        <v>0.49482507896995598</v>
      </c>
      <c r="N46">
        <f>O313</f>
        <v>0.49349989450525961</v>
      </c>
      <c r="P46">
        <f>K316</f>
        <v>7.0487661569246765</v>
      </c>
      <c r="Q46">
        <f>L316</f>
        <v>5.6934669747174107</v>
      </c>
      <c r="R46">
        <f>M316</f>
        <v>4.1950585047678048</v>
      </c>
      <c r="S46">
        <f>N316</f>
        <v>3.5351616171733236</v>
      </c>
      <c r="T46">
        <f>O316</f>
        <v>2.9353306985443663</v>
      </c>
      <c r="V46">
        <f>K315</f>
        <v>6.8163342798085585E-3</v>
      </c>
      <c r="W46">
        <f>L315</f>
        <v>1.0549507120802696E-2</v>
      </c>
      <c r="X46">
        <f>M315</f>
        <v>2.404907437998131E-2</v>
      </c>
      <c r="Y46">
        <f>N315</f>
        <v>3.959434438118685E-2</v>
      </c>
      <c r="Z46">
        <f>O315</f>
        <v>5.7276040963018915E-2</v>
      </c>
      <c r="AB46">
        <f t="shared" si="27"/>
        <v>0.33867027987457077</v>
      </c>
      <c r="AC46">
        <f t="shared" si="27"/>
        <v>0.27357459709555365</v>
      </c>
      <c r="AD46">
        <f t="shared" si="27"/>
        <v>0.28215201123769068</v>
      </c>
      <c r="AE46">
        <f t="shared" si="27"/>
        <v>0.282757187982832</v>
      </c>
      <c r="AF46">
        <f t="shared" si="27"/>
        <v>0.2467499472526298</v>
      </c>
      <c r="AG46" t="str">
        <f t="shared" si="27"/>
        <v/>
      </c>
      <c r="AH46">
        <f t="shared" si="23"/>
        <v>0</v>
      </c>
      <c r="AI46">
        <f t="shared" si="23"/>
        <v>9.691001300805642E-2</v>
      </c>
      <c r="AJ46">
        <f t="shared" si="23"/>
        <v>0.17609125905568124</v>
      </c>
      <c r="AK46">
        <f t="shared" si="23"/>
        <v>0.24303804868629444</v>
      </c>
      <c r="AL46">
        <f t="shared" si="23"/>
        <v>0.3010299956639812</v>
      </c>
      <c r="AM46" t="str">
        <f t="shared" si="23"/>
        <v/>
      </c>
      <c r="AN46" s="3">
        <f t="shared" si="24"/>
        <v>-0.47022291334297073</v>
      </c>
      <c r="AO46" s="3">
        <f t="shared" si="24"/>
        <v>-0.36910420569244695</v>
      </c>
      <c r="AP46" s="3">
        <f t="shared" si="24"/>
        <v>-0.19733433153096408</v>
      </c>
      <c r="AQ46" s="3">
        <f t="shared" si="24"/>
        <v>-6.2510248670586091E-2</v>
      </c>
      <c r="AR46" s="3">
        <f t="shared" si="24"/>
        <v>-5.6829401688405111E-3</v>
      </c>
      <c r="AS46" s="3" t="str">
        <f t="shared" si="24"/>
        <v/>
      </c>
      <c r="AT46" s="3">
        <f t="shared" si="28"/>
        <v>-0.47022291334297073</v>
      </c>
      <c r="AU46" s="3">
        <f t="shared" si="25"/>
        <v>-0.46601421870050336</v>
      </c>
      <c r="AV46" s="3">
        <f t="shared" si="25"/>
        <v>-0.37342559058664526</v>
      </c>
      <c r="AW46" s="3">
        <f t="shared" si="25"/>
        <v>-0.30554829735688055</v>
      </c>
      <c r="AX46" s="3">
        <f t="shared" si="25"/>
        <v>-0.30671293583282172</v>
      </c>
      <c r="AY46" s="3" t="str">
        <f t="shared" si="25"/>
        <v/>
      </c>
      <c r="AZ46">
        <f t="shared" si="26"/>
        <v>-2.1664491194860123</v>
      </c>
      <c r="BA46">
        <f t="shared" si="26"/>
        <v>-1.9767678303867566</v>
      </c>
      <c r="BB46">
        <f t="shared" si="26"/>
        <v>-1.6189016344420182</v>
      </c>
      <c r="BC46">
        <f t="shared" si="26"/>
        <v>-1.4023668438587018</v>
      </c>
      <c r="BD46">
        <f t="shared" si="26"/>
        <v>-1.242027008984715</v>
      </c>
      <c r="BE46" t="str">
        <f t="shared" si="26"/>
        <v/>
      </c>
      <c r="BG46">
        <v>2</v>
      </c>
      <c r="BH46" t="s">
        <v>35</v>
      </c>
      <c r="BJ46">
        <f>BJ40+1</f>
        <v>4</v>
      </c>
      <c r="BK46" t="s">
        <v>35</v>
      </c>
      <c r="BM46">
        <f>BM40+1</f>
        <v>6</v>
      </c>
      <c r="BN46" t="s">
        <v>35</v>
      </c>
      <c r="BP46">
        <f>BP40+1</f>
        <v>8</v>
      </c>
      <c r="BQ46" t="s">
        <v>35</v>
      </c>
      <c r="BV46" t="str">
        <f t="shared" si="33"/>
        <v>Cs_11</v>
      </c>
      <c r="BW46">
        <f>BM47</f>
        <v>1.1178236625805398</v>
      </c>
      <c r="BX46">
        <f>BM48</f>
        <v>0.26247768302090946</v>
      </c>
      <c r="BY46">
        <f>BN48</f>
        <v>0.19447661682276424</v>
      </c>
      <c r="BZ46">
        <f t="shared" si="34"/>
        <v>1.1848329818066499</v>
      </c>
      <c r="CA46">
        <f t="shared" si="35"/>
        <v>0.11782366258053967</v>
      </c>
      <c r="CQ46">
        <v>1</v>
      </c>
      <c r="CR46">
        <f t="shared" si="18"/>
        <v>6.9150760572015638E-4</v>
      </c>
      <c r="CS46">
        <f t="shared" si="18"/>
        <v>0.39041306035624235</v>
      </c>
      <c r="CT46">
        <f t="shared" si="18"/>
        <v>2.0063844396628632</v>
      </c>
      <c r="CU46">
        <f t="shared" si="18"/>
        <v>2.1181862458613128</v>
      </c>
    </row>
    <row r="47" spans="1:99" x14ac:dyDescent="0.25">
      <c r="AH47" t="str">
        <f t="shared" si="23"/>
        <v/>
      </c>
      <c r="AI47" t="str">
        <f t="shared" si="23"/>
        <v/>
      </c>
      <c r="AJ47" t="str">
        <f t="shared" si="23"/>
        <v/>
      </c>
      <c r="AK47" t="str">
        <f t="shared" si="23"/>
        <v/>
      </c>
      <c r="AL47" t="str">
        <f t="shared" si="23"/>
        <v/>
      </c>
      <c r="AM47" t="str">
        <f t="shared" si="23"/>
        <v/>
      </c>
      <c r="AN47" t="str">
        <f t="shared" si="23"/>
        <v/>
      </c>
      <c r="AO47" t="str">
        <f t="shared" si="23"/>
        <v/>
      </c>
      <c r="AP47" t="str">
        <f t="shared" si="23"/>
        <v/>
      </c>
      <c r="AQ47" t="str">
        <f t="shared" si="23"/>
        <v/>
      </c>
      <c r="AR47" t="str">
        <f t="shared" si="23"/>
        <v/>
      </c>
      <c r="AS47" t="str">
        <f t="shared" si="23"/>
        <v/>
      </c>
      <c r="AZ47" t="str">
        <f t="shared" ref="AZ47:BE48" si="36">IFERROR(LOG(J47),"")</f>
        <v/>
      </c>
      <c r="BA47" t="str">
        <f t="shared" si="36"/>
        <v/>
      </c>
      <c r="BB47" t="str">
        <f t="shared" si="36"/>
        <v/>
      </c>
      <c r="BC47" t="str">
        <f t="shared" si="36"/>
        <v/>
      </c>
      <c r="BD47" t="str">
        <f t="shared" si="36"/>
        <v/>
      </c>
      <c r="BE47" t="str">
        <f t="shared" si="36"/>
        <v/>
      </c>
      <c r="BG47">
        <f t="array" ref="BG47:BH51">LINEST(AN39:AQ39,AH39:AK39,TRUE,TRUE)</f>
        <v>1.4719836101282633</v>
      </c>
      <c r="BH47">
        <v>0.53532507969437815</v>
      </c>
      <c r="BJ47">
        <f t="array" ref="BJ47:BK51">LINEST(AN41:AP41,AH41:AJ41,TRUE,TRUE)</f>
        <v>1.0293946663250766</v>
      </c>
      <c r="BK47">
        <v>-1.4359014175886946</v>
      </c>
      <c r="BM47">
        <f t="array" ref="BM47:BN51">LINEST(AN43:AP43,AH43:AJ43,TRUE,TRUE)</f>
        <v>1.1178236625805398</v>
      </c>
      <c r="BN47">
        <v>0.47392060776443584</v>
      </c>
      <c r="BP47">
        <f t="array" ref="BP47:BQ51">LINEST(AN45:AR45,AH45:AL45,TRUE,TRUE)</f>
        <v>0.98046496368508262</v>
      </c>
      <c r="BQ47">
        <v>1.2434571347852854</v>
      </c>
      <c r="BV47" t="str">
        <f t="shared" si="33"/>
        <v>Cs_12</v>
      </c>
      <c r="BW47">
        <f>BP41</f>
        <v>0.98478911998940355</v>
      </c>
      <c r="BX47">
        <f>BP42</f>
        <v>5.658301792437762E-4</v>
      </c>
      <c r="BY47">
        <f>BQ42</f>
        <v>4.1923845749119109E-4</v>
      </c>
      <c r="BZ47">
        <f t="shared" si="34"/>
        <v>1.1752703467063932</v>
      </c>
      <c r="CA47">
        <f t="shared" si="35"/>
        <v>-1.5210880010596752E-2</v>
      </c>
      <c r="CQ47">
        <v>1.1000000000000001</v>
      </c>
      <c r="CR47">
        <f t="shared" ref="CR47:CU66" si="37">((1/(CR$4*SQRT(2*PI())))*EXP(-0.5*((($CQ47-CR$3)/CR$4)^2)))+CR$5</f>
        <v>2.9523747197584275E-4</v>
      </c>
      <c r="CS47">
        <f t="shared" si="37"/>
        <v>0.42413868363269658</v>
      </c>
      <c r="CT47">
        <f t="shared" si="37"/>
        <v>2.0026318532214384</v>
      </c>
      <c r="CU47">
        <f t="shared" si="37"/>
        <v>2.0734477867780092</v>
      </c>
    </row>
    <row r="48" spans="1:99" x14ac:dyDescent="0.25">
      <c r="AH48" t="str">
        <f t="shared" si="23"/>
        <v/>
      </c>
      <c r="AI48" t="str">
        <f t="shared" si="23"/>
        <v/>
      </c>
      <c r="AJ48" t="str">
        <f t="shared" si="23"/>
        <v/>
      </c>
      <c r="AK48" t="str">
        <f t="shared" si="23"/>
        <v/>
      </c>
      <c r="AL48" t="str">
        <f t="shared" si="23"/>
        <v/>
      </c>
      <c r="AM48" t="str">
        <f t="shared" si="23"/>
        <v/>
      </c>
      <c r="AN48" t="str">
        <f t="shared" si="23"/>
        <v/>
      </c>
      <c r="AO48" t="str">
        <f t="shared" si="23"/>
        <v/>
      </c>
      <c r="AP48" t="str">
        <f t="shared" si="23"/>
        <v/>
      </c>
      <c r="AQ48" t="str">
        <f t="shared" si="23"/>
        <v/>
      </c>
      <c r="AR48" t="str">
        <f t="shared" si="23"/>
        <v/>
      </c>
      <c r="AS48" t="str">
        <f t="shared" si="23"/>
        <v/>
      </c>
      <c r="AZ48" t="str">
        <f t="shared" si="36"/>
        <v/>
      </c>
      <c r="BA48" t="str">
        <f t="shared" si="36"/>
        <v/>
      </c>
      <c r="BB48" t="str">
        <f t="shared" si="36"/>
        <v/>
      </c>
      <c r="BC48" t="str">
        <f t="shared" si="36"/>
        <v/>
      </c>
      <c r="BD48" t="str">
        <f t="shared" si="36"/>
        <v/>
      </c>
      <c r="BE48" t="str">
        <f t="shared" si="36"/>
        <v/>
      </c>
      <c r="BG48">
        <v>0.23338394901509499</v>
      </c>
      <c r="BH48">
        <v>5.3760215311499007E-2</v>
      </c>
      <c r="BJ48">
        <v>0.79513318430928803</v>
      </c>
      <c r="BK48">
        <v>0.76587715196835215</v>
      </c>
      <c r="BM48">
        <v>0.26247768302090946</v>
      </c>
      <c r="BN48">
        <v>0.19447661682276424</v>
      </c>
      <c r="BP48">
        <v>0.14602800064116941</v>
      </c>
      <c r="BQ48">
        <v>5.4853829400378272E-2</v>
      </c>
      <c r="BV48" s="5" t="str">
        <f t="shared" si="33"/>
        <v>Cs_13</v>
      </c>
      <c r="BW48">
        <f>BP47</f>
        <v>0.98046496368508262</v>
      </c>
      <c r="BX48">
        <f>BP48</f>
        <v>0.14602800064116941</v>
      </c>
      <c r="BY48">
        <f>BQ48</f>
        <v>5.4853829400378272E-2</v>
      </c>
      <c r="CQ48">
        <v>1.2</v>
      </c>
      <c r="CR48">
        <f t="shared" si="37"/>
        <v>1.2015492776463599E-4</v>
      </c>
      <c r="CS48">
        <f t="shared" si="37"/>
        <v>0.45345018818863375</v>
      </c>
      <c r="CT48">
        <f t="shared" si="37"/>
        <v>2.0010107925624583</v>
      </c>
      <c r="CU48">
        <f t="shared" si="37"/>
        <v>2.0434107625795139</v>
      </c>
    </row>
    <row r="49" spans="2:99" x14ac:dyDescent="0.25">
      <c r="B49" s="4" t="s">
        <v>62</v>
      </c>
      <c r="BG49">
        <v>0.95213012205706926</v>
      </c>
      <c r="BH49">
        <v>0.10553864102790959</v>
      </c>
      <c r="BJ49">
        <v>0.62631334125939964</v>
      </c>
      <c r="BK49">
        <v>0.57689239152617744</v>
      </c>
      <c r="BM49">
        <v>0.94774479247264198</v>
      </c>
      <c r="BN49">
        <v>0.1117421836191258</v>
      </c>
      <c r="BP49">
        <v>0.93760506730206983</v>
      </c>
      <c r="BQ49">
        <v>8.0606943049426283E-2</v>
      </c>
      <c r="BV49" t="str">
        <f t="shared" si="33"/>
        <v>Cs_14</v>
      </c>
      <c r="BW49">
        <f>BS41</f>
        <v>1.6463437162209555</v>
      </c>
      <c r="BX49">
        <f>BS42</f>
        <v>0.12773518939865347</v>
      </c>
      <c r="BY49">
        <f>BT42</f>
        <v>2.4905822397301054E-2</v>
      </c>
      <c r="BZ49">
        <f t="shared" si="34"/>
        <v>3.2242420157487901</v>
      </c>
      <c r="CA49">
        <f t="shared" si="35"/>
        <v>0.64634371622095554</v>
      </c>
      <c r="CQ49">
        <v>1.3</v>
      </c>
      <c r="CR49">
        <f t="shared" si="37"/>
        <v>4.6613024951886134E-5</v>
      </c>
      <c r="CS49">
        <f t="shared" si="37"/>
        <v>0.47707805991196078</v>
      </c>
      <c r="CT49">
        <f t="shared" si="37"/>
        <v>2.0003616795094272</v>
      </c>
      <c r="CU49">
        <f t="shared" si="37"/>
        <v>2.0244018662179455</v>
      </c>
    </row>
    <row r="50" spans="2:99" x14ac:dyDescent="0.25">
      <c r="BG50">
        <v>39.77992687560949</v>
      </c>
      <c r="BH50">
        <v>2</v>
      </c>
      <c r="BJ50">
        <v>1.6760388058011013</v>
      </c>
      <c r="BK50">
        <v>1</v>
      </c>
      <c r="BM50">
        <v>18.136848695442556</v>
      </c>
      <c r="BN50">
        <v>1</v>
      </c>
      <c r="BP50">
        <v>45.08082756533728</v>
      </c>
      <c r="BQ50">
        <v>3</v>
      </c>
      <c r="CQ50">
        <v>1.4</v>
      </c>
      <c r="CR50">
        <f t="shared" si="37"/>
        <v>1.7237273798016724E-5</v>
      </c>
      <c r="CS50">
        <f t="shared" si="37"/>
        <v>0.4939550822360208</v>
      </c>
      <c r="CT50">
        <f t="shared" si="37"/>
        <v>2.0001205722226598</v>
      </c>
      <c r="CU50">
        <f t="shared" si="37"/>
        <v>2.0130453457514297</v>
      </c>
    </row>
    <row r="51" spans="2:99" x14ac:dyDescent="0.25">
      <c r="B51" t="s">
        <v>63</v>
      </c>
      <c r="J51" t="s">
        <v>25</v>
      </c>
      <c r="K51">
        <f>K53*(K54^2)</f>
        <v>3.4120172550601317E-3</v>
      </c>
      <c r="L51">
        <f>L53*(L54^2)</f>
        <v>6.0738119959742667E-3</v>
      </c>
      <c r="M51">
        <f>M53*(M54^2)</f>
        <v>1.1283456381668066E-2</v>
      </c>
      <c r="N51">
        <f>N53*(N54^2)</f>
        <v>2.471208715572137E-2</v>
      </c>
      <c r="O51">
        <f>O53*(O54^2)</f>
        <v>2.8741805673031581E-2</v>
      </c>
      <c r="Q51" t="s">
        <v>64</v>
      </c>
      <c r="BG51">
        <v>0.44308492646665593</v>
      </c>
      <c r="BH51">
        <v>2.2276809500035924E-2</v>
      </c>
      <c r="BJ51">
        <v>0.55779381218582103</v>
      </c>
      <c r="BK51">
        <v>0.33280483140079242</v>
      </c>
      <c r="BM51">
        <v>0.22646241680020768</v>
      </c>
      <c r="BN51">
        <v>1.2486315599970427E-2</v>
      </c>
      <c r="BP51">
        <v>0.29291174247984897</v>
      </c>
      <c r="BQ51">
        <v>1.9492437803320359E-2</v>
      </c>
      <c r="CQ51">
        <v>1.5</v>
      </c>
      <c r="CR51">
        <f t="shared" si="37"/>
        <v>6.0761077205111804E-6</v>
      </c>
      <c r="CS51">
        <f t="shared" si="37"/>
        <v>0.50329617241985747</v>
      </c>
      <c r="CT51">
        <f t="shared" si="37"/>
        <v>2.0000374483013923</v>
      </c>
      <c r="CU51">
        <f t="shared" si="37"/>
        <v>2.0066327720452053</v>
      </c>
    </row>
    <row r="52" spans="2:99" x14ac:dyDescent="0.25">
      <c r="J52" t="s">
        <v>65</v>
      </c>
      <c r="K52">
        <f>SUMXMY2(C57:C65,K57:K65)</f>
        <v>6.8264215226258001E-6</v>
      </c>
      <c r="L52">
        <f>SUMXMY2(D57:D65,L57:L65)</f>
        <v>2.6063886912232524E-6</v>
      </c>
      <c r="M52">
        <f>SUMXMY2(E57:E65,M57:M65)</f>
        <v>5.9789539251156403E-5</v>
      </c>
      <c r="N52">
        <f>SUMXMY2(F57:F65,N57:N65)</f>
        <v>1.9424683988915345E-4</v>
      </c>
      <c r="O52">
        <f>SUMXMY2(G57:G65,O57:O65)</f>
        <v>2.5205689103211329E-4</v>
      </c>
      <c r="Q52">
        <f>SUM(K52:O52)</f>
        <v>5.1552608038627217E-4</v>
      </c>
      <c r="CQ52">
        <v>1.6</v>
      </c>
      <c r="CR52">
        <f t="shared" si="37"/>
        <v>2.0416342430342484E-6</v>
      </c>
      <c r="CS52">
        <f t="shared" si="37"/>
        <v>0.50465891854034228</v>
      </c>
      <c r="CT52">
        <f t="shared" si="37"/>
        <v>2.0000108362364926</v>
      </c>
      <c r="CU52">
        <f t="shared" si="37"/>
        <v>2.0032073139623399</v>
      </c>
    </row>
    <row r="53" spans="2:99" x14ac:dyDescent="0.25">
      <c r="J53" t="s">
        <v>27</v>
      </c>
      <c r="K53">
        <v>3.6082989963789198</v>
      </c>
      <c r="L53">
        <v>1.5539194872752087</v>
      </c>
      <c r="M53">
        <v>0.65340817089230996</v>
      </c>
      <c r="N53">
        <v>0.44833492162250782</v>
      </c>
      <c r="O53">
        <v>0.43415473631702645</v>
      </c>
      <c r="CQ53">
        <v>1.7</v>
      </c>
      <c r="CR53">
        <f t="shared" si="37"/>
        <v>6.5392209206661373E-7</v>
      </c>
      <c r="CS53">
        <f t="shared" si="37"/>
        <v>0.49797831744393772</v>
      </c>
      <c r="CT53">
        <f t="shared" si="37"/>
        <v>2.0000029213683539</v>
      </c>
      <c r="CU53">
        <f t="shared" si="37"/>
        <v>2.001475009452431</v>
      </c>
    </row>
    <row r="54" spans="2:99" x14ac:dyDescent="0.25">
      <c r="B54" t="s">
        <v>66</v>
      </c>
      <c r="I54" t="s">
        <v>67</v>
      </c>
      <c r="J54" t="s">
        <v>26</v>
      </c>
      <c r="K54">
        <v>3.0750653569021357E-2</v>
      </c>
      <c r="L54">
        <v>6.2519632419345203E-2</v>
      </c>
      <c r="M54">
        <v>0.13141011539912409</v>
      </c>
      <c r="N54">
        <v>0.23477585423476477</v>
      </c>
      <c r="O54">
        <v>0.25729701792164633</v>
      </c>
      <c r="CQ54">
        <v>1.8</v>
      </c>
      <c r="CR54">
        <f t="shared" si="37"/>
        <v>1.9965016354877266E-7</v>
      </c>
      <c r="CS54">
        <f t="shared" si="37"/>
        <v>0.48357191512114628</v>
      </c>
      <c r="CT54">
        <f t="shared" si="37"/>
        <v>2.0000007337627501</v>
      </c>
      <c r="CU54">
        <f t="shared" si="37"/>
        <v>2.0006451416156041</v>
      </c>
    </row>
    <row r="55" spans="2:99" x14ac:dyDescent="0.25">
      <c r="C55" t="s">
        <v>68</v>
      </c>
      <c r="CQ55">
        <v>1.9</v>
      </c>
      <c r="CR55">
        <f t="shared" si="37"/>
        <v>5.8104386867513045E-8</v>
      </c>
      <c r="CS55">
        <f t="shared" si="37"/>
        <v>0.46211478341738377</v>
      </c>
      <c r="CT55">
        <f t="shared" si="37"/>
        <v>2.0000001717064051</v>
      </c>
      <c r="CU55">
        <f t="shared" si="37"/>
        <v>2.000268362752061</v>
      </c>
    </row>
    <row r="56" spans="2:99" x14ac:dyDescent="0.25">
      <c r="B56" t="s">
        <v>69</v>
      </c>
      <c r="C56">
        <v>1</v>
      </c>
      <c r="D56">
        <v>2</v>
      </c>
      <c r="E56">
        <v>4</v>
      </c>
      <c r="F56">
        <v>8</v>
      </c>
      <c r="G56">
        <v>10</v>
      </c>
      <c r="J56" t="s">
        <v>69</v>
      </c>
      <c r="K56">
        <f>C56</f>
        <v>1</v>
      </c>
      <c r="L56">
        <f>D56</f>
        <v>2</v>
      </c>
      <c r="M56">
        <f>E56</f>
        <v>4</v>
      </c>
      <c r="N56">
        <f>F56</f>
        <v>8</v>
      </c>
      <c r="O56">
        <f>G56</f>
        <v>10</v>
      </c>
      <c r="CQ56">
        <v>2</v>
      </c>
      <c r="CR56">
        <f t="shared" si="37"/>
        <v>1.6119210515906269E-8</v>
      </c>
      <c r="CS56">
        <f t="shared" si="37"/>
        <v>0.43458707917471012</v>
      </c>
      <c r="CT56">
        <f t="shared" si="37"/>
        <v>2.0000000374350853</v>
      </c>
      <c r="CU56">
        <f t="shared" si="37"/>
        <v>2.0001061686614268</v>
      </c>
    </row>
    <row r="57" spans="2:99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J57">
        <f>B57</f>
        <v>0</v>
      </c>
      <c r="K57">
        <f>$J57/((1/(K$53*(K$54^2)))+((1/K$54)*$J57))</f>
        <v>0</v>
      </c>
      <c r="L57">
        <f t="shared" ref="L57:O65" si="38">$J57/((1/(L$53*(L$54^2)))+((1/L$54)*$J57))</f>
        <v>0</v>
      </c>
      <c r="M57">
        <f t="shared" si="38"/>
        <v>0</v>
      </c>
      <c r="N57">
        <f t="shared" si="38"/>
        <v>0</v>
      </c>
      <c r="O57">
        <f t="shared" si="38"/>
        <v>0</v>
      </c>
      <c r="CQ57">
        <v>2.1</v>
      </c>
      <c r="CR57">
        <f t="shared" si="37"/>
        <v>4.2625962993885549E-9</v>
      </c>
      <c r="CS57">
        <f t="shared" si="37"/>
        <v>0.40219985865122992</v>
      </c>
      <c r="CT57">
        <f t="shared" si="37"/>
        <v>2.0000000076038345</v>
      </c>
      <c r="CU57">
        <f t="shared" si="37"/>
        <v>2.0000399463747685</v>
      </c>
    </row>
    <row r="58" spans="2:99" x14ac:dyDescent="0.25">
      <c r="B58">
        <v>5</v>
      </c>
      <c r="C58">
        <v>1.1238E-2</v>
      </c>
      <c r="D58">
        <v>2.0603000000000003E-2</v>
      </c>
      <c r="E58">
        <v>3.746E-2</v>
      </c>
      <c r="F58">
        <v>8.9903999999999998E-2</v>
      </c>
      <c r="G58">
        <v>0.10114200000000001</v>
      </c>
      <c r="J58">
        <f t="shared" ref="J58:J65" si="39">B58</f>
        <v>5</v>
      </c>
      <c r="K58">
        <f>$J58/((1/(K$53*(K$54^2)))+((1/K$54)*$J58))</f>
        <v>1.0972614199604125E-2</v>
      </c>
      <c r="L58">
        <f t="shared" si="38"/>
        <v>2.0440189411888167E-2</v>
      </c>
      <c r="M58">
        <f t="shared" si="38"/>
        <v>3.9471353127168568E-2</v>
      </c>
      <c r="N58">
        <f t="shared" si="38"/>
        <v>8.095470000668846E-2</v>
      </c>
      <c r="O58">
        <f t="shared" si="38"/>
        <v>9.2207847709924087E-2</v>
      </c>
      <c r="CQ58">
        <v>2.2000000000000002</v>
      </c>
      <c r="CR58">
        <f t="shared" si="37"/>
        <v>1.0744846904329685E-9</v>
      </c>
      <c r="CS58">
        <f t="shared" si="37"/>
        <v>0.36630696200283225</v>
      </c>
      <c r="CT58">
        <f t="shared" si="37"/>
        <v>2.0000000014389574</v>
      </c>
      <c r="CU58">
        <f t="shared" si="37"/>
        <v>2.0000142943801573</v>
      </c>
    </row>
    <row r="59" spans="2:99" x14ac:dyDescent="0.25">
      <c r="B59">
        <v>10</v>
      </c>
      <c r="C59">
        <v>1.4984000000000003E-2</v>
      </c>
      <c r="D59">
        <v>2.9968000000000005E-2</v>
      </c>
      <c r="E59">
        <v>5.8063000000000003E-2</v>
      </c>
      <c r="F59">
        <v>0.11237999999999999</v>
      </c>
      <c r="G59">
        <v>0.12549099999999999</v>
      </c>
      <c r="J59">
        <f t="shared" si="39"/>
        <v>10</v>
      </c>
      <c r="K59">
        <f t="shared" ref="K59:K65" si="40">$J59/((1/(K$53*(K$54^2)))+((1/K$54)*$J59))</f>
        <v>1.6173951660242492E-2</v>
      </c>
      <c r="L59">
        <f t="shared" si="38"/>
        <v>3.0808000798572623E-2</v>
      </c>
      <c r="M59">
        <f t="shared" si="38"/>
        <v>6.0707987988793656E-2</v>
      </c>
      <c r="N59">
        <f t="shared" si="38"/>
        <v>0.12039511914868084</v>
      </c>
      <c r="O59">
        <f t="shared" si="38"/>
        <v>0.13576236886925752</v>
      </c>
      <c r="CQ59">
        <v>2.2999999999999998</v>
      </c>
      <c r="CR59">
        <f t="shared" si="37"/>
        <v>2.581795575640814E-10</v>
      </c>
      <c r="CS59">
        <f t="shared" si="37"/>
        <v>0.32831187235098236</v>
      </c>
      <c r="CT59">
        <f t="shared" si="37"/>
        <v>2.0000000002537024</v>
      </c>
      <c r="CU59">
        <f t="shared" si="37"/>
        <v>2.0000048647464426</v>
      </c>
    </row>
    <row r="60" spans="2:99" x14ac:dyDescent="0.25">
      <c r="B60">
        <v>15</v>
      </c>
      <c r="C60">
        <v>1.873E-2</v>
      </c>
      <c r="D60">
        <v>3.746E-2</v>
      </c>
      <c r="E60">
        <v>7.492E-2</v>
      </c>
      <c r="F60">
        <v>0.138602</v>
      </c>
      <c r="G60">
        <v>0.15733200000000003</v>
      </c>
      <c r="J60">
        <f t="shared" si="39"/>
        <v>15</v>
      </c>
      <c r="K60">
        <f t="shared" si="40"/>
        <v>1.9209189336767084E-2</v>
      </c>
      <c r="L60">
        <f t="shared" si="38"/>
        <v>3.7076779197102373E-2</v>
      </c>
      <c r="M60">
        <f t="shared" si="38"/>
        <v>7.3974787149931984E-2</v>
      </c>
      <c r="N60">
        <f t="shared" si="38"/>
        <v>0.14373770119899867</v>
      </c>
      <c r="O60">
        <f t="shared" si="38"/>
        <v>0.16113281457485318</v>
      </c>
      <c r="CQ60">
        <v>2.4</v>
      </c>
      <c r="CR60">
        <f t="shared" si="37"/>
        <v>5.9134246115796034E-11</v>
      </c>
      <c r="CS60">
        <f t="shared" si="37"/>
        <v>0.28957839624743498</v>
      </c>
      <c r="CT60">
        <f t="shared" si="37"/>
        <v>2.0000000000416738</v>
      </c>
      <c r="CU60">
        <f t="shared" si="37"/>
        <v>2.0000015745701565</v>
      </c>
    </row>
    <row r="61" spans="2:99" x14ac:dyDescent="0.25">
      <c r="B61">
        <v>20</v>
      </c>
      <c r="C61">
        <v>2.2475999999999999E-2</v>
      </c>
      <c r="D61">
        <v>4.1206000000000007E-2</v>
      </c>
      <c r="E61">
        <v>8.6157999999999998E-2</v>
      </c>
      <c r="F61">
        <v>0.161078</v>
      </c>
      <c r="G61">
        <v>0.179808</v>
      </c>
      <c r="J61">
        <f t="shared" si="39"/>
        <v>20</v>
      </c>
      <c r="K61">
        <f t="shared" si="40"/>
        <v>2.1198242666772338E-2</v>
      </c>
      <c r="L61">
        <f t="shared" si="38"/>
        <v>4.1276196965249173E-2</v>
      </c>
      <c r="M61">
        <f t="shared" si="38"/>
        <v>8.3049369805070911E-2</v>
      </c>
      <c r="N61">
        <f t="shared" si="38"/>
        <v>0.15916766324995685</v>
      </c>
      <c r="O61">
        <f t="shared" si="38"/>
        <v>0.17774033049423607</v>
      </c>
      <c r="CQ61">
        <v>2.5000000000000102</v>
      </c>
      <c r="CR61">
        <f t="shared" si="37"/>
        <v>1.2910761804197464E-11</v>
      </c>
      <c r="CS61">
        <f t="shared" si="37"/>
        <v>0.25135289110735892</v>
      </c>
      <c r="CT61">
        <f t="shared" si="37"/>
        <v>2.0000000000063776</v>
      </c>
      <c r="CU61">
        <f t="shared" si="37"/>
        <v>2.0000004846974644</v>
      </c>
    </row>
    <row r="62" spans="2:99" x14ac:dyDescent="0.25">
      <c r="B62">
        <v>25</v>
      </c>
      <c r="C62">
        <v>2.3974400000000003E-2</v>
      </c>
      <c r="D62">
        <v>4.4951999999999999E-2</v>
      </c>
      <c r="E62">
        <v>9.3650000000000011E-2</v>
      </c>
      <c r="F62">
        <v>0.172316</v>
      </c>
      <c r="G62">
        <v>0.19291900000000001</v>
      </c>
      <c r="J62">
        <f t="shared" si="39"/>
        <v>25</v>
      </c>
      <c r="K62">
        <f t="shared" si="40"/>
        <v>2.2602494546071768E-2</v>
      </c>
      <c r="L62">
        <f t="shared" si="38"/>
        <v>4.4285752485854639E-2</v>
      </c>
      <c r="M62">
        <f t="shared" si="38"/>
        <v>8.9647688419399477E-2</v>
      </c>
      <c r="N62">
        <f t="shared" si="38"/>
        <v>0.17012523037403809</v>
      </c>
      <c r="O62">
        <f t="shared" si="38"/>
        <v>0.18945637917684555</v>
      </c>
      <c r="CQ62">
        <v>2.6</v>
      </c>
      <c r="CR62">
        <f t="shared" si="37"/>
        <v>2.6869542068709563E-12</v>
      </c>
      <c r="CS62">
        <f t="shared" si="37"/>
        <v>0.21470381779618297</v>
      </c>
      <c r="CT62">
        <f t="shared" si="37"/>
        <v>2.0000000000009095</v>
      </c>
      <c r="CU62">
        <f t="shared" si="37"/>
        <v>2.0000001419013103</v>
      </c>
    </row>
    <row r="63" spans="2:99" x14ac:dyDescent="0.25">
      <c r="B63">
        <v>30</v>
      </c>
      <c r="C63">
        <v>2.3974400000000003E-2</v>
      </c>
      <c r="D63">
        <v>4.6825000000000006E-2</v>
      </c>
      <c r="E63">
        <v>9.5897600000000013E-2</v>
      </c>
      <c r="F63">
        <v>0.179808</v>
      </c>
      <c r="G63">
        <v>0.20228400000000002</v>
      </c>
      <c r="J63">
        <f t="shared" si="39"/>
        <v>30</v>
      </c>
      <c r="K63">
        <f t="shared" si="40"/>
        <v>2.3646796798403251E-2</v>
      </c>
      <c r="L63">
        <f t="shared" si="38"/>
        <v>4.6548396053121686E-2</v>
      </c>
      <c r="M63">
        <f t="shared" si="38"/>
        <v>9.4661634768177169E-2</v>
      </c>
      <c r="N63">
        <f t="shared" si="38"/>
        <v>0.17830876120705572</v>
      </c>
      <c r="O63">
        <f t="shared" si="38"/>
        <v>0.19816461188760076</v>
      </c>
      <c r="CQ63">
        <v>2.7</v>
      </c>
      <c r="CR63">
        <f t="shared" si="37"/>
        <v>5.3304546527234029E-13</v>
      </c>
      <c r="CS63">
        <f t="shared" si="37"/>
        <v>0.18048196252291532</v>
      </c>
      <c r="CT63">
        <f t="shared" si="37"/>
        <v>2.0000000000001208</v>
      </c>
      <c r="CU63">
        <f t="shared" si="37"/>
        <v>2.0000000395101782</v>
      </c>
    </row>
    <row r="64" spans="2:99" x14ac:dyDescent="0.25">
      <c r="B64">
        <v>35</v>
      </c>
      <c r="C64">
        <v>2.3974400000000003E-2</v>
      </c>
      <c r="D64">
        <v>4.8697999999999998E-2</v>
      </c>
      <c r="E64">
        <v>9.7395999999999996E-2</v>
      </c>
      <c r="F64">
        <v>0.18730000000000002</v>
      </c>
      <c r="G64">
        <v>0.20602999999999999</v>
      </c>
      <c r="J64">
        <f t="shared" si="39"/>
        <v>35</v>
      </c>
      <c r="K64">
        <f t="shared" si="40"/>
        <v>2.4453824797068376E-2</v>
      </c>
      <c r="L64">
        <f t="shared" si="38"/>
        <v>4.8311486033917751E-2</v>
      </c>
      <c r="M64">
        <f t="shared" si="38"/>
        <v>9.8600694108854872E-2</v>
      </c>
      <c r="N64">
        <f t="shared" si="38"/>
        <v>0.18465331478615862</v>
      </c>
      <c r="O64">
        <f t="shared" si="38"/>
        <v>0.20489153996243606</v>
      </c>
      <c r="CQ64">
        <v>2.80000000000001</v>
      </c>
      <c r="CR64">
        <f t="shared" si="37"/>
        <v>1.0080076618375856E-13</v>
      </c>
      <c r="CS64">
        <f t="shared" si="37"/>
        <v>0.14930212815663735</v>
      </c>
      <c r="CT64">
        <f t="shared" si="37"/>
        <v>2.0000000000000151</v>
      </c>
      <c r="CU64">
        <f t="shared" si="37"/>
        <v>2.000000010462573</v>
      </c>
    </row>
    <row r="65" spans="2:99" x14ac:dyDescent="0.25">
      <c r="B65">
        <v>40</v>
      </c>
      <c r="C65">
        <v>2.3974400000000003E-2</v>
      </c>
      <c r="D65">
        <v>4.8697999999999998E-2</v>
      </c>
      <c r="E65">
        <v>9.7395999999999996E-2</v>
      </c>
      <c r="F65">
        <v>0.18730000000000002</v>
      </c>
      <c r="G65">
        <v>0.20602999999999999</v>
      </c>
      <c r="J65">
        <f t="shared" si="39"/>
        <v>40</v>
      </c>
      <c r="K65">
        <f t="shared" si="40"/>
        <v>2.5096195059051928E-2</v>
      </c>
      <c r="L65">
        <f t="shared" si="38"/>
        <v>4.9724014485670369E-2</v>
      </c>
      <c r="M65">
        <f t="shared" si="38"/>
        <v>0.10177705368935039</v>
      </c>
      <c r="N65">
        <f t="shared" si="38"/>
        <v>0.18971615192276531</v>
      </c>
      <c r="O65">
        <f t="shared" si="38"/>
        <v>0.21024427979391025</v>
      </c>
      <c r="CQ65">
        <v>2.9000000000000101</v>
      </c>
      <c r="CR65">
        <f t="shared" si="37"/>
        <v>1.8170170613859476E-14</v>
      </c>
      <c r="CS65">
        <f t="shared" si="37"/>
        <v>0.12154478993352653</v>
      </c>
      <c r="CT65">
        <f t="shared" si="37"/>
        <v>2.0000000000000018</v>
      </c>
      <c r="CU65">
        <f t="shared" si="37"/>
        <v>2.0000000026349656</v>
      </c>
    </row>
    <row r="66" spans="2:99" x14ac:dyDescent="0.25">
      <c r="CQ66">
        <v>3.0000000000000102</v>
      </c>
      <c r="CR66">
        <f t="shared" si="37"/>
        <v>3.1221212792834063E-15</v>
      </c>
      <c r="CS66">
        <f t="shared" si="37"/>
        <v>9.7374412906155602E-2</v>
      </c>
      <c r="CT66">
        <f t="shared" si="37"/>
        <v>2</v>
      </c>
      <c r="CU66">
        <f t="shared" si="37"/>
        <v>2.0000000006311294</v>
      </c>
    </row>
    <row r="68" spans="2:99" x14ac:dyDescent="0.25">
      <c r="B68" t="s">
        <v>70</v>
      </c>
      <c r="J68" t="s">
        <v>25</v>
      </c>
      <c r="K68">
        <f>K70*(K71^2)</f>
        <v>6.7602309231941009E-3</v>
      </c>
      <c r="L68">
        <f>L70*(L71^2)</f>
        <v>1.0343723166640144E-2</v>
      </c>
      <c r="M68">
        <f>M70*(M71^2)</f>
        <v>1.233711126437439E-2</v>
      </c>
      <c r="N68">
        <f>N70*(N71^2)</f>
        <v>1.2498465945156287E-2</v>
      </c>
      <c r="O68">
        <f>O70*(O71^2)</f>
        <v>1.8729957941261328E-2</v>
      </c>
    </row>
    <row r="69" spans="2:99" x14ac:dyDescent="0.25">
      <c r="J69" t="s">
        <v>65</v>
      </c>
      <c r="K69">
        <f>SUMXMY2(C74:C84,K74:K84)</f>
        <v>6.0462989592873233E-4</v>
      </c>
      <c r="L69">
        <f>SUMXMY2(D74:D84,L74:L84)</f>
        <v>3.9772333791924224E-3</v>
      </c>
      <c r="M69">
        <f>SUMXMY2(E74:E84,M74:M84)</f>
        <v>7.4828347363496348E-3</v>
      </c>
      <c r="N69">
        <f>SUMXMY2(F74:F84,N74:N84)</f>
        <v>1.9066858580235775E-2</v>
      </c>
      <c r="O69">
        <f>SUMXMY2(G74:G84,O74:O84)</f>
        <v>8.1347365527140239E-3</v>
      </c>
      <c r="Q69">
        <f>SUM(K69:O69)</f>
        <v>3.9266293144420587E-2</v>
      </c>
    </row>
    <row r="70" spans="2:99" x14ac:dyDescent="0.25">
      <c r="J70" t="s">
        <v>27</v>
      </c>
      <c r="K70">
        <v>9.3140013233028993E-2</v>
      </c>
      <c r="L70">
        <v>1.8004758598518078E-2</v>
      </c>
      <c r="M70">
        <v>1.4357671080314145E-2</v>
      </c>
      <c r="N70">
        <v>1.0939480683597272E-2</v>
      </c>
      <c r="O70">
        <v>1.7224604433169217E-2</v>
      </c>
    </row>
    <row r="71" spans="2:99" x14ac:dyDescent="0.25">
      <c r="B71" t="s">
        <v>66</v>
      </c>
      <c r="I71" t="s">
        <v>67</v>
      </c>
      <c r="J71" t="s">
        <v>26</v>
      </c>
      <c r="K71">
        <v>0.26940932141311458</v>
      </c>
      <c r="L71">
        <v>0.7579573923310009</v>
      </c>
      <c r="M71">
        <v>0.92696799736295932</v>
      </c>
      <c r="N71">
        <v>1.0688825885269468</v>
      </c>
      <c r="O71">
        <v>1.0427825920736695</v>
      </c>
    </row>
    <row r="72" spans="2:99" x14ac:dyDescent="0.25">
      <c r="C72" t="s">
        <v>68</v>
      </c>
    </row>
    <row r="73" spans="2:99" x14ac:dyDescent="0.25">
      <c r="B73" t="s">
        <v>69</v>
      </c>
      <c r="C73">
        <v>0.5</v>
      </c>
      <c r="D73">
        <v>2</v>
      </c>
      <c r="E73">
        <v>3.6</v>
      </c>
      <c r="F73">
        <v>4.3</v>
      </c>
      <c r="G73">
        <v>5.8</v>
      </c>
      <c r="J73" t="s">
        <v>69</v>
      </c>
      <c r="K73">
        <f>C73</f>
        <v>0.5</v>
      </c>
      <c r="L73">
        <f>D73</f>
        <v>2</v>
      </c>
      <c r="M73">
        <f>E73</f>
        <v>3.6</v>
      </c>
      <c r="N73">
        <f>F73</f>
        <v>4.3</v>
      </c>
      <c r="O73">
        <f>G73</f>
        <v>5.8</v>
      </c>
    </row>
    <row r="74" spans="2:99" x14ac:dyDescent="0.2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J74">
        <f>B74</f>
        <v>0</v>
      </c>
      <c r="K74">
        <f t="shared" ref="K74:O84" si="41">$J74/((1/(K$70*(K$71^2)))+((1/K$71)*$J74))</f>
        <v>0</v>
      </c>
      <c r="L74">
        <f t="shared" si="41"/>
        <v>0</v>
      </c>
      <c r="M74">
        <f t="shared" si="41"/>
        <v>0</v>
      </c>
      <c r="N74">
        <f t="shared" si="41"/>
        <v>0</v>
      </c>
      <c r="O74">
        <f t="shared" si="41"/>
        <v>0</v>
      </c>
    </row>
    <row r="75" spans="2:99" x14ac:dyDescent="0.25">
      <c r="B75">
        <v>15</v>
      </c>
      <c r="C75">
        <v>8.5000000000000006E-2</v>
      </c>
      <c r="D75">
        <v>0.13</v>
      </c>
      <c r="E75">
        <v>0.15</v>
      </c>
      <c r="F75">
        <v>0.21</v>
      </c>
      <c r="G75">
        <v>0.23</v>
      </c>
      <c r="J75">
        <f t="shared" ref="J75:J84" si="42">B75</f>
        <v>15</v>
      </c>
      <c r="K75">
        <f t="shared" si="41"/>
        <v>7.3673399273367718E-2</v>
      </c>
      <c r="L75">
        <f t="shared" si="41"/>
        <v>0.12879182608010573</v>
      </c>
      <c r="M75">
        <f t="shared" si="41"/>
        <v>0.15426061581536071</v>
      </c>
      <c r="N75">
        <f t="shared" si="41"/>
        <v>0.15950122324636276</v>
      </c>
      <c r="O75">
        <f t="shared" si="41"/>
        <v>0.22132056939030534</v>
      </c>
    </row>
    <row r="76" spans="2:99" x14ac:dyDescent="0.25">
      <c r="B76">
        <v>30</v>
      </c>
      <c r="C76">
        <v>0.125</v>
      </c>
      <c r="D76">
        <v>0.25</v>
      </c>
      <c r="E76">
        <v>0.27500000000000002</v>
      </c>
      <c r="F76">
        <v>0.34</v>
      </c>
      <c r="G76">
        <v>0.4</v>
      </c>
      <c r="J76">
        <f t="shared" si="42"/>
        <v>30</v>
      </c>
      <c r="K76">
        <f t="shared" si="41"/>
        <v>0.1157056261225894</v>
      </c>
      <c r="L76">
        <f t="shared" si="41"/>
        <v>0.22017209515930497</v>
      </c>
      <c r="M76">
        <f t="shared" si="41"/>
        <v>0.26450401399201334</v>
      </c>
      <c r="N76">
        <f t="shared" si="41"/>
        <v>0.27758112528472356</v>
      </c>
      <c r="O76">
        <f t="shared" si="41"/>
        <v>0.36514304221937538</v>
      </c>
    </row>
    <row r="77" spans="2:99" x14ac:dyDescent="0.25">
      <c r="B77">
        <v>60</v>
      </c>
      <c r="C77">
        <v>0.15</v>
      </c>
      <c r="D77">
        <v>0.32500000000000001</v>
      </c>
      <c r="E77">
        <v>0.41</v>
      </c>
      <c r="F77">
        <v>0.41</v>
      </c>
      <c r="G77">
        <v>0.5</v>
      </c>
      <c r="J77">
        <f t="shared" si="42"/>
        <v>60</v>
      </c>
      <c r="K77">
        <f t="shared" si="41"/>
        <v>0.161885039346474</v>
      </c>
      <c r="L77">
        <f t="shared" si="41"/>
        <v>0.34122489761388308</v>
      </c>
      <c r="M77">
        <f t="shared" si="41"/>
        <v>0.4115694767614525</v>
      </c>
      <c r="N77">
        <f t="shared" si="41"/>
        <v>0.44071240639769316</v>
      </c>
      <c r="O77">
        <f t="shared" si="41"/>
        <v>0.54088767015649553</v>
      </c>
    </row>
    <row r="78" spans="2:99" x14ac:dyDescent="0.25">
      <c r="B78">
        <v>90</v>
      </c>
      <c r="C78">
        <v>0.17499999999999999</v>
      </c>
      <c r="D78">
        <v>0.38500000000000001</v>
      </c>
      <c r="E78">
        <v>0.46</v>
      </c>
      <c r="F78">
        <v>0.5</v>
      </c>
      <c r="G78">
        <v>0.61</v>
      </c>
      <c r="J78">
        <f t="shared" si="42"/>
        <v>90</v>
      </c>
      <c r="K78">
        <f t="shared" si="41"/>
        <v>0.18672659944658102</v>
      </c>
      <c r="L78">
        <f t="shared" si="41"/>
        <v>0.41779399158099073</v>
      </c>
      <c r="M78">
        <f t="shared" si="41"/>
        <v>0.50520081074729561</v>
      </c>
      <c r="N78">
        <f t="shared" si="41"/>
        <v>0.54807901465141917</v>
      </c>
      <c r="O78">
        <f t="shared" si="41"/>
        <v>0.64424714014824291</v>
      </c>
    </row>
    <row r="79" spans="2:99" x14ac:dyDescent="0.25">
      <c r="B79">
        <v>120</v>
      </c>
      <c r="C79">
        <v>0.2</v>
      </c>
      <c r="D79">
        <v>0.46</v>
      </c>
      <c r="E79">
        <v>0.56000000000000005</v>
      </c>
      <c r="F79">
        <v>0.55000000000000004</v>
      </c>
      <c r="G79">
        <v>0.7</v>
      </c>
      <c r="J79">
        <f t="shared" si="42"/>
        <v>120</v>
      </c>
      <c r="K79">
        <f t="shared" si="41"/>
        <v>0.20224395478047899</v>
      </c>
      <c r="L79">
        <f t="shared" si="41"/>
        <v>0.47059334190473578</v>
      </c>
      <c r="M79">
        <f t="shared" si="41"/>
        <v>0.57004266376456281</v>
      </c>
      <c r="N79">
        <f t="shared" si="41"/>
        <v>0.62410092684471596</v>
      </c>
      <c r="O79">
        <f t="shared" si="41"/>
        <v>0.71230515614052048</v>
      </c>
    </row>
    <row r="80" spans="2:99" x14ac:dyDescent="0.25">
      <c r="B80">
        <v>150</v>
      </c>
      <c r="C80">
        <v>0.21</v>
      </c>
      <c r="D80">
        <v>0.52500000000000002</v>
      </c>
      <c r="E80">
        <v>0.65</v>
      </c>
      <c r="F80">
        <v>0.7</v>
      </c>
      <c r="G80">
        <v>0.8</v>
      </c>
      <c r="J80">
        <f t="shared" si="42"/>
        <v>150</v>
      </c>
      <c r="K80">
        <f t="shared" si="41"/>
        <v>0.21285727494092621</v>
      </c>
      <c r="L80">
        <f t="shared" si="41"/>
        <v>0.50920421565154284</v>
      </c>
      <c r="M80">
        <f t="shared" si="41"/>
        <v>0.61760384355025799</v>
      </c>
      <c r="N80">
        <f t="shared" si="41"/>
        <v>0.68075593441203008</v>
      </c>
      <c r="O80">
        <f t="shared" si="41"/>
        <v>0.76050908561300101</v>
      </c>
    </row>
    <row r="81" spans="2:17" x14ac:dyDescent="0.25">
      <c r="B81">
        <v>180</v>
      </c>
      <c r="C81">
        <v>0.22</v>
      </c>
      <c r="D81">
        <v>0.56000000000000005</v>
      </c>
      <c r="E81">
        <v>0.7</v>
      </c>
      <c r="F81">
        <v>0.76</v>
      </c>
      <c r="G81">
        <v>0.83</v>
      </c>
      <c r="J81">
        <f t="shared" si="42"/>
        <v>180</v>
      </c>
      <c r="K81">
        <f t="shared" si="41"/>
        <v>0.22057410585804579</v>
      </c>
      <c r="L81">
        <f t="shared" si="41"/>
        <v>0.53866837619472707</v>
      </c>
      <c r="M81">
        <f t="shared" si="41"/>
        <v>0.65398014696674178</v>
      </c>
      <c r="N81">
        <f t="shared" si="41"/>
        <v>0.72460856800355888</v>
      </c>
      <c r="O81">
        <f t="shared" si="41"/>
        <v>0.79644085686032629</v>
      </c>
    </row>
    <row r="82" spans="2:17" x14ac:dyDescent="0.25">
      <c r="B82">
        <v>210</v>
      </c>
      <c r="C82">
        <v>0.23</v>
      </c>
      <c r="D82">
        <v>0.57999999999999996</v>
      </c>
      <c r="E82">
        <v>0.7</v>
      </c>
      <c r="F82">
        <v>0.8</v>
      </c>
      <c r="G82">
        <v>0.84</v>
      </c>
      <c r="J82">
        <f t="shared" si="42"/>
        <v>210</v>
      </c>
      <c r="K82">
        <f t="shared" si="41"/>
        <v>0.22643780095507968</v>
      </c>
      <c r="L82">
        <f t="shared" si="41"/>
        <v>0.56189182747672106</v>
      </c>
      <c r="M82">
        <f t="shared" si="41"/>
        <v>0.68270194873275236</v>
      </c>
      <c r="N82">
        <f t="shared" si="41"/>
        <v>0.75955774938040799</v>
      </c>
      <c r="O82">
        <f t="shared" si="41"/>
        <v>0.82425778982294584</v>
      </c>
    </row>
    <row r="83" spans="2:17" x14ac:dyDescent="0.25">
      <c r="B83">
        <v>240</v>
      </c>
      <c r="C83">
        <v>0.24</v>
      </c>
      <c r="D83">
        <v>0.58499999999999996</v>
      </c>
      <c r="E83">
        <v>0.7</v>
      </c>
      <c r="F83">
        <v>0.8</v>
      </c>
      <c r="G83">
        <v>0.84</v>
      </c>
      <c r="J83">
        <f t="shared" si="42"/>
        <v>240</v>
      </c>
      <c r="K83">
        <f t="shared" si="41"/>
        <v>0.23104432585325296</v>
      </c>
      <c r="L83">
        <f t="shared" si="41"/>
        <v>0.58066743576582713</v>
      </c>
      <c r="M83">
        <f t="shared" si="41"/>
        <v>0.70595530167205822</v>
      </c>
      <c r="N83">
        <f t="shared" si="41"/>
        <v>0.78806510297461396</v>
      </c>
      <c r="O83">
        <f t="shared" si="41"/>
        <v>0.8464299495263794</v>
      </c>
    </row>
    <row r="84" spans="2:17" x14ac:dyDescent="0.25">
      <c r="B84">
        <v>300</v>
      </c>
      <c r="C84">
        <v>0.24</v>
      </c>
      <c r="D84">
        <v>0.58499999999999996</v>
      </c>
      <c r="E84">
        <v>0.7</v>
      </c>
      <c r="F84">
        <v>0.81</v>
      </c>
      <c r="G84">
        <v>0.85</v>
      </c>
      <c r="J84">
        <f t="shared" si="42"/>
        <v>300</v>
      </c>
      <c r="K84">
        <f t="shared" si="41"/>
        <v>0.23781756577468255</v>
      </c>
      <c r="L84">
        <f t="shared" si="41"/>
        <v>0.60916476166552691</v>
      </c>
      <c r="M84">
        <f t="shared" si="41"/>
        <v>0.74130446102262626</v>
      </c>
      <c r="N84">
        <f t="shared" si="41"/>
        <v>0.83176971218847551</v>
      </c>
      <c r="O84">
        <f t="shared" si="41"/>
        <v>0.87955336943433327</v>
      </c>
    </row>
    <row r="87" spans="2:17" x14ac:dyDescent="0.25">
      <c r="B87" t="s">
        <v>71</v>
      </c>
      <c r="J87" t="s">
        <v>25</v>
      </c>
      <c r="K87">
        <f>K89*(K90^2)</f>
        <v>0.22801515432478228</v>
      </c>
      <c r="L87">
        <f>L89*(L90^2)</f>
        <v>0.30060878230856564</v>
      </c>
      <c r="M87">
        <f>M89*(M90^2)</f>
        <v>0.36124904291427712</v>
      </c>
    </row>
    <row r="88" spans="2:17" x14ac:dyDescent="0.25">
      <c r="J88" t="s">
        <v>65</v>
      </c>
      <c r="K88">
        <f>SUMXMY2(C93:C104,K93:K104)</f>
        <v>1.2145419942229672</v>
      </c>
      <c r="L88">
        <f>SUMXMY2(D93:D104,L93:L104)</f>
        <v>0.32339822502409638</v>
      </c>
      <c r="M88">
        <f>SUMXMY2(E93:E104,M93:M104)</f>
        <v>2.288253086036208</v>
      </c>
      <c r="Q88">
        <f>SUM(K88:O88)</f>
        <v>3.8261933052832715</v>
      </c>
    </row>
    <row r="89" spans="2:17" x14ac:dyDescent="0.25">
      <c r="J89" t="s">
        <v>27</v>
      </c>
      <c r="K89">
        <v>8.8968400573136283E-4</v>
      </c>
      <c r="L89">
        <v>8.3175073343006822E-4</v>
      </c>
      <c r="M89">
        <v>4.5738758188596407E-4</v>
      </c>
    </row>
    <row r="90" spans="2:17" x14ac:dyDescent="0.25">
      <c r="B90" t="s">
        <v>66</v>
      </c>
      <c r="I90" t="s">
        <v>67</v>
      </c>
      <c r="J90" t="s">
        <v>26</v>
      </c>
      <c r="K90">
        <v>16.008991146477754</v>
      </c>
      <c r="L90">
        <v>19.010968224048757</v>
      </c>
      <c r="M90">
        <v>28.103549036137604</v>
      </c>
    </row>
    <row r="91" spans="2:17" x14ac:dyDescent="0.25">
      <c r="C91" t="s">
        <v>68</v>
      </c>
    </row>
    <row r="92" spans="2:17" x14ac:dyDescent="0.25">
      <c r="B92" t="s">
        <v>69</v>
      </c>
      <c r="C92">
        <v>50</v>
      </c>
      <c r="D92">
        <v>75</v>
      </c>
      <c r="E92">
        <v>100</v>
      </c>
      <c r="J92" t="s">
        <v>69</v>
      </c>
      <c r="K92">
        <f>C92</f>
        <v>50</v>
      </c>
      <c r="L92">
        <f>D92</f>
        <v>75</v>
      </c>
      <c r="M92">
        <f>E92</f>
        <v>100</v>
      </c>
    </row>
    <row r="93" spans="2:17" x14ac:dyDescent="0.25">
      <c r="B93">
        <v>0</v>
      </c>
      <c r="C93">
        <v>0</v>
      </c>
      <c r="D93">
        <v>0</v>
      </c>
      <c r="E93">
        <v>0</v>
      </c>
      <c r="J93">
        <f>B93</f>
        <v>0</v>
      </c>
      <c r="K93">
        <f t="shared" ref="K93:M104" si="43">$J93/((1/(K$89*(K$90^2)))+((1/K$90)*$J93))</f>
        <v>0</v>
      </c>
      <c r="L93">
        <f t="shared" si="43"/>
        <v>0</v>
      </c>
      <c r="M93">
        <f t="shared" si="43"/>
        <v>0</v>
      </c>
    </row>
    <row r="94" spans="2:17" x14ac:dyDescent="0.25">
      <c r="B94">
        <v>15</v>
      </c>
      <c r="C94">
        <v>2.0226443461741326</v>
      </c>
      <c r="D94">
        <v>3.5708993386624375</v>
      </c>
      <c r="E94">
        <v>3.596826794633099</v>
      </c>
      <c r="J94">
        <f t="shared" ref="J94:J103" si="44">B94</f>
        <v>15</v>
      </c>
      <c r="K94">
        <f t="shared" si="43"/>
        <v>2.8181467469546337</v>
      </c>
      <c r="L94">
        <f t="shared" si="43"/>
        <v>3.6446681891522452</v>
      </c>
      <c r="M94">
        <f t="shared" si="43"/>
        <v>4.5428199280378196</v>
      </c>
    </row>
    <row r="95" spans="2:17" x14ac:dyDescent="0.25">
      <c r="B95">
        <v>30</v>
      </c>
      <c r="C95">
        <v>4.6095419331649561</v>
      </c>
      <c r="D95">
        <v>5.8785745003446159</v>
      </c>
      <c r="E95">
        <v>7.8899920691057996</v>
      </c>
      <c r="J95">
        <f t="shared" si="44"/>
        <v>30</v>
      </c>
      <c r="K95">
        <f t="shared" si="43"/>
        <v>4.7926229230211206</v>
      </c>
      <c r="L95">
        <f t="shared" si="43"/>
        <v>6.1166828304855283</v>
      </c>
      <c r="M95">
        <f t="shared" si="43"/>
        <v>7.8213514495319387</v>
      </c>
    </row>
    <row r="96" spans="2:17" x14ac:dyDescent="0.25">
      <c r="B96">
        <v>45</v>
      </c>
      <c r="C96">
        <v>6.3992310942706405</v>
      </c>
      <c r="D96">
        <v>7.711626037840694</v>
      </c>
      <c r="E96">
        <v>10.664427842646266</v>
      </c>
      <c r="J96">
        <f t="shared" si="44"/>
        <v>45</v>
      </c>
      <c r="K96">
        <f t="shared" si="43"/>
        <v>6.2529581483015972</v>
      </c>
      <c r="L96">
        <f t="shared" si="43"/>
        <v>7.9035591616275402</v>
      </c>
      <c r="M96">
        <f t="shared" si="43"/>
        <v>10.298909420690727</v>
      </c>
    </row>
    <row r="97" spans="2:17" x14ac:dyDescent="0.25">
      <c r="B97">
        <v>60</v>
      </c>
      <c r="C97">
        <v>7.2363434229477486</v>
      </c>
      <c r="D97">
        <v>9.4207659179795442</v>
      </c>
      <c r="E97">
        <v>12.467111513684877</v>
      </c>
      <c r="J97">
        <f t="shared" si="44"/>
        <v>60</v>
      </c>
      <c r="K97">
        <f t="shared" si="43"/>
        <v>7.3768369787758319</v>
      </c>
      <c r="L97">
        <f t="shared" si="43"/>
        <v>9.2554662331608206</v>
      </c>
      <c r="M97">
        <f t="shared" si="43"/>
        <v>12.237068496736304</v>
      </c>
    </row>
    <row r="98" spans="2:17" x14ac:dyDescent="0.25">
      <c r="B98">
        <v>75</v>
      </c>
      <c r="C98">
        <v>8.4745104538383771</v>
      </c>
      <c r="D98">
        <v>10.525288693666147</v>
      </c>
      <c r="E98">
        <v>13.251315733381341</v>
      </c>
      <c r="J98">
        <f t="shared" si="44"/>
        <v>75</v>
      </c>
      <c r="K98">
        <f t="shared" si="43"/>
        <v>8.2685257611171448</v>
      </c>
      <c r="L98">
        <f t="shared" si="43"/>
        <v>10.313994003549167</v>
      </c>
      <c r="M98">
        <f t="shared" si="43"/>
        <v>13.794687745297688</v>
      </c>
    </row>
    <row r="99" spans="2:17" x14ac:dyDescent="0.25">
      <c r="B99">
        <v>90</v>
      </c>
      <c r="C99">
        <v>9.3923763542787508</v>
      </c>
      <c r="D99">
        <v>11.075731590710348</v>
      </c>
      <c r="E99">
        <v>14.923078604675776</v>
      </c>
      <c r="J99">
        <f t="shared" si="44"/>
        <v>90</v>
      </c>
      <c r="K99">
        <f t="shared" si="43"/>
        <v>8.9932422637339737</v>
      </c>
      <c r="L99">
        <f t="shared" si="43"/>
        <v>11.165294483941395</v>
      </c>
      <c r="M99">
        <f t="shared" si="43"/>
        <v>15.073821705894293</v>
      </c>
    </row>
    <row r="100" spans="2:17" x14ac:dyDescent="0.25">
      <c r="B100">
        <v>105</v>
      </c>
      <c r="C100">
        <v>9.9333482153200929</v>
      </c>
      <c r="D100">
        <v>12.099549077755157</v>
      </c>
      <c r="E100">
        <v>16.912784973512704</v>
      </c>
      <c r="J100">
        <f t="shared" si="44"/>
        <v>105</v>
      </c>
      <c r="K100">
        <f t="shared" si="43"/>
        <v>9.5938707039522644</v>
      </c>
      <c r="L100">
        <f t="shared" si="43"/>
        <v>11.864795287299122</v>
      </c>
      <c r="M100">
        <f t="shared" si="43"/>
        <v>16.143026979349326</v>
      </c>
    </row>
    <row r="101" spans="2:17" x14ac:dyDescent="0.25">
      <c r="B101">
        <v>120</v>
      </c>
      <c r="C101">
        <v>10.244364936135209</v>
      </c>
      <c r="D101">
        <v>12.552362743113735</v>
      </c>
      <c r="E101">
        <v>17.398549189487362</v>
      </c>
      <c r="J101">
        <f t="shared" si="44"/>
        <v>120</v>
      </c>
      <c r="K101">
        <f t="shared" si="43"/>
        <v>10.099767880762307</v>
      </c>
      <c r="L101">
        <f t="shared" si="43"/>
        <v>12.449774995409639</v>
      </c>
      <c r="M101">
        <f t="shared" si="43"/>
        <v>17.050063959796962</v>
      </c>
    </row>
    <row r="102" spans="2:17" x14ac:dyDescent="0.25">
      <c r="B102">
        <v>150</v>
      </c>
      <c r="C102">
        <v>10.87449072467725</v>
      </c>
      <c r="D102">
        <v>13.472827143125667</v>
      </c>
      <c r="E102">
        <v>18.359669174620318</v>
      </c>
      <c r="J102">
        <f t="shared" si="44"/>
        <v>150</v>
      </c>
      <c r="K102">
        <f t="shared" si="43"/>
        <v>10.904801854981898</v>
      </c>
      <c r="L102">
        <f t="shared" si="43"/>
        <v>13.372839885875203</v>
      </c>
      <c r="M102">
        <f t="shared" si="43"/>
        <v>18.505775577647089</v>
      </c>
    </row>
    <row r="103" spans="2:17" x14ac:dyDescent="0.25">
      <c r="B103">
        <v>180</v>
      </c>
      <c r="C103">
        <v>11.346561370782151</v>
      </c>
      <c r="D103">
        <v>13.978253365517974</v>
      </c>
      <c r="E103">
        <v>19.241658805520103</v>
      </c>
      <c r="J103">
        <f t="shared" si="44"/>
        <v>180</v>
      </c>
      <c r="K103">
        <f t="shared" si="43"/>
        <v>11.516789993604618</v>
      </c>
      <c r="L103">
        <f t="shared" si="43"/>
        <v>14.068213860701388</v>
      </c>
      <c r="M103">
        <f t="shared" si="43"/>
        <v>19.622681056917919</v>
      </c>
    </row>
    <row r="104" spans="2:17" x14ac:dyDescent="0.25">
      <c r="B104">
        <v>210</v>
      </c>
      <c r="C104">
        <v>11.624537175620635</v>
      </c>
      <c r="D104">
        <v>14.364504362880481</v>
      </c>
      <c r="E104">
        <v>20.446366594225342</v>
      </c>
      <c r="J104">
        <f>B104</f>
        <v>210</v>
      </c>
      <c r="K104">
        <f t="shared" si="43"/>
        <v>11.997736195060902</v>
      </c>
      <c r="L104">
        <f t="shared" si="43"/>
        <v>14.610893499607595</v>
      </c>
      <c r="M104">
        <f t="shared" si="43"/>
        <v>20.506732550199722</v>
      </c>
    </row>
    <row r="107" spans="2:17" x14ac:dyDescent="0.25">
      <c r="B107" t="s">
        <v>72</v>
      </c>
      <c r="J107" t="s">
        <v>25</v>
      </c>
      <c r="K107">
        <f>K109*(K110^2)</f>
        <v>7.803479592170727E-2</v>
      </c>
      <c r="L107">
        <f>L109*(L110^2)</f>
        <v>6.2389442479128795E-2</v>
      </c>
      <c r="M107">
        <f>M109*(M110^2)</f>
        <v>0.20821140563927876</v>
      </c>
      <c r="N107">
        <f>N109*(N110^2)</f>
        <v>0.55209098319150807</v>
      </c>
    </row>
    <row r="108" spans="2:17" x14ac:dyDescent="0.25">
      <c r="J108" t="s">
        <v>65</v>
      </c>
      <c r="K108">
        <f>SUMXMY2(C113:C123,K113:K123)</f>
        <v>9.6437941655974253E-3</v>
      </c>
      <c r="L108">
        <f>SUMXMY2(D113:D123,L113:L123)</f>
        <v>3.5748979228265261E-2</v>
      </c>
      <c r="M108">
        <f>SUMXMY2(E113:E123,M113:M123)</f>
        <v>0.13723378781695184</v>
      </c>
      <c r="N108">
        <f>SUMXMY2(F113:F123,N113:N123)</f>
        <v>3.9304694114230494</v>
      </c>
      <c r="Q108">
        <f>SUM(K108:O108)</f>
        <v>4.1130959726338636</v>
      </c>
    </row>
    <row r="109" spans="2:17" x14ac:dyDescent="0.25">
      <c r="J109" t="s">
        <v>27</v>
      </c>
      <c r="K109">
        <v>0.58470484666897393</v>
      </c>
      <c r="L109">
        <v>2.1968103807957027E-2</v>
      </c>
      <c r="M109">
        <v>1.408885339506308E-2</v>
      </c>
      <c r="N109">
        <v>7.0522998516945896E-3</v>
      </c>
    </row>
    <row r="110" spans="2:17" x14ac:dyDescent="0.25">
      <c r="B110" t="s">
        <v>66</v>
      </c>
      <c r="I110" t="s">
        <v>67</v>
      </c>
      <c r="J110" t="s">
        <v>26</v>
      </c>
      <c r="K110">
        <v>0.36532197981896397</v>
      </c>
      <c r="L110">
        <v>1.6852303282650856</v>
      </c>
      <c r="M110">
        <v>3.8442748735240886</v>
      </c>
      <c r="N110">
        <v>8.8478946387886737</v>
      </c>
    </row>
    <row r="111" spans="2:17" x14ac:dyDescent="0.25">
      <c r="C111" t="s">
        <v>68</v>
      </c>
    </row>
    <row r="112" spans="2:17" x14ac:dyDescent="0.25">
      <c r="B112" t="s">
        <v>69</v>
      </c>
      <c r="C112">
        <v>2.8</v>
      </c>
      <c r="D112">
        <v>14</v>
      </c>
      <c r="E112">
        <v>53</v>
      </c>
      <c r="F112">
        <v>110</v>
      </c>
      <c r="J112" t="s">
        <v>69</v>
      </c>
      <c r="K112">
        <f>C112</f>
        <v>2.8</v>
      </c>
      <c r="L112">
        <f>D112</f>
        <v>14</v>
      </c>
      <c r="M112">
        <f>E112</f>
        <v>53</v>
      </c>
      <c r="N112">
        <f>F112</f>
        <v>110</v>
      </c>
    </row>
    <row r="113" spans="2:17" x14ac:dyDescent="0.25">
      <c r="B113">
        <v>0</v>
      </c>
      <c r="C113">
        <v>0</v>
      </c>
      <c r="D113">
        <v>0</v>
      </c>
      <c r="E113">
        <v>0</v>
      </c>
      <c r="F113">
        <v>0</v>
      </c>
      <c r="J113">
        <f>B113</f>
        <v>0</v>
      </c>
      <c r="K113">
        <f t="shared" ref="K113:N120" si="45">$J113/((1/(K$109*(K$110^2)))+((1/K$110)*$J113))</f>
        <v>0</v>
      </c>
      <c r="L113">
        <f t="shared" si="45"/>
        <v>0</v>
      </c>
      <c r="M113">
        <f t="shared" si="45"/>
        <v>0</v>
      </c>
      <c r="N113">
        <f t="shared" si="45"/>
        <v>0</v>
      </c>
    </row>
    <row r="114" spans="2:17" x14ac:dyDescent="0.25">
      <c r="B114">
        <v>5</v>
      </c>
      <c r="C114">
        <v>0.15</v>
      </c>
      <c r="D114">
        <v>0.25</v>
      </c>
      <c r="E114">
        <v>0.9</v>
      </c>
      <c r="F114">
        <v>3.2</v>
      </c>
      <c r="J114">
        <f t="shared" ref="J114:J122" si="46">B114</f>
        <v>5</v>
      </c>
      <c r="K114">
        <f t="shared" si="45"/>
        <v>0.18866961355087572</v>
      </c>
      <c r="L114">
        <f t="shared" si="45"/>
        <v>0.26322291956726607</v>
      </c>
      <c r="M114">
        <f t="shared" si="45"/>
        <v>0.81920930980996809</v>
      </c>
      <c r="N114">
        <f t="shared" si="45"/>
        <v>2.1040212595538548</v>
      </c>
    </row>
    <row r="115" spans="2:17" x14ac:dyDescent="0.25">
      <c r="B115">
        <v>10</v>
      </c>
      <c r="C115">
        <v>0.3</v>
      </c>
      <c r="D115">
        <v>0.4</v>
      </c>
      <c r="E115">
        <v>1.6</v>
      </c>
      <c r="F115">
        <v>3.9</v>
      </c>
      <c r="J115">
        <f t="shared" si="46"/>
        <v>10</v>
      </c>
      <c r="K115">
        <f t="shared" si="45"/>
        <v>0.2488310565682933</v>
      </c>
      <c r="L115">
        <f t="shared" si="45"/>
        <v>0.4553265495517862</v>
      </c>
      <c r="M115">
        <f t="shared" si="45"/>
        <v>1.3506063887228505</v>
      </c>
      <c r="N115">
        <f t="shared" si="45"/>
        <v>3.399616760227556</v>
      </c>
    </row>
    <row r="116" spans="2:17" x14ac:dyDescent="0.25">
      <c r="B116">
        <v>15</v>
      </c>
      <c r="C116">
        <v>0.3</v>
      </c>
      <c r="D116">
        <v>0.5</v>
      </c>
      <c r="E116">
        <v>1.7</v>
      </c>
      <c r="F116">
        <v>4.4000000000000004</v>
      </c>
      <c r="J116">
        <f t="shared" si="46"/>
        <v>15</v>
      </c>
      <c r="K116">
        <f t="shared" si="45"/>
        <v>0.27842503194640283</v>
      </c>
      <c r="L116">
        <f t="shared" si="45"/>
        <v>0.60170370376255111</v>
      </c>
      <c r="M116">
        <f t="shared" si="45"/>
        <v>1.7232036241662338</v>
      </c>
      <c r="N116">
        <f t="shared" si="45"/>
        <v>4.2776305210027781</v>
      </c>
    </row>
    <row r="117" spans="2:17" x14ac:dyDescent="0.25">
      <c r="B117">
        <v>30</v>
      </c>
      <c r="C117">
        <v>0.3</v>
      </c>
      <c r="D117">
        <v>1</v>
      </c>
      <c r="E117">
        <v>2.2000000000000002</v>
      </c>
      <c r="F117">
        <v>5</v>
      </c>
      <c r="J117">
        <f t="shared" si="46"/>
        <v>30</v>
      </c>
      <c r="K117">
        <f t="shared" si="45"/>
        <v>0.31600856250309467</v>
      </c>
      <c r="L117">
        <f t="shared" si="45"/>
        <v>0.8867849408940256</v>
      </c>
      <c r="M117">
        <f t="shared" si="45"/>
        <v>2.3797014742296971</v>
      </c>
      <c r="N117">
        <f t="shared" si="45"/>
        <v>5.7670872125471035</v>
      </c>
    </row>
    <row r="118" spans="2:17" x14ac:dyDescent="0.25">
      <c r="B118">
        <v>45</v>
      </c>
      <c r="C118">
        <v>0.3</v>
      </c>
      <c r="D118">
        <v>1.1000000000000001</v>
      </c>
      <c r="E118">
        <v>2.6</v>
      </c>
      <c r="F118">
        <v>5.8</v>
      </c>
      <c r="J118">
        <f t="shared" si="46"/>
        <v>45</v>
      </c>
      <c r="K118">
        <f t="shared" si="45"/>
        <v>0.33089742178394338</v>
      </c>
      <c r="L118">
        <f t="shared" si="45"/>
        <v>1.0531012431706317</v>
      </c>
      <c r="M118">
        <f t="shared" si="45"/>
        <v>2.7258636230299644</v>
      </c>
      <c r="N118">
        <f t="shared" si="45"/>
        <v>6.5243381455124698</v>
      </c>
    </row>
    <row r="119" spans="2:17" x14ac:dyDescent="0.25">
      <c r="B119">
        <v>60</v>
      </c>
      <c r="C119">
        <v>0.3</v>
      </c>
      <c r="D119">
        <v>1.2</v>
      </c>
      <c r="E119">
        <v>2.9</v>
      </c>
      <c r="F119">
        <v>6.4</v>
      </c>
      <c r="J119">
        <f t="shared" si="46"/>
        <v>60</v>
      </c>
      <c r="K119">
        <f t="shared" si="45"/>
        <v>0.33888066517589233</v>
      </c>
      <c r="L119">
        <f t="shared" si="45"/>
        <v>1.1620746540373075</v>
      </c>
      <c r="M119">
        <f t="shared" si="45"/>
        <v>2.9396726699229903</v>
      </c>
      <c r="N119">
        <f t="shared" si="45"/>
        <v>6.9827770637509916</v>
      </c>
    </row>
    <row r="120" spans="2:17" x14ac:dyDescent="0.25">
      <c r="B120">
        <v>120</v>
      </c>
      <c r="C120">
        <v>0.4</v>
      </c>
      <c r="D120">
        <v>1.3</v>
      </c>
      <c r="E120">
        <v>3.3</v>
      </c>
      <c r="F120">
        <v>7.5</v>
      </c>
      <c r="J120">
        <f t="shared" si="46"/>
        <v>120</v>
      </c>
      <c r="K120">
        <f t="shared" si="45"/>
        <v>0.35160491487596929</v>
      </c>
      <c r="L120">
        <f t="shared" si="45"/>
        <v>1.3755909274659099</v>
      </c>
      <c r="M120">
        <f t="shared" si="45"/>
        <v>3.3316619000942844</v>
      </c>
      <c r="N120">
        <f t="shared" si="45"/>
        <v>7.805464847875947</v>
      </c>
    </row>
    <row r="121" spans="2:17" x14ac:dyDescent="0.25">
      <c r="B121">
        <v>180</v>
      </c>
      <c r="E121">
        <v>3.6</v>
      </c>
      <c r="F121">
        <v>8.8000000000000007</v>
      </c>
      <c r="J121">
        <f t="shared" si="46"/>
        <v>180</v>
      </c>
      <c r="M121">
        <f>$J121/((1/(M$109*(M$110^2)))+((1/M$110)*$J121))</f>
        <v>3.4866365201609479</v>
      </c>
      <c r="N121">
        <f>$J121/((1/(N$109*(N$110^2)))+((1/N$110)*$J121))</f>
        <v>8.1245334336529353</v>
      </c>
    </row>
    <row r="122" spans="2:17" x14ac:dyDescent="0.25">
      <c r="B122">
        <v>210</v>
      </c>
      <c r="E122">
        <v>3.6</v>
      </c>
      <c r="F122">
        <v>8.9</v>
      </c>
      <c r="J122">
        <f t="shared" si="46"/>
        <v>210</v>
      </c>
      <c r="M122">
        <f>$J122/((1/(M$109*(M$110^2)))+((1/M$110)*$J122))</f>
        <v>3.533598764958092</v>
      </c>
      <c r="N122">
        <f>$J122/((1/(N$109*(N$110^2)))+((1/N$110)*$J122))</f>
        <v>8.2205437220796433</v>
      </c>
    </row>
    <row r="125" spans="2:17" x14ac:dyDescent="0.25">
      <c r="B125" t="s">
        <v>73</v>
      </c>
      <c r="J125" t="s">
        <v>25</v>
      </c>
      <c r="K125">
        <f>K127*(K128^2)</f>
        <v>0.13079688186432556</v>
      </c>
      <c r="L125">
        <f>L127*(L128^2)</f>
        <v>0.17417777673978604</v>
      </c>
      <c r="M125">
        <f>M127*(M128^2)</f>
        <v>0.2816481262343799</v>
      </c>
    </row>
    <row r="126" spans="2:17" x14ac:dyDescent="0.25">
      <c r="J126" t="s">
        <v>65</v>
      </c>
      <c r="K126">
        <f>SUMXMY2(C131:C140,K131:K140)</f>
        <v>5.311884368186658E-4</v>
      </c>
      <c r="L126">
        <f>SUMXMY2(D131:D140,L131:L140)</f>
        <v>3.2199484371883781E-2</v>
      </c>
      <c r="M126">
        <f>SUMXMY2(E131:E140,M131:M140)</f>
        <v>5.71111698487623E-2</v>
      </c>
      <c r="Q126">
        <f>SUM(K126:O126)</f>
        <v>8.9841842657464754E-2</v>
      </c>
    </row>
    <row r="127" spans="2:17" x14ac:dyDescent="0.25">
      <c r="J127" t="s">
        <v>27</v>
      </c>
      <c r="K127">
        <v>0.18929105397543117</v>
      </c>
      <c r="L127">
        <v>0.11626536081258432</v>
      </c>
      <c r="M127">
        <v>8.3072729892275946E-2</v>
      </c>
    </row>
    <row r="128" spans="2:17" x14ac:dyDescent="0.25">
      <c r="B128" t="s">
        <v>66</v>
      </c>
      <c r="I128" t="s">
        <v>67</v>
      </c>
      <c r="J128" t="s">
        <v>26</v>
      </c>
      <c r="K128">
        <v>0.83125381343324634</v>
      </c>
      <c r="L128">
        <v>1.2239712015093263</v>
      </c>
      <c r="M128">
        <v>1.8412984688276135</v>
      </c>
    </row>
    <row r="129" spans="2:17" x14ac:dyDescent="0.25">
      <c r="C129" t="s">
        <v>68</v>
      </c>
    </row>
    <row r="130" spans="2:17" x14ac:dyDescent="0.25">
      <c r="B130" t="s">
        <v>69</v>
      </c>
      <c r="C130">
        <v>20</v>
      </c>
      <c r="D130">
        <v>50</v>
      </c>
      <c r="E130">
        <v>100</v>
      </c>
      <c r="J130" t="s">
        <v>69</v>
      </c>
      <c r="K130">
        <f>C130</f>
        <v>20</v>
      </c>
      <c r="L130">
        <f>D130</f>
        <v>50</v>
      </c>
      <c r="M130">
        <f>E130</f>
        <v>100</v>
      </c>
    </row>
    <row r="131" spans="2:17" x14ac:dyDescent="0.25">
      <c r="B131">
        <v>0</v>
      </c>
      <c r="C131">
        <v>0</v>
      </c>
      <c r="D131">
        <v>0</v>
      </c>
      <c r="E131">
        <v>0</v>
      </c>
      <c r="J131">
        <f>B131</f>
        <v>0</v>
      </c>
      <c r="K131">
        <f t="shared" ref="K131:M139" si="47">$J131/((1/(K$127*(K$128^2)))+((1/K$128)*$J131))</f>
        <v>0</v>
      </c>
      <c r="L131">
        <f t="shared" si="47"/>
        <v>0</v>
      </c>
      <c r="M131">
        <f t="shared" si="47"/>
        <v>0</v>
      </c>
    </row>
    <row r="132" spans="2:17" x14ac:dyDescent="0.25">
      <c r="B132">
        <v>10</v>
      </c>
      <c r="C132">
        <v>0.5</v>
      </c>
      <c r="D132">
        <v>0.8</v>
      </c>
      <c r="E132">
        <v>1.2</v>
      </c>
      <c r="J132">
        <f t="shared" ref="J132:J139" si="48">B132</f>
        <v>10</v>
      </c>
      <c r="K132">
        <f t="shared" si="47"/>
        <v>0.50824727265231295</v>
      </c>
      <c r="L132">
        <f t="shared" si="47"/>
        <v>0.71883556196927356</v>
      </c>
      <c r="M132">
        <f t="shared" si="47"/>
        <v>1.1134022936140537</v>
      </c>
    </row>
    <row r="133" spans="2:17" x14ac:dyDescent="0.25">
      <c r="B133">
        <v>30</v>
      </c>
      <c r="C133">
        <v>0.7</v>
      </c>
      <c r="D133">
        <v>0.9</v>
      </c>
      <c r="E133">
        <v>1.4</v>
      </c>
      <c r="J133">
        <f t="shared" si="48"/>
        <v>30</v>
      </c>
      <c r="K133">
        <f t="shared" si="47"/>
        <v>0.68594159192953741</v>
      </c>
      <c r="L133">
        <f t="shared" si="47"/>
        <v>0.99168173506158175</v>
      </c>
      <c r="M133">
        <f t="shared" si="47"/>
        <v>1.511839235760474</v>
      </c>
    </row>
    <row r="134" spans="2:17" x14ac:dyDescent="0.25">
      <c r="B134">
        <v>60</v>
      </c>
      <c r="C134">
        <v>0.75</v>
      </c>
      <c r="D134">
        <v>1</v>
      </c>
      <c r="E134">
        <v>1.5</v>
      </c>
      <c r="J134">
        <f t="shared" si="48"/>
        <v>60</v>
      </c>
      <c r="K134">
        <f t="shared" si="47"/>
        <v>0.75163892807539634</v>
      </c>
      <c r="L134">
        <f t="shared" si="47"/>
        <v>1.0956498328269044</v>
      </c>
      <c r="M134">
        <f t="shared" si="47"/>
        <v>1.6603835065349557</v>
      </c>
    </row>
    <row r="135" spans="2:17" x14ac:dyDescent="0.25">
      <c r="B135">
        <v>90</v>
      </c>
      <c r="C135">
        <v>0.77500000000000002</v>
      </c>
      <c r="D135">
        <v>1.1000000000000001</v>
      </c>
      <c r="E135">
        <v>1.8</v>
      </c>
      <c r="J135">
        <f t="shared" si="48"/>
        <v>90</v>
      </c>
      <c r="K135">
        <f t="shared" si="47"/>
        <v>0.77642683789252021</v>
      </c>
      <c r="L135">
        <f t="shared" si="47"/>
        <v>1.1353257539791208</v>
      </c>
      <c r="M135">
        <f t="shared" si="47"/>
        <v>1.716604603095913</v>
      </c>
    </row>
    <row r="136" spans="2:17" x14ac:dyDescent="0.25">
      <c r="B136">
        <v>120</v>
      </c>
      <c r="C136">
        <v>0.8</v>
      </c>
      <c r="D136">
        <v>1.2</v>
      </c>
      <c r="E136">
        <v>1.8</v>
      </c>
      <c r="J136">
        <f t="shared" si="48"/>
        <v>120</v>
      </c>
      <c r="K136">
        <f t="shared" si="47"/>
        <v>0.78944417256226251</v>
      </c>
      <c r="L136">
        <f t="shared" si="47"/>
        <v>1.1562611499618376</v>
      </c>
      <c r="M136">
        <f t="shared" si="47"/>
        <v>1.7461674873731983</v>
      </c>
    </row>
    <row r="137" spans="2:17" x14ac:dyDescent="0.25">
      <c r="B137">
        <v>150</v>
      </c>
      <c r="C137">
        <v>0.8</v>
      </c>
      <c r="D137">
        <v>1.2</v>
      </c>
      <c r="E137">
        <v>1.8</v>
      </c>
      <c r="J137">
        <f t="shared" si="48"/>
        <v>150</v>
      </c>
      <c r="K137">
        <f t="shared" si="47"/>
        <v>0.79746621724000988</v>
      </c>
      <c r="L137">
        <f t="shared" si="47"/>
        <v>1.1691971403750678</v>
      </c>
      <c r="M137">
        <f t="shared" si="47"/>
        <v>1.7643990798043734</v>
      </c>
    </row>
    <row r="138" spans="2:17" x14ac:dyDescent="0.25">
      <c r="B138">
        <v>210</v>
      </c>
      <c r="C138">
        <v>0.8</v>
      </c>
      <c r="D138">
        <v>1.2</v>
      </c>
      <c r="E138">
        <v>1.8</v>
      </c>
      <c r="J138">
        <f t="shared" si="48"/>
        <v>210</v>
      </c>
      <c r="K138">
        <f t="shared" si="47"/>
        <v>0.80683624766517936</v>
      </c>
      <c r="L138">
        <f t="shared" si="47"/>
        <v>1.1843401483169149</v>
      </c>
      <c r="M138">
        <f t="shared" si="47"/>
        <v>1.7857069896930728</v>
      </c>
    </row>
    <row r="139" spans="2:17" x14ac:dyDescent="0.25">
      <c r="B139">
        <v>240</v>
      </c>
      <c r="C139">
        <v>0.8</v>
      </c>
      <c r="D139">
        <v>1.25</v>
      </c>
      <c r="E139">
        <v>1.8</v>
      </c>
      <c r="J139">
        <f t="shared" si="48"/>
        <v>240</v>
      </c>
      <c r="K139">
        <f t="shared" si="47"/>
        <v>0.80980970496109805</v>
      </c>
      <c r="L139">
        <f t="shared" si="47"/>
        <v>1.1891531077649844</v>
      </c>
      <c r="M139">
        <f t="shared" si="47"/>
        <v>1.79247165552021</v>
      </c>
    </row>
    <row r="142" spans="2:17" x14ac:dyDescent="0.25">
      <c r="B142" t="s">
        <v>74</v>
      </c>
      <c r="J142" t="s">
        <v>25</v>
      </c>
      <c r="K142">
        <f>K144*(K145^2)</f>
        <v>9.1237785747510361E-2</v>
      </c>
      <c r="L142">
        <f>L144*(L145^2)</f>
        <v>0.12411044080398836</v>
      </c>
      <c r="M142">
        <f>M144*(M145^2)</f>
        <v>0.41880153910874385</v>
      </c>
    </row>
    <row r="143" spans="2:17" x14ac:dyDescent="0.25">
      <c r="J143" t="s">
        <v>65</v>
      </c>
      <c r="K143">
        <f>SUMXMY2(C148:C157,K148:K157)</f>
        <v>5.9301091339310323E-3</v>
      </c>
      <c r="L143">
        <f>SUMXMY2(D148:D157,L148:L157)</f>
        <v>7.1758509761122927E-2</v>
      </c>
      <c r="M143">
        <f>SUMXMY2(E148:E157,M148:M157)</f>
        <v>7.1467445148886311E-2</v>
      </c>
      <c r="Q143">
        <f>SUM(K143:O143)</f>
        <v>0.14915606404394027</v>
      </c>
    </row>
    <row r="144" spans="2:17" x14ac:dyDescent="0.25">
      <c r="J144" t="s">
        <v>27</v>
      </c>
      <c r="K144">
        <v>0.12867489007392796</v>
      </c>
      <c r="L144">
        <v>1.3938096574997536E-2</v>
      </c>
      <c r="M144">
        <v>3.5362281998325744E-2</v>
      </c>
    </row>
    <row r="145" spans="2:17" x14ac:dyDescent="0.25">
      <c r="B145" t="s">
        <v>66</v>
      </c>
      <c r="I145" t="s">
        <v>67</v>
      </c>
      <c r="J145" t="s">
        <v>26</v>
      </c>
      <c r="K145">
        <v>0.84205501256827109</v>
      </c>
      <c r="L145">
        <v>2.9840247736896277</v>
      </c>
      <c r="M145">
        <v>3.4413907968857353</v>
      </c>
    </row>
    <row r="146" spans="2:17" x14ac:dyDescent="0.25">
      <c r="C146" t="s">
        <v>68</v>
      </c>
    </row>
    <row r="147" spans="2:17" x14ac:dyDescent="0.25">
      <c r="B147" t="s">
        <v>69</v>
      </c>
      <c r="C147">
        <v>20</v>
      </c>
      <c r="D147">
        <v>50</v>
      </c>
      <c r="E147">
        <v>100</v>
      </c>
      <c r="J147" t="s">
        <v>69</v>
      </c>
      <c r="K147">
        <f>C147</f>
        <v>20</v>
      </c>
      <c r="L147">
        <f>D147</f>
        <v>50</v>
      </c>
      <c r="M147">
        <f>E147</f>
        <v>100</v>
      </c>
    </row>
    <row r="148" spans="2:17" x14ac:dyDescent="0.25">
      <c r="B148">
        <v>0</v>
      </c>
      <c r="C148">
        <v>0</v>
      </c>
      <c r="D148">
        <v>0</v>
      </c>
      <c r="E148">
        <v>0</v>
      </c>
      <c r="J148">
        <f>B148</f>
        <v>0</v>
      </c>
      <c r="K148">
        <f t="shared" ref="K148:M156" si="49">$J148/((1/(K$144*(K$145^2)))+((1/K$145)*$J148))</f>
        <v>0</v>
      </c>
      <c r="L148">
        <f t="shared" si="49"/>
        <v>0</v>
      </c>
      <c r="M148">
        <f t="shared" si="49"/>
        <v>0</v>
      </c>
    </row>
    <row r="149" spans="2:17" x14ac:dyDescent="0.25">
      <c r="B149">
        <v>10</v>
      </c>
      <c r="C149">
        <v>0.4</v>
      </c>
      <c r="D149">
        <v>0.8</v>
      </c>
      <c r="E149">
        <v>1.75</v>
      </c>
      <c r="J149">
        <f t="shared" ref="J149:J156" si="50">B149</f>
        <v>10</v>
      </c>
      <c r="K149">
        <f t="shared" si="49"/>
        <v>0.43790353074279592</v>
      </c>
      <c r="L149">
        <f t="shared" si="49"/>
        <v>0.87653800417302996</v>
      </c>
      <c r="M149">
        <f t="shared" si="49"/>
        <v>1.8890851095100718</v>
      </c>
    </row>
    <row r="150" spans="2:17" x14ac:dyDescent="0.25">
      <c r="B150">
        <v>30</v>
      </c>
      <c r="C150">
        <v>0.7</v>
      </c>
      <c r="D150">
        <v>1.8</v>
      </c>
      <c r="E150">
        <v>2.9</v>
      </c>
      <c r="J150">
        <f t="shared" si="50"/>
        <v>30</v>
      </c>
      <c r="K150">
        <f t="shared" si="49"/>
        <v>0.64394959639539773</v>
      </c>
      <c r="L150">
        <f t="shared" si="49"/>
        <v>1.6564632503398649</v>
      </c>
      <c r="M150">
        <f t="shared" si="49"/>
        <v>2.7014440750949662</v>
      </c>
    </row>
    <row r="151" spans="2:17" x14ac:dyDescent="0.25">
      <c r="B151">
        <v>60</v>
      </c>
      <c r="C151">
        <v>0.75</v>
      </c>
      <c r="D151">
        <v>2.15</v>
      </c>
      <c r="E151">
        <v>3.05</v>
      </c>
      <c r="J151">
        <f t="shared" si="50"/>
        <v>60</v>
      </c>
      <c r="K151">
        <f t="shared" si="49"/>
        <v>0.72979717857566473</v>
      </c>
      <c r="L151">
        <f t="shared" si="49"/>
        <v>2.130348079824798</v>
      </c>
      <c r="M151">
        <f t="shared" si="49"/>
        <v>3.0268515993286562</v>
      </c>
    </row>
    <row r="152" spans="2:17" x14ac:dyDescent="0.25">
      <c r="B152">
        <v>90</v>
      </c>
      <c r="C152">
        <v>0.73750000000000004</v>
      </c>
      <c r="D152">
        <v>2.15</v>
      </c>
      <c r="E152">
        <v>3.2</v>
      </c>
      <c r="J152">
        <f t="shared" si="50"/>
        <v>90</v>
      </c>
      <c r="K152">
        <f t="shared" si="49"/>
        <v>0.7637361180654807</v>
      </c>
      <c r="L152">
        <f t="shared" si="49"/>
        <v>2.3549145421403805</v>
      </c>
      <c r="M152">
        <f t="shared" si="49"/>
        <v>3.1534706788303795</v>
      </c>
    </row>
    <row r="153" spans="2:17" x14ac:dyDescent="0.25">
      <c r="B153">
        <v>120</v>
      </c>
      <c r="C153">
        <v>0.77500000000000002</v>
      </c>
      <c r="D153">
        <v>2.5</v>
      </c>
      <c r="E153">
        <v>3.2250000000000001</v>
      </c>
      <c r="J153">
        <f t="shared" si="50"/>
        <v>120</v>
      </c>
      <c r="K153">
        <f t="shared" si="49"/>
        <v>0.78191750578098373</v>
      </c>
      <c r="L153">
        <f t="shared" si="49"/>
        <v>2.4859397735974609</v>
      </c>
      <c r="M153">
        <f t="shared" si="49"/>
        <v>3.22083762462734</v>
      </c>
    </row>
    <row r="154" spans="2:17" x14ac:dyDescent="0.25">
      <c r="B154">
        <v>150</v>
      </c>
      <c r="C154">
        <v>0.8</v>
      </c>
      <c r="D154">
        <v>2.6</v>
      </c>
      <c r="E154">
        <v>3.25</v>
      </c>
      <c r="J154">
        <f t="shared" si="50"/>
        <v>150</v>
      </c>
      <c r="K154">
        <f t="shared" si="49"/>
        <v>0.79324786981732942</v>
      </c>
      <c r="L154">
        <f t="shared" si="49"/>
        <v>2.571795131752002</v>
      </c>
      <c r="M154">
        <f t="shared" si="49"/>
        <v>3.2626573110515404</v>
      </c>
    </row>
    <row r="155" spans="2:17" x14ac:dyDescent="0.25">
      <c r="B155">
        <v>210</v>
      </c>
      <c r="C155">
        <v>0.8</v>
      </c>
      <c r="D155">
        <v>2.7</v>
      </c>
      <c r="E155">
        <v>3.25</v>
      </c>
      <c r="J155">
        <f t="shared" si="50"/>
        <v>210</v>
      </c>
      <c r="K155">
        <f t="shared" si="49"/>
        <v>0.80660570759919159</v>
      </c>
      <c r="L155">
        <f t="shared" si="49"/>
        <v>2.6774754837871915</v>
      </c>
      <c r="M155">
        <f t="shared" si="49"/>
        <v>3.3118010422265844</v>
      </c>
    </row>
    <row r="156" spans="2:17" x14ac:dyDescent="0.25">
      <c r="B156">
        <v>240</v>
      </c>
      <c r="C156">
        <v>0.8</v>
      </c>
      <c r="D156">
        <v>2.75</v>
      </c>
      <c r="E156">
        <v>3.25</v>
      </c>
      <c r="J156">
        <f t="shared" si="50"/>
        <v>240</v>
      </c>
      <c r="K156">
        <f t="shared" si="49"/>
        <v>0.81087277982638484</v>
      </c>
      <c r="L156">
        <f t="shared" si="49"/>
        <v>2.7123049175864695</v>
      </c>
      <c r="M156">
        <f t="shared" si="49"/>
        <v>3.3274635027114514</v>
      </c>
    </row>
    <row r="159" spans="2:17" x14ac:dyDescent="0.25">
      <c r="B159" t="s">
        <v>75</v>
      </c>
      <c r="J159" t="s">
        <v>25</v>
      </c>
      <c r="K159">
        <f>K161*(K162^2)</f>
        <v>0.8734423293268192</v>
      </c>
      <c r="L159">
        <f>L161*(L162^2)</f>
        <v>1.5498206505748102</v>
      </c>
      <c r="M159">
        <f>M161*(M162^2)</f>
        <v>4.0443916572138745</v>
      </c>
      <c r="N159">
        <f>N161*(N162^2)</f>
        <v>6.7578705044907439</v>
      </c>
    </row>
    <row r="160" spans="2:17" x14ac:dyDescent="0.25">
      <c r="J160" t="s">
        <v>65</v>
      </c>
      <c r="K160">
        <f>SUMXMY2(C165:C174,K165:K174)</f>
        <v>2.6604627223106649</v>
      </c>
      <c r="L160">
        <f>SUMXMY2(D165:D174,L165:L174)</f>
        <v>5.0108149059127367</v>
      </c>
      <c r="M160">
        <f>SUMXMY2(E165:E174,M165:M174)</f>
        <v>5.8091742822054115</v>
      </c>
      <c r="N160">
        <f>SUMXMY2(F165:F174,N165:N174)</f>
        <v>8.1804486242236987</v>
      </c>
      <c r="Q160">
        <f>SUM(K160:O160)</f>
        <v>21.660900534652512</v>
      </c>
    </row>
    <row r="161" spans="2:15" x14ac:dyDescent="0.25">
      <c r="J161" t="s">
        <v>27</v>
      </c>
      <c r="K161">
        <v>1.9634656587046565E-3</v>
      </c>
      <c r="L161">
        <v>1.1869198355723377E-3</v>
      </c>
      <c r="M161">
        <v>2.4601589634447424E-3</v>
      </c>
      <c r="N161">
        <v>2.9249026747947752E-3</v>
      </c>
    </row>
    <row r="162" spans="2:15" x14ac:dyDescent="0.25">
      <c r="B162" t="s">
        <v>66</v>
      </c>
      <c r="I162" t="s">
        <v>67</v>
      </c>
      <c r="J162" t="s">
        <v>26</v>
      </c>
      <c r="K162">
        <v>21.091402646003264</v>
      </c>
      <c r="L162">
        <v>36.135163807868572</v>
      </c>
      <c r="M162">
        <v>40.545720095317243</v>
      </c>
      <c r="N162">
        <v>48.067244103648086</v>
      </c>
    </row>
    <row r="163" spans="2:15" x14ac:dyDescent="0.25">
      <c r="C163" t="s">
        <v>68</v>
      </c>
    </row>
    <row r="164" spans="2:15" x14ac:dyDescent="0.25">
      <c r="B164" t="s">
        <v>69</v>
      </c>
      <c r="C164">
        <v>50</v>
      </c>
      <c r="D164">
        <v>100</v>
      </c>
      <c r="E164">
        <v>150</v>
      </c>
      <c r="F164">
        <v>200</v>
      </c>
      <c r="J164" t="s">
        <v>69</v>
      </c>
      <c r="K164">
        <f>C164</f>
        <v>50</v>
      </c>
      <c r="L164">
        <f>D164</f>
        <v>100</v>
      </c>
      <c r="M164">
        <f>E164</f>
        <v>150</v>
      </c>
      <c r="N164">
        <f>F164</f>
        <v>200</v>
      </c>
    </row>
    <row r="165" spans="2:15" x14ac:dyDescent="0.25">
      <c r="B165">
        <v>0</v>
      </c>
      <c r="C165">
        <v>0</v>
      </c>
      <c r="D165">
        <v>0</v>
      </c>
      <c r="E165">
        <v>0</v>
      </c>
      <c r="F165">
        <v>0</v>
      </c>
      <c r="J165">
        <f>B165</f>
        <v>0</v>
      </c>
      <c r="K165">
        <f t="shared" ref="K165:N173" si="51">$J165/((1/(K$161*(K$162^2)))+((1/K$162)*$J165))</f>
        <v>0</v>
      </c>
      <c r="L165">
        <f t="shared" si="51"/>
        <v>0</v>
      </c>
      <c r="M165">
        <f t="shared" si="51"/>
        <v>0</v>
      </c>
      <c r="N165">
        <f t="shared" si="51"/>
        <v>0</v>
      </c>
    </row>
    <row r="166" spans="2:15" x14ac:dyDescent="0.25">
      <c r="B166">
        <v>10</v>
      </c>
      <c r="C166">
        <v>6.5</v>
      </c>
      <c r="D166">
        <v>11.5</v>
      </c>
      <c r="E166">
        <v>20</v>
      </c>
      <c r="F166">
        <v>28</v>
      </c>
      <c r="J166">
        <f t="shared" ref="J166:J173" si="52">B166</f>
        <v>10</v>
      </c>
      <c r="K166">
        <f t="shared" si="51"/>
        <v>6.176567882279044</v>
      </c>
      <c r="L166">
        <f t="shared" si="51"/>
        <v>10.846284629723112</v>
      </c>
      <c r="M166">
        <f t="shared" si="51"/>
        <v>20.247377175248285</v>
      </c>
      <c r="N166">
        <f t="shared" si="51"/>
        <v>28.088507513819593</v>
      </c>
    </row>
    <row r="167" spans="2:15" x14ac:dyDescent="0.25">
      <c r="B167">
        <v>20</v>
      </c>
      <c r="C167">
        <v>8.5</v>
      </c>
      <c r="D167">
        <v>15.5</v>
      </c>
      <c r="E167">
        <v>26</v>
      </c>
      <c r="F167">
        <v>34</v>
      </c>
      <c r="J167">
        <f t="shared" si="52"/>
        <v>20</v>
      </c>
      <c r="K167">
        <f t="shared" si="51"/>
        <v>9.5549817351020341</v>
      </c>
      <c r="L167">
        <f t="shared" si="51"/>
        <v>16.684554641708811</v>
      </c>
      <c r="M167">
        <f t="shared" si="51"/>
        <v>27.00781912651167</v>
      </c>
      <c r="N167">
        <f t="shared" si="51"/>
        <v>35.457260114920636</v>
      </c>
    </row>
    <row r="168" spans="2:15" x14ac:dyDescent="0.25">
      <c r="B168">
        <v>30</v>
      </c>
      <c r="C168">
        <v>12</v>
      </c>
      <c r="D168">
        <v>20</v>
      </c>
      <c r="E168">
        <v>31</v>
      </c>
      <c r="F168">
        <v>40</v>
      </c>
      <c r="J168">
        <f t="shared" si="52"/>
        <v>30</v>
      </c>
      <c r="K168">
        <f t="shared" si="51"/>
        <v>11.685538479524714</v>
      </c>
      <c r="L168">
        <f t="shared" si="51"/>
        <v>20.332749582916218</v>
      </c>
      <c r="M168">
        <f t="shared" si="51"/>
        <v>30.390165897690093</v>
      </c>
      <c r="N168">
        <f t="shared" si="51"/>
        <v>38.855007223185218</v>
      </c>
    </row>
    <row r="169" spans="2:15" x14ac:dyDescent="0.25">
      <c r="B169">
        <v>40</v>
      </c>
      <c r="C169">
        <v>13.2</v>
      </c>
      <c r="D169">
        <v>23</v>
      </c>
      <c r="E169">
        <v>34</v>
      </c>
      <c r="F169">
        <v>42.5</v>
      </c>
      <c r="J169">
        <f t="shared" si="52"/>
        <v>40</v>
      </c>
      <c r="K169">
        <f t="shared" si="51"/>
        <v>13.151826626210028</v>
      </c>
      <c r="L169">
        <f t="shared" si="51"/>
        <v>22.828562239119837</v>
      </c>
      <c r="M169">
        <f t="shared" si="51"/>
        <v>32.420254728405055</v>
      </c>
      <c r="N169">
        <f t="shared" si="51"/>
        <v>40.810365607929874</v>
      </c>
    </row>
    <row r="170" spans="2:15" x14ac:dyDescent="0.25">
      <c r="B170">
        <v>50</v>
      </c>
      <c r="C170">
        <v>15</v>
      </c>
      <c r="D170">
        <v>26</v>
      </c>
      <c r="E170">
        <v>34.5</v>
      </c>
      <c r="F170">
        <v>42.5</v>
      </c>
      <c r="J170">
        <f t="shared" si="52"/>
        <v>50</v>
      </c>
      <c r="K170">
        <f t="shared" si="51"/>
        <v>14.222608737442426</v>
      </c>
      <c r="L170">
        <f t="shared" si="51"/>
        <v>24.643535068019638</v>
      </c>
      <c r="M170">
        <f t="shared" si="51"/>
        <v>33.773931054501574</v>
      </c>
      <c r="N170">
        <f t="shared" si="51"/>
        <v>42.0809881436412</v>
      </c>
    </row>
    <row r="171" spans="2:15" x14ac:dyDescent="0.25">
      <c r="B171">
        <v>60</v>
      </c>
      <c r="C171">
        <v>15.5</v>
      </c>
      <c r="D171">
        <v>26.5</v>
      </c>
      <c r="E171">
        <v>34.5</v>
      </c>
      <c r="F171">
        <v>43</v>
      </c>
      <c r="J171">
        <f t="shared" si="52"/>
        <v>60</v>
      </c>
      <c r="K171">
        <f t="shared" si="51"/>
        <v>15.038889459703993</v>
      </c>
      <c r="L171">
        <f t="shared" si="51"/>
        <v>26.022822262207118</v>
      </c>
      <c r="M171">
        <f t="shared" si="51"/>
        <v>34.740981743978331</v>
      </c>
      <c r="N171">
        <f t="shared" si="51"/>
        <v>42.972957748720901</v>
      </c>
    </row>
    <row r="172" spans="2:15" x14ac:dyDescent="0.25">
      <c r="B172">
        <v>70</v>
      </c>
      <c r="C172">
        <v>15.5</v>
      </c>
      <c r="D172">
        <v>27</v>
      </c>
      <c r="E172">
        <v>35</v>
      </c>
      <c r="F172">
        <v>43</v>
      </c>
      <c r="J172">
        <f t="shared" si="52"/>
        <v>70</v>
      </c>
      <c r="K172">
        <f t="shared" si="51"/>
        <v>15.681765433269042</v>
      </c>
      <c r="L172">
        <f t="shared" si="51"/>
        <v>27.106492085603026</v>
      </c>
      <c r="M172">
        <f t="shared" si="51"/>
        <v>35.466345806361147</v>
      </c>
      <c r="N172">
        <f t="shared" si="51"/>
        <v>43.633585776279652</v>
      </c>
    </row>
    <row r="173" spans="2:15" x14ac:dyDescent="0.25">
      <c r="B173">
        <v>80</v>
      </c>
      <c r="C173">
        <v>15.5</v>
      </c>
      <c r="D173">
        <v>27</v>
      </c>
      <c r="E173">
        <v>35</v>
      </c>
      <c r="F173">
        <v>43</v>
      </c>
      <c r="J173">
        <f t="shared" si="52"/>
        <v>80</v>
      </c>
      <c r="K173">
        <f t="shared" si="51"/>
        <v>16.201186441777043</v>
      </c>
      <c r="L173">
        <f t="shared" si="51"/>
        <v>27.980383578586654</v>
      </c>
      <c r="M173">
        <f t="shared" si="51"/>
        <v>36.030562925047988</v>
      </c>
      <c r="N173">
        <f t="shared" si="51"/>
        <v>44.142541906816149</v>
      </c>
    </row>
    <row r="176" spans="2:15" x14ac:dyDescent="0.25">
      <c r="B176" t="s">
        <v>76</v>
      </c>
      <c r="J176" t="s">
        <v>25</v>
      </c>
      <c r="K176">
        <f>K178*(K179^2)</f>
        <v>0.27279296790954422</v>
      </c>
      <c r="L176">
        <f>L178*(L179^2)</f>
        <v>0.47414922968643841</v>
      </c>
      <c r="M176">
        <f>M178*(M179^2)</f>
        <v>0.8462623766719547</v>
      </c>
      <c r="N176">
        <f>N178*(N179^2)</f>
        <v>1.3929922381320126</v>
      </c>
      <c r="O176">
        <f>O178*(O179^2)</f>
        <v>1.8716496444537458</v>
      </c>
    </row>
    <row r="177" spans="2:17" x14ac:dyDescent="0.25">
      <c r="J177" t="s">
        <v>65</v>
      </c>
      <c r="K177">
        <f>SUMXMY2(C182:C190,K182:K190)</f>
        <v>3.3189405933725782E-2</v>
      </c>
      <c r="L177">
        <f>SUMXMY2(D182:D190,L182:L190)</f>
        <v>0.43191852606165476</v>
      </c>
      <c r="M177">
        <f>SUMXMY2(E182:E190,M182:M190)</f>
        <v>0.98749932558967313</v>
      </c>
      <c r="N177">
        <f>SUMXMY2(F182:F190,N182:N190)</f>
        <v>0.66445557031163716</v>
      </c>
      <c r="O177">
        <f>SUMXMY2(G182:G190,O182:O190)</f>
        <v>1.8220957062231506</v>
      </c>
      <c r="Q177">
        <f>SUM(K177:O177)</f>
        <v>3.9391585341198416</v>
      </c>
    </row>
    <row r="178" spans="2:17" x14ac:dyDescent="0.25">
      <c r="J178" t="s">
        <v>27</v>
      </c>
      <c r="K178">
        <v>6.6415844096766492E-3</v>
      </c>
      <c r="L178">
        <v>3.3192554371461241E-3</v>
      </c>
      <c r="M178">
        <v>2.9797068725482202E-3</v>
      </c>
      <c r="N178">
        <v>2.9556572310435029E-3</v>
      </c>
      <c r="O178">
        <v>2.7968359255039076E-3</v>
      </c>
    </row>
    <row r="179" spans="2:17" x14ac:dyDescent="0.25">
      <c r="B179" t="s">
        <v>66</v>
      </c>
      <c r="I179" t="s">
        <v>67</v>
      </c>
      <c r="J179" t="s">
        <v>26</v>
      </c>
      <c r="K179">
        <v>6.4088592989863944</v>
      </c>
      <c r="L179">
        <v>11.951906500289983</v>
      </c>
      <c r="M179">
        <v>16.852554696395401</v>
      </c>
      <c r="N179">
        <v>21.709374702297012</v>
      </c>
      <c r="O179">
        <v>25.868948920295715</v>
      </c>
    </row>
    <row r="180" spans="2:17" x14ac:dyDescent="0.25">
      <c r="C180" t="s">
        <v>68</v>
      </c>
    </row>
    <row r="181" spans="2:17" x14ac:dyDescent="0.25">
      <c r="B181" t="s">
        <v>69</v>
      </c>
      <c r="C181">
        <v>100</v>
      </c>
      <c r="D181">
        <v>200</v>
      </c>
      <c r="E181">
        <v>300</v>
      </c>
      <c r="F181">
        <v>400</v>
      </c>
      <c r="G181">
        <v>500</v>
      </c>
      <c r="J181" t="s">
        <v>69</v>
      </c>
      <c r="K181">
        <f>C181</f>
        <v>100</v>
      </c>
      <c r="L181">
        <f>D181</f>
        <v>200</v>
      </c>
      <c r="M181">
        <f>E181</f>
        <v>300</v>
      </c>
      <c r="N181">
        <f>F181</f>
        <v>400</v>
      </c>
      <c r="O181">
        <f>G181</f>
        <v>500</v>
      </c>
    </row>
    <row r="182" spans="2:17" x14ac:dyDescent="0.25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J182">
        <f>B182</f>
        <v>0</v>
      </c>
      <c r="K182">
        <f t="shared" ref="K182:O188" si="53">$J182/((1/(K$178*(K$179^2)))+((1/K$179)*$J182))</f>
        <v>0</v>
      </c>
      <c r="L182">
        <f t="shared" si="53"/>
        <v>0</v>
      </c>
      <c r="M182">
        <f t="shared" si="53"/>
        <v>0</v>
      </c>
      <c r="N182">
        <f t="shared" si="53"/>
        <v>0</v>
      </c>
      <c r="O182">
        <f t="shared" si="53"/>
        <v>0</v>
      </c>
    </row>
    <row r="183" spans="2:17" x14ac:dyDescent="0.25">
      <c r="B183">
        <v>20</v>
      </c>
      <c r="C183">
        <v>3</v>
      </c>
      <c r="D183">
        <v>5</v>
      </c>
      <c r="E183">
        <v>8</v>
      </c>
      <c r="F183">
        <v>12</v>
      </c>
      <c r="G183">
        <v>15</v>
      </c>
      <c r="J183">
        <f t="shared" ref="J183:J188" si="54">B183</f>
        <v>20</v>
      </c>
      <c r="K183">
        <f t="shared" si="53"/>
        <v>2.9470429086451064</v>
      </c>
      <c r="L183">
        <f t="shared" si="53"/>
        <v>5.2876286943003521</v>
      </c>
      <c r="M183">
        <f t="shared" si="53"/>
        <v>8.4444114470946516</v>
      </c>
      <c r="N183">
        <f t="shared" si="53"/>
        <v>12.201519725921909</v>
      </c>
      <c r="O183">
        <f t="shared" si="53"/>
        <v>15.297353498213317</v>
      </c>
    </row>
    <row r="184" spans="2:17" x14ac:dyDescent="0.25">
      <c r="B184">
        <v>40</v>
      </c>
      <c r="C184">
        <v>4</v>
      </c>
      <c r="D184">
        <v>7.5</v>
      </c>
      <c r="E184">
        <v>11.8</v>
      </c>
      <c r="F184">
        <v>15.6</v>
      </c>
      <c r="G184">
        <v>19</v>
      </c>
      <c r="J184">
        <f t="shared" si="54"/>
        <v>40</v>
      </c>
      <c r="K184">
        <f t="shared" si="53"/>
        <v>4.037490544562564</v>
      </c>
      <c r="L184">
        <f t="shared" si="53"/>
        <v>7.3316644618538378</v>
      </c>
      <c r="M184">
        <f t="shared" si="53"/>
        <v>11.251144108255231</v>
      </c>
      <c r="N184">
        <f t="shared" si="53"/>
        <v>15.622552464855143</v>
      </c>
      <c r="O184">
        <f t="shared" si="53"/>
        <v>19.225746934369422</v>
      </c>
    </row>
    <row r="185" spans="2:17" x14ac:dyDescent="0.25">
      <c r="B185">
        <v>60</v>
      </c>
      <c r="C185">
        <v>4.5</v>
      </c>
      <c r="D185">
        <v>8.5</v>
      </c>
      <c r="E185">
        <v>12.5</v>
      </c>
      <c r="F185">
        <v>17.5</v>
      </c>
      <c r="G185">
        <v>22</v>
      </c>
      <c r="J185">
        <f t="shared" si="54"/>
        <v>60</v>
      </c>
      <c r="K185">
        <f t="shared" si="53"/>
        <v>4.6055273361972446</v>
      </c>
      <c r="L185">
        <f t="shared" si="53"/>
        <v>8.4161384993999242</v>
      </c>
      <c r="M185">
        <f t="shared" si="53"/>
        <v>12.65300197737694</v>
      </c>
      <c r="N185">
        <f t="shared" si="53"/>
        <v>17.233148720997111</v>
      </c>
      <c r="O185">
        <f t="shared" si="53"/>
        <v>21.025549081234132</v>
      </c>
    </row>
    <row r="186" spans="2:17" x14ac:dyDescent="0.25">
      <c r="B186">
        <v>80</v>
      </c>
      <c r="C186">
        <v>5</v>
      </c>
      <c r="D186">
        <v>9.5</v>
      </c>
      <c r="E186">
        <v>14</v>
      </c>
      <c r="F186">
        <v>18.7</v>
      </c>
      <c r="G186">
        <v>22.5</v>
      </c>
      <c r="J186">
        <f t="shared" si="54"/>
        <v>80</v>
      </c>
      <c r="K186">
        <f t="shared" si="53"/>
        <v>4.9540191949571213</v>
      </c>
      <c r="L186">
        <f t="shared" si="53"/>
        <v>9.0882926519782004</v>
      </c>
      <c r="M186">
        <f t="shared" si="53"/>
        <v>13.493634613677342</v>
      </c>
      <c r="N186">
        <f t="shared" si="53"/>
        <v>18.169747505789232</v>
      </c>
      <c r="O186">
        <f t="shared" si="53"/>
        <v>22.058020615224201</v>
      </c>
    </row>
    <row r="187" spans="2:17" x14ac:dyDescent="0.25">
      <c r="B187">
        <v>100</v>
      </c>
      <c r="C187">
        <v>5.3</v>
      </c>
      <c r="D187">
        <v>9.5</v>
      </c>
      <c r="E187">
        <v>14</v>
      </c>
      <c r="F187">
        <v>18.7</v>
      </c>
      <c r="G187">
        <v>22.5</v>
      </c>
      <c r="J187">
        <f t="shared" si="54"/>
        <v>100</v>
      </c>
      <c r="K187">
        <f t="shared" si="53"/>
        <v>5.1896332480103124</v>
      </c>
      <c r="L187">
        <f t="shared" si="53"/>
        <v>9.5457131719697443</v>
      </c>
      <c r="M187">
        <f t="shared" si="53"/>
        <v>14.053855646278436</v>
      </c>
      <c r="N187">
        <f t="shared" si="53"/>
        <v>18.782220784369031</v>
      </c>
      <c r="O187">
        <f t="shared" si="53"/>
        <v>22.727653209822655</v>
      </c>
    </row>
    <row r="188" spans="2:17" x14ac:dyDescent="0.25">
      <c r="B188">
        <v>120</v>
      </c>
      <c r="C188">
        <v>5.3</v>
      </c>
      <c r="D188">
        <v>9.5</v>
      </c>
      <c r="E188">
        <v>14</v>
      </c>
      <c r="F188">
        <v>18.7</v>
      </c>
      <c r="G188">
        <v>22.5</v>
      </c>
      <c r="J188">
        <f t="shared" si="54"/>
        <v>120</v>
      </c>
      <c r="K188">
        <f t="shared" si="53"/>
        <v>5.3595679310982591</v>
      </c>
      <c r="L188">
        <f t="shared" si="53"/>
        <v>9.8771286532261851</v>
      </c>
      <c r="M188">
        <f t="shared" si="53"/>
        <v>14.453915257724333</v>
      </c>
      <c r="N188">
        <f t="shared" si="53"/>
        <v>19.214003099796564</v>
      </c>
      <c r="O188">
        <f t="shared" si="53"/>
        <v>23.197128805424985</v>
      </c>
    </row>
    <row r="191" spans="2:17" x14ac:dyDescent="0.25">
      <c r="B191" t="s">
        <v>77</v>
      </c>
      <c r="J191" t="s">
        <v>25</v>
      </c>
      <c r="K191">
        <f>K193*(K194^2)</f>
        <v>14.703495097071185</v>
      </c>
      <c r="L191">
        <f>L193*(L194^2)</f>
        <v>17.751164725848174</v>
      </c>
      <c r="M191">
        <f>M193*(M194^2)</f>
        <v>26.785381130073443</v>
      </c>
      <c r="N191">
        <f>N193*(N194^2)</f>
        <v>30.776507298311198</v>
      </c>
      <c r="O191">
        <f>O193*(O194^2)</f>
        <v>36.794103438173735</v>
      </c>
    </row>
    <row r="192" spans="2:17" x14ac:dyDescent="0.25">
      <c r="J192" t="s">
        <v>65</v>
      </c>
      <c r="K192">
        <f>SUMXMY2(C197:C205,K197:K205)</f>
        <v>181.0534477383996</v>
      </c>
      <c r="L192">
        <f>SUMXMY2(D197:D205,L197:L205)</f>
        <v>150.10922607507487</v>
      </c>
      <c r="M192">
        <f>SUMXMY2(E197:E205,M197:M205)</f>
        <v>1352.3447340090374</v>
      </c>
      <c r="N192">
        <f>SUMXMY2(F197:F205,N197:N205)</f>
        <v>1743.6895185175829</v>
      </c>
      <c r="O192">
        <f>SUMXMY2(G197:G205,O197:O205)</f>
        <v>5490.9535908781172</v>
      </c>
      <c r="Q192">
        <f>SUM(K192:O192)</f>
        <v>8918.1505172182115</v>
      </c>
    </row>
    <row r="193" spans="2:15" x14ac:dyDescent="0.25">
      <c r="J193" t="s">
        <v>27</v>
      </c>
      <c r="K193">
        <v>5.3225908502931799E-4</v>
      </c>
      <c r="L193">
        <v>1.803779928441329E-4</v>
      </c>
      <c r="M193">
        <v>1.387029761395615E-4</v>
      </c>
      <c r="N193">
        <v>9.5620501164515943E-5</v>
      </c>
      <c r="O193">
        <v>8.0801057835394705E-5</v>
      </c>
    </row>
    <row r="194" spans="2:15" x14ac:dyDescent="0.25">
      <c r="B194" t="s">
        <v>66</v>
      </c>
      <c r="I194" t="s">
        <v>67</v>
      </c>
      <c r="J194" t="s">
        <v>26</v>
      </c>
      <c r="K194">
        <v>166.20678505583828</v>
      </c>
      <c r="L194">
        <v>313.70515262699774</v>
      </c>
      <c r="M194">
        <v>439.44651559997817</v>
      </c>
      <c r="N194">
        <v>567.32792143098266</v>
      </c>
      <c r="O194">
        <v>674.80856962135192</v>
      </c>
    </row>
    <row r="195" spans="2:15" x14ac:dyDescent="0.25">
      <c r="C195" t="s">
        <v>68</v>
      </c>
    </row>
    <row r="196" spans="2:15" x14ac:dyDescent="0.25">
      <c r="B196" t="s">
        <v>69</v>
      </c>
      <c r="C196">
        <v>10</v>
      </c>
      <c r="D196">
        <v>20</v>
      </c>
      <c r="E196">
        <v>30</v>
      </c>
      <c r="F196">
        <v>40</v>
      </c>
      <c r="G196">
        <v>50</v>
      </c>
      <c r="J196" t="s">
        <v>69</v>
      </c>
      <c r="K196">
        <f>C196</f>
        <v>10</v>
      </c>
      <c r="L196">
        <f>D196</f>
        <v>20</v>
      </c>
      <c r="M196">
        <f>E196</f>
        <v>30</v>
      </c>
      <c r="N196">
        <f>F196</f>
        <v>40</v>
      </c>
      <c r="O196">
        <f>G196</f>
        <v>50</v>
      </c>
    </row>
    <row r="197" spans="2:15" x14ac:dyDescent="0.25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J197">
        <f>B197</f>
        <v>0</v>
      </c>
      <c r="K197">
        <f t="shared" ref="K197:O205" si="55">$J197/((1/(K$193*(K$194^2)))+((1/K$194)*$J197))</f>
        <v>0</v>
      </c>
      <c r="L197">
        <f t="shared" si="55"/>
        <v>0</v>
      </c>
      <c r="M197">
        <f t="shared" si="55"/>
        <v>0</v>
      </c>
      <c r="N197">
        <f t="shared" si="55"/>
        <v>0</v>
      </c>
      <c r="O197">
        <f t="shared" si="55"/>
        <v>0</v>
      </c>
    </row>
    <row r="198" spans="2:15" x14ac:dyDescent="0.25">
      <c r="B198">
        <v>10</v>
      </c>
      <c r="C198">
        <v>78</v>
      </c>
      <c r="D198">
        <v>116</v>
      </c>
      <c r="E198">
        <v>186</v>
      </c>
      <c r="F198">
        <v>224</v>
      </c>
      <c r="G198">
        <v>290</v>
      </c>
      <c r="J198">
        <f t="shared" ref="J198:J203" si="56">B198</f>
        <v>10</v>
      </c>
      <c r="K198">
        <f t="shared" si="55"/>
        <v>78.0170829139239</v>
      </c>
      <c r="L198">
        <f t="shared" si="55"/>
        <v>113.36403479944966</v>
      </c>
      <c r="M198">
        <f t="shared" si="55"/>
        <v>166.41788443963918</v>
      </c>
      <c r="N198">
        <f t="shared" si="55"/>
        <v>199.525902114514</v>
      </c>
      <c r="O198">
        <f t="shared" si="55"/>
        <v>238.11062805774534</v>
      </c>
    </row>
    <row r="199" spans="2:15" x14ac:dyDescent="0.25">
      <c r="B199">
        <v>20</v>
      </c>
      <c r="C199">
        <v>104</v>
      </c>
      <c r="D199">
        <v>168</v>
      </c>
      <c r="E199">
        <v>240</v>
      </c>
      <c r="F199">
        <v>304</v>
      </c>
      <c r="G199">
        <v>350</v>
      </c>
      <c r="J199">
        <f t="shared" si="56"/>
        <v>20</v>
      </c>
      <c r="K199">
        <f t="shared" si="55"/>
        <v>106.18919959259287</v>
      </c>
      <c r="L199">
        <f t="shared" si="55"/>
        <v>166.54388977803978</v>
      </c>
      <c r="M199">
        <f t="shared" si="55"/>
        <v>241.41296120299259</v>
      </c>
      <c r="N199">
        <f t="shared" si="55"/>
        <v>295.22344896166021</v>
      </c>
      <c r="O199">
        <f t="shared" si="55"/>
        <v>352.01164076685268</v>
      </c>
    </row>
    <row r="200" spans="2:15" x14ac:dyDescent="0.25">
      <c r="B200">
        <v>30</v>
      </c>
      <c r="C200">
        <v>118</v>
      </c>
      <c r="D200">
        <v>192</v>
      </c>
      <c r="E200">
        <v>282</v>
      </c>
      <c r="F200">
        <v>336</v>
      </c>
      <c r="G200">
        <v>390</v>
      </c>
      <c r="J200">
        <f t="shared" si="56"/>
        <v>30</v>
      </c>
      <c r="K200">
        <f t="shared" si="55"/>
        <v>120.71993173119577</v>
      </c>
      <c r="L200">
        <f t="shared" si="55"/>
        <v>197.41318840114877</v>
      </c>
      <c r="M200">
        <f t="shared" si="55"/>
        <v>284.08689770670344</v>
      </c>
      <c r="N200">
        <f t="shared" si="55"/>
        <v>351.40414987791291</v>
      </c>
      <c r="O200">
        <f t="shared" si="55"/>
        <v>418.78782479444959</v>
      </c>
    </row>
    <row r="201" spans="2:15" x14ac:dyDescent="0.25">
      <c r="B201">
        <v>40</v>
      </c>
      <c r="C201">
        <v>128</v>
      </c>
      <c r="D201">
        <v>220</v>
      </c>
      <c r="E201">
        <v>300</v>
      </c>
      <c r="F201">
        <v>376</v>
      </c>
      <c r="G201">
        <v>450</v>
      </c>
      <c r="J201">
        <f t="shared" si="56"/>
        <v>40</v>
      </c>
      <c r="K201">
        <f t="shared" si="55"/>
        <v>129.58609132742399</v>
      </c>
      <c r="L201">
        <f t="shared" si="55"/>
        <v>217.5774306608626</v>
      </c>
      <c r="M201">
        <f t="shared" si="55"/>
        <v>311.62989790337576</v>
      </c>
      <c r="N201">
        <f t="shared" si="55"/>
        <v>388.35601311690419</v>
      </c>
      <c r="O201">
        <f t="shared" si="55"/>
        <v>462.67198364967777</v>
      </c>
    </row>
    <row r="202" spans="2:15" x14ac:dyDescent="0.25">
      <c r="B202">
        <v>60</v>
      </c>
      <c r="C202">
        <v>150</v>
      </c>
      <c r="D202">
        <v>236</v>
      </c>
      <c r="E202">
        <v>330</v>
      </c>
      <c r="F202">
        <v>416</v>
      </c>
      <c r="G202">
        <v>500</v>
      </c>
      <c r="J202">
        <f t="shared" si="56"/>
        <v>60</v>
      </c>
      <c r="K202">
        <f t="shared" si="55"/>
        <v>139.85781435679132</v>
      </c>
      <c r="L202">
        <f t="shared" si="55"/>
        <v>242.32953281774039</v>
      </c>
      <c r="M202">
        <f t="shared" si="55"/>
        <v>345.08702716097599</v>
      </c>
      <c r="N202">
        <f t="shared" si="55"/>
        <v>433.99243840139911</v>
      </c>
      <c r="O202">
        <f t="shared" si="55"/>
        <v>516.82981850968054</v>
      </c>
    </row>
    <row r="203" spans="2:15" x14ac:dyDescent="0.25">
      <c r="B203">
        <v>80</v>
      </c>
      <c r="C203">
        <v>150</v>
      </c>
      <c r="D203">
        <v>260</v>
      </c>
      <c r="E203">
        <v>354</v>
      </c>
      <c r="F203">
        <v>456</v>
      </c>
      <c r="G203">
        <v>540</v>
      </c>
      <c r="J203">
        <f t="shared" si="56"/>
        <v>80</v>
      </c>
      <c r="K203">
        <f t="shared" si="55"/>
        <v>145.629522190225</v>
      </c>
      <c r="L203">
        <f t="shared" si="55"/>
        <v>256.94484720826546</v>
      </c>
      <c r="M203">
        <f t="shared" si="55"/>
        <v>364.66242403125045</v>
      </c>
      <c r="N203">
        <f t="shared" si="55"/>
        <v>461.08384107360297</v>
      </c>
      <c r="O203">
        <f t="shared" si="55"/>
        <v>548.95886983330342</v>
      </c>
    </row>
    <row r="204" spans="2:15" x14ac:dyDescent="0.25">
      <c r="B204">
        <v>120</v>
      </c>
      <c r="C204">
        <v>150</v>
      </c>
      <c r="D204">
        <v>280</v>
      </c>
      <c r="E204">
        <v>408</v>
      </c>
      <c r="F204">
        <v>504</v>
      </c>
      <c r="G204">
        <v>580</v>
      </c>
      <c r="J204">
        <f>B204</f>
        <v>120</v>
      </c>
      <c r="K204">
        <f t="shared" si="55"/>
        <v>151.89811388699493</v>
      </c>
      <c r="L204">
        <f t="shared" si="55"/>
        <v>273.43626240803502</v>
      </c>
      <c r="M204">
        <f t="shared" si="55"/>
        <v>386.59224468838943</v>
      </c>
      <c r="N204">
        <f t="shared" si="55"/>
        <v>491.78272583261048</v>
      </c>
      <c r="O204">
        <f t="shared" si="55"/>
        <v>585.34735711758674</v>
      </c>
    </row>
    <row r="205" spans="2:15" x14ac:dyDescent="0.25">
      <c r="B205">
        <v>180</v>
      </c>
      <c r="C205">
        <v>150</v>
      </c>
      <c r="D205">
        <v>282</v>
      </c>
      <c r="E205">
        <v>408</v>
      </c>
      <c r="F205">
        <v>528</v>
      </c>
      <c r="G205">
        <v>650</v>
      </c>
      <c r="J205">
        <f>B205</f>
        <v>180</v>
      </c>
      <c r="K205">
        <f t="shared" si="55"/>
        <v>156.38584407106066</v>
      </c>
      <c r="L205">
        <f t="shared" si="55"/>
        <v>285.65918163541181</v>
      </c>
      <c r="M205">
        <f t="shared" si="55"/>
        <v>402.73866031439172</v>
      </c>
      <c r="N205">
        <f t="shared" si="55"/>
        <v>514.6251638625597</v>
      </c>
      <c r="O205">
        <f t="shared" si="55"/>
        <v>612.41032618090287</v>
      </c>
    </row>
    <row r="208" spans="2:15" x14ac:dyDescent="0.25">
      <c r="B208" t="s">
        <v>78</v>
      </c>
      <c r="J208" t="s">
        <v>25</v>
      </c>
      <c r="K208">
        <f>K210*(K211^2)</f>
        <v>1.9850970729212087</v>
      </c>
      <c r="L208">
        <f>L210*(L211^2)</f>
        <v>1.2547626873089357</v>
      </c>
      <c r="M208">
        <f>M210*(M211^2)</f>
        <v>1.0706183508560021</v>
      </c>
      <c r="N208">
        <f>N210*(N211^2)</f>
        <v>0.81022711578241291</v>
      </c>
    </row>
    <row r="209" spans="2:17" x14ac:dyDescent="0.25">
      <c r="J209" t="s">
        <v>65</v>
      </c>
      <c r="K209">
        <f>SUMXMY2(C214:C223,K214:K223)</f>
        <v>4.5428281991634663</v>
      </c>
      <c r="L209">
        <f>SUMXMY2(D214:D223,L214:L223)</f>
        <v>4.3358122078321815</v>
      </c>
      <c r="M209">
        <f>SUMXMY2(E214:E223,M214:M223)</f>
        <v>3.8112895411477288</v>
      </c>
      <c r="N209">
        <f>SUMXMY2(F214:F223,N214:N223)</f>
        <v>3.0799944057081836</v>
      </c>
      <c r="Q209">
        <f>SUM(K209:O209)</f>
        <v>15.769924353851561</v>
      </c>
    </row>
    <row r="210" spans="2:17" x14ac:dyDescent="0.25">
      <c r="J210" t="s">
        <v>27</v>
      </c>
      <c r="K210">
        <v>8.3665185763109027E-4</v>
      </c>
      <c r="L210">
        <v>8.1054834587638322E-4</v>
      </c>
      <c r="M210">
        <v>1.2077856542706774E-3</v>
      </c>
      <c r="N210">
        <v>2.1049856934183954E-3</v>
      </c>
    </row>
    <row r="211" spans="2:17" x14ac:dyDescent="0.25">
      <c r="B211" t="s">
        <v>66</v>
      </c>
      <c r="I211" t="s">
        <v>67</v>
      </c>
      <c r="J211" t="s">
        <v>26</v>
      </c>
      <c r="K211">
        <v>48.710039826459798</v>
      </c>
      <c r="L211">
        <v>39.345161827746772</v>
      </c>
      <c r="M211">
        <v>29.772987021980846</v>
      </c>
      <c r="N211">
        <v>19.619087880629372</v>
      </c>
    </row>
    <row r="212" spans="2:17" x14ac:dyDescent="0.25">
      <c r="C212" t="s">
        <v>79</v>
      </c>
    </row>
    <row r="213" spans="2:17" x14ac:dyDescent="0.25">
      <c r="B213" t="s">
        <v>69</v>
      </c>
      <c r="C213">
        <v>1</v>
      </c>
      <c r="D213">
        <v>1.5</v>
      </c>
      <c r="E213">
        <v>2</v>
      </c>
      <c r="F213">
        <v>3</v>
      </c>
      <c r="J213" t="s">
        <v>69</v>
      </c>
      <c r="K213">
        <f>C213</f>
        <v>1</v>
      </c>
      <c r="L213">
        <f>D213</f>
        <v>1.5</v>
      </c>
      <c r="M213">
        <f>E213</f>
        <v>2</v>
      </c>
      <c r="N213">
        <f>F213</f>
        <v>3</v>
      </c>
    </row>
    <row r="214" spans="2:17" x14ac:dyDescent="0.25">
      <c r="B214">
        <v>0</v>
      </c>
      <c r="C214">
        <v>0</v>
      </c>
      <c r="D214">
        <v>0</v>
      </c>
      <c r="E214">
        <v>0</v>
      </c>
      <c r="F214">
        <v>0</v>
      </c>
      <c r="J214">
        <f>B214</f>
        <v>0</v>
      </c>
      <c r="K214">
        <f t="shared" ref="K214:N223" si="57">$J214/((1/(K$210*(K$211^2)))+((1/K$211)*$J214))</f>
        <v>0</v>
      </c>
      <c r="L214">
        <f t="shared" si="57"/>
        <v>0</v>
      </c>
      <c r="M214">
        <f t="shared" si="57"/>
        <v>0</v>
      </c>
      <c r="N214">
        <f t="shared" si="57"/>
        <v>0</v>
      </c>
    </row>
    <row r="215" spans="2:17" x14ac:dyDescent="0.25">
      <c r="B215">
        <v>5</v>
      </c>
      <c r="C215">
        <v>9.25</v>
      </c>
      <c r="D215">
        <v>6.333333333333333</v>
      </c>
      <c r="E215">
        <v>5</v>
      </c>
      <c r="F215">
        <v>3.5</v>
      </c>
      <c r="J215">
        <f t="shared" ref="J215:J222" si="58">B215</f>
        <v>5</v>
      </c>
      <c r="K215">
        <f t="shared" si="57"/>
        <v>8.2453561357470289</v>
      </c>
      <c r="L215">
        <f t="shared" si="57"/>
        <v>5.4109984607909727</v>
      </c>
      <c r="M215">
        <f t="shared" si="57"/>
        <v>4.5372992625457247</v>
      </c>
      <c r="N215">
        <f t="shared" si="57"/>
        <v>3.357787689451746</v>
      </c>
    </row>
    <row r="216" spans="2:17" x14ac:dyDescent="0.25">
      <c r="B216">
        <v>15</v>
      </c>
      <c r="C216">
        <v>18</v>
      </c>
      <c r="D216">
        <v>12.333333333333334</v>
      </c>
      <c r="E216">
        <v>9.625</v>
      </c>
      <c r="F216">
        <v>6.5</v>
      </c>
      <c r="J216">
        <f t="shared" si="58"/>
        <v>15</v>
      </c>
      <c r="K216">
        <f t="shared" si="57"/>
        <v>18.479769611500533</v>
      </c>
      <c r="L216">
        <f t="shared" si="57"/>
        <v>12.731233862772321</v>
      </c>
      <c r="M216">
        <f t="shared" si="57"/>
        <v>10.43222765246974</v>
      </c>
      <c r="N216">
        <f t="shared" si="57"/>
        <v>7.5045651179916923</v>
      </c>
    </row>
    <row r="217" spans="2:17" x14ac:dyDescent="0.25">
      <c r="B217">
        <v>30</v>
      </c>
      <c r="C217">
        <v>26.75</v>
      </c>
      <c r="D217">
        <v>19.333333333333332</v>
      </c>
      <c r="E217">
        <v>15</v>
      </c>
      <c r="F217">
        <v>10.833333333333334</v>
      </c>
      <c r="J217">
        <f t="shared" si="58"/>
        <v>30</v>
      </c>
      <c r="K217">
        <f t="shared" si="57"/>
        <v>26.79425113092918</v>
      </c>
      <c r="L217">
        <f t="shared" si="57"/>
        <v>19.237600834531701</v>
      </c>
      <c r="M217">
        <f t="shared" si="57"/>
        <v>15.450661364318441</v>
      </c>
      <c r="N217">
        <f t="shared" si="57"/>
        <v>10.856408062975136</v>
      </c>
    </row>
    <row r="218" spans="2:17" x14ac:dyDescent="0.25">
      <c r="B218">
        <v>50</v>
      </c>
      <c r="C218">
        <v>32</v>
      </c>
      <c r="D218">
        <v>23.666666666666668</v>
      </c>
      <c r="E218">
        <v>19.5</v>
      </c>
      <c r="F218">
        <v>13.833333333333334</v>
      </c>
      <c r="J218">
        <f t="shared" si="58"/>
        <v>50</v>
      </c>
      <c r="K218">
        <f t="shared" si="57"/>
        <v>32.674695737654389</v>
      </c>
      <c r="L218">
        <f t="shared" si="57"/>
        <v>24.180665607700167</v>
      </c>
      <c r="M218">
        <f t="shared" si="57"/>
        <v>19.132060154960939</v>
      </c>
      <c r="N218">
        <f t="shared" si="57"/>
        <v>13.217861051473358</v>
      </c>
    </row>
    <row r="219" spans="2:17" x14ac:dyDescent="0.25">
      <c r="B219">
        <v>80</v>
      </c>
      <c r="C219">
        <v>37</v>
      </c>
      <c r="D219">
        <v>27.5</v>
      </c>
      <c r="E219">
        <v>22.75</v>
      </c>
      <c r="F219">
        <v>15.833333333333334</v>
      </c>
      <c r="J219">
        <f t="shared" si="58"/>
        <v>80</v>
      </c>
      <c r="K219">
        <f t="shared" si="57"/>
        <v>37.276476463801067</v>
      </c>
      <c r="L219">
        <f t="shared" si="57"/>
        <v>28.266051280484469</v>
      </c>
      <c r="M219">
        <f t="shared" si="57"/>
        <v>22.093105706717626</v>
      </c>
      <c r="N219">
        <f t="shared" si="57"/>
        <v>15.060571625003298</v>
      </c>
    </row>
    <row r="220" spans="2:17" x14ac:dyDescent="0.25">
      <c r="B220">
        <v>100</v>
      </c>
      <c r="C220">
        <v>40.5</v>
      </c>
      <c r="D220">
        <v>31.333333333333332</v>
      </c>
      <c r="E220">
        <v>24.25</v>
      </c>
      <c r="F220">
        <v>16.333333333333332</v>
      </c>
      <c r="J220">
        <f t="shared" si="58"/>
        <v>100</v>
      </c>
      <c r="K220">
        <f t="shared" si="57"/>
        <v>39.112635057830083</v>
      </c>
      <c r="L220">
        <f t="shared" si="57"/>
        <v>29.952925915191596</v>
      </c>
      <c r="M220">
        <f t="shared" si="57"/>
        <v>23.294879018784712</v>
      </c>
      <c r="N220">
        <f t="shared" si="57"/>
        <v>15.794547666350324</v>
      </c>
    </row>
    <row r="221" spans="2:17" x14ac:dyDescent="0.25">
      <c r="B221">
        <v>130</v>
      </c>
      <c r="C221">
        <v>41.25</v>
      </c>
      <c r="D221">
        <v>32</v>
      </c>
      <c r="E221">
        <v>24.75</v>
      </c>
      <c r="F221">
        <v>16.5</v>
      </c>
      <c r="J221">
        <f t="shared" si="58"/>
        <v>130</v>
      </c>
      <c r="K221">
        <f t="shared" si="57"/>
        <v>40.975752210147384</v>
      </c>
      <c r="L221">
        <f t="shared" si="57"/>
        <v>31.699163625667126</v>
      </c>
      <c r="M221">
        <f t="shared" si="57"/>
        <v>24.526387073158446</v>
      </c>
      <c r="N221">
        <f t="shared" si="57"/>
        <v>16.538552609091163</v>
      </c>
    </row>
    <row r="222" spans="2:17" x14ac:dyDescent="0.25">
      <c r="B222">
        <v>150</v>
      </c>
      <c r="C222">
        <v>42</v>
      </c>
      <c r="D222">
        <v>32.666666666666664</v>
      </c>
      <c r="E222">
        <v>24.75</v>
      </c>
      <c r="F222">
        <v>16.5</v>
      </c>
      <c r="J222">
        <f t="shared" si="58"/>
        <v>150</v>
      </c>
      <c r="K222">
        <f t="shared" si="57"/>
        <v>41.862011212936565</v>
      </c>
      <c r="L222">
        <f t="shared" si="57"/>
        <v>32.542363800918054</v>
      </c>
      <c r="M222">
        <f t="shared" si="57"/>
        <v>25.116525424221571</v>
      </c>
      <c r="N222">
        <f t="shared" si="57"/>
        <v>16.892201552147277</v>
      </c>
    </row>
    <row r="223" spans="2:17" x14ac:dyDescent="0.25">
      <c r="B223">
        <v>180</v>
      </c>
      <c r="C223">
        <v>42</v>
      </c>
      <c r="D223">
        <v>32.833333333333336</v>
      </c>
      <c r="E223">
        <v>24.75</v>
      </c>
      <c r="F223">
        <v>16.5</v>
      </c>
      <c r="J223">
        <f>B223</f>
        <v>180</v>
      </c>
      <c r="K223">
        <f t="shared" si="57"/>
        <v>42.866426021465813</v>
      </c>
      <c r="L223">
        <f t="shared" si="57"/>
        <v>33.50795411995243</v>
      </c>
      <c r="M223">
        <f t="shared" si="57"/>
        <v>25.788747256064926</v>
      </c>
      <c r="N223">
        <f t="shared" si="57"/>
        <v>17.29279341652358</v>
      </c>
    </row>
    <row r="227" spans="2:17" x14ac:dyDescent="0.25">
      <c r="B227" t="s">
        <v>80</v>
      </c>
      <c r="J227" t="s">
        <v>25</v>
      </c>
      <c r="K227">
        <f>K229*(K230^2)</f>
        <v>2.6925133323755648</v>
      </c>
      <c r="L227">
        <f>L229*(L230^2)</f>
        <v>2.6536984843650471</v>
      </c>
      <c r="M227">
        <f>M229*(M230^2)</f>
        <v>5.1184809933086006</v>
      </c>
      <c r="N227">
        <f>N229*(N230^2)</f>
        <v>4.5841832835944762</v>
      </c>
    </row>
    <row r="228" spans="2:17" x14ac:dyDescent="0.25">
      <c r="J228" t="s">
        <v>65</v>
      </c>
      <c r="K228">
        <f>SUMXMY2(C233:C242,K233:K242)</f>
        <v>0.9291225886063762</v>
      </c>
      <c r="L228">
        <f>SUMXMY2(D233:D242,L233:L242)</f>
        <v>0.12328417094318138</v>
      </c>
      <c r="M228">
        <f>SUMXMY2(E233:E242,M233:M242)</f>
        <v>0.11405099946819304</v>
      </c>
      <c r="N228">
        <f>SUMXMY2(F233:F242,N233:N242)</f>
        <v>7.453634919913471E-2</v>
      </c>
      <c r="Q228">
        <f>SUM(K228:O228)</f>
        <v>1.2409941082168854</v>
      </c>
    </row>
    <row r="229" spans="2:17" x14ac:dyDescent="0.25">
      <c r="J229" t="s">
        <v>27</v>
      </c>
      <c r="K229">
        <v>6.2397968106441631E-2</v>
      </c>
      <c r="L229">
        <v>7.1802647252978011E-2</v>
      </c>
      <c r="M229">
        <v>0.18862010061219325</v>
      </c>
      <c r="N229">
        <v>0.2533498530379692</v>
      </c>
    </row>
    <row r="230" spans="2:17" x14ac:dyDescent="0.25">
      <c r="B230" t="s">
        <v>66</v>
      </c>
      <c r="I230" t="s">
        <v>67</v>
      </c>
      <c r="J230" t="s">
        <v>26</v>
      </c>
      <c r="K230">
        <v>6.5689159844090099</v>
      </c>
      <c r="L230">
        <v>6.0793277815588613</v>
      </c>
      <c r="M230">
        <v>5.209266324660109</v>
      </c>
      <c r="N230">
        <v>4.2537372290170259</v>
      </c>
    </row>
    <row r="231" spans="2:17" x14ac:dyDescent="0.25">
      <c r="C231" t="s">
        <v>79</v>
      </c>
    </row>
    <row r="232" spans="2:17" x14ac:dyDescent="0.25">
      <c r="B232" t="s">
        <v>69</v>
      </c>
      <c r="C232">
        <v>0.5</v>
      </c>
      <c r="D232">
        <v>1</v>
      </c>
      <c r="E232">
        <v>1.5</v>
      </c>
      <c r="F232">
        <v>2</v>
      </c>
      <c r="J232" t="s">
        <v>69</v>
      </c>
      <c r="K232">
        <f>C232</f>
        <v>0.5</v>
      </c>
      <c r="L232">
        <f>D232</f>
        <v>1</v>
      </c>
      <c r="M232">
        <f>E232</f>
        <v>1.5</v>
      </c>
      <c r="N232">
        <f>F232</f>
        <v>2</v>
      </c>
    </row>
    <row r="233" spans="2:17" x14ac:dyDescent="0.25">
      <c r="B233">
        <v>0</v>
      </c>
      <c r="C233">
        <v>0</v>
      </c>
      <c r="D233">
        <v>0</v>
      </c>
      <c r="E233">
        <v>0</v>
      </c>
      <c r="F233">
        <v>0</v>
      </c>
      <c r="J233">
        <f>B233</f>
        <v>0</v>
      </c>
      <c r="K233">
        <f t="shared" ref="K233:N242" si="59">$J233/((1/(K$229*(K$230^2)))+((1/K$230)*$J233))</f>
        <v>0</v>
      </c>
      <c r="L233">
        <f t="shared" si="59"/>
        <v>0</v>
      </c>
      <c r="M233">
        <f t="shared" si="59"/>
        <v>0</v>
      </c>
      <c r="N233">
        <f t="shared" si="59"/>
        <v>0</v>
      </c>
    </row>
    <row r="234" spans="2:17" x14ac:dyDescent="0.25">
      <c r="B234">
        <v>3</v>
      </c>
      <c r="C234">
        <v>3.0000000000000004</v>
      </c>
      <c r="D234">
        <v>3.3</v>
      </c>
      <c r="E234">
        <v>4</v>
      </c>
      <c r="F234">
        <v>3.25</v>
      </c>
      <c r="J234">
        <f t="shared" ref="J234:J242" si="60">B234</f>
        <v>3</v>
      </c>
      <c r="K234">
        <f t="shared" si="59"/>
        <v>3.622765921579969</v>
      </c>
      <c r="L234">
        <f t="shared" si="59"/>
        <v>3.4470548323777717</v>
      </c>
      <c r="M234">
        <f t="shared" si="59"/>
        <v>3.8897020536890405</v>
      </c>
      <c r="N234">
        <f t="shared" si="59"/>
        <v>3.2488504173531321</v>
      </c>
    </row>
    <row r="235" spans="2:17" x14ac:dyDescent="0.25">
      <c r="B235">
        <v>5</v>
      </c>
      <c r="C235">
        <v>4.8</v>
      </c>
      <c r="D235">
        <v>4.3999999999999995</v>
      </c>
      <c r="E235">
        <v>4.2666666666666666</v>
      </c>
      <c r="F235">
        <v>3.5</v>
      </c>
      <c r="J235">
        <f t="shared" si="60"/>
        <v>5</v>
      </c>
      <c r="K235">
        <f t="shared" si="59"/>
        <v>4.4147740283604957</v>
      </c>
      <c r="L235">
        <f t="shared" si="59"/>
        <v>4.1691267414867044</v>
      </c>
      <c r="M235">
        <f t="shared" si="59"/>
        <v>4.3282603758371971</v>
      </c>
      <c r="N235">
        <f t="shared" si="59"/>
        <v>3.5878858570518841</v>
      </c>
    </row>
    <row r="236" spans="2:17" x14ac:dyDescent="0.25">
      <c r="B236">
        <v>10</v>
      </c>
      <c r="C236">
        <v>5.8000000000000007</v>
      </c>
      <c r="D236">
        <v>4.9000000000000004</v>
      </c>
      <c r="E236">
        <v>4.4666666666666659</v>
      </c>
      <c r="F236">
        <v>4.1000000000000005</v>
      </c>
      <c r="J236">
        <f t="shared" si="60"/>
        <v>10</v>
      </c>
      <c r="K236">
        <f t="shared" si="59"/>
        <v>5.2806078191820127</v>
      </c>
      <c r="L236">
        <f t="shared" si="59"/>
        <v>4.9462068582860024</v>
      </c>
      <c r="M236">
        <f t="shared" si="59"/>
        <v>4.7280729539732285</v>
      </c>
      <c r="N236">
        <f t="shared" si="59"/>
        <v>3.8925420097578862</v>
      </c>
    </row>
    <row r="237" spans="2:17" x14ac:dyDescent="0.25">
      <c r="B237">
        <v>15</v>
      </c>
      <c r="C237">
        <v>5.8000000000000007</v>
      </c>
      <c r="D237">
        <v>5.3000000000000007</v>
      </c>
      <c r="E237">
        <v>5</v>
      </c>
      <c r="F237">
        <v>4</v>
      </c>
      <c r="J237">
        <f t="shared" si="60"/>
        <v>15</v>
      </c>
      <c r="K237">
        <f t="shared" si="59"/>
        <v>5.6499686471955792</v>
      </c>
      <c r="L237">
        <f t="shared" si="59"/>
        <v>5.2738710244091012</v>
      </c>
      <c r="M237">
        <f t="shared" si="59"/>
        <v>4.8782793712500574</v>
      </c>
      <c r="N237">
        <f t="shared" si="59"/>
        <v>4.0059263402014631</v>
      </c>
    </row>
    <row r="238" spans="2:17" x14ac:dyDescent="0.25">
      <c r="B238">
        <v>25</v>
      </c>
      <c r="C238">
        <v>6.0000000000000009</v>
      </c>
      <c r="D238">
        <v>5.4</v>
      </c>
      <c r="E238">
        <v>5.0666666666666664</v>
      </c>
      <c r="F238">
        <v>4.0500000000000007</v>
      </c>
      <c r="J238">
        <f t="shared" si="60"/>
        <v>25</v>
      </c>
      <c r="K238">
        <f t="shared" si="59"/>
        <v>5.9848656929272623</v>
      </c>
      <c r="L238">
        <f t="shared" si="59"/>
        <v>5.5690086313221858</v>
      </c>
      <c r="M238">
        <f t="shared" si="59"/>
        <v>5.0054952610517427</v>
      </c>
      <c r="N238">
        <f t="shared" si="59"/>
        <v>4.101503203521669</v>
      </c>
    </row>
    <row r="239" spans="2:17" x14ac:dyDescent="0.25">
      <c r="B239">
        <v>30</v>
      </c>
      <c r="C239">
        <v>5.8000000000000007</v>
      </c>
      <c r="D239">
        <v>5.6000000000000005</v>
      </c>
      <c r="E239">
        <v>5</v>
      </c>
      <c r="F239">
        <v>4.0500000000000007</v>
      </c>
      <c r="J239">
        <f t="shared" si="60"/>
        <v>30</v>
      </c>
      <c r="K239">
        <f t="shared" si="59"/>
        <v>6.0748866164061566</v>
      </c>
      <c r="L239">
        <f t="shared" si="59"/>
        <v>5.6480276938680811</v>
      </c>
      <c r="M239">
        <f t="shared" si="59"/>
        <v>5.0383427678032735</v>
      </c>
      <c r="N239">
        <f t="shared" si="59"/>
        <v>4.1261143065242756</v>
      </c>
    </row>
    <row r="240" spans="2:17" x14ac:dyDescent="0.25">
      <c r="B240">
        <v>35</v>
      </c>
      <c r="C240">
        <v>6.0000000000000009</v>
      </c>
      <c r="D240">
        <v>5.7000000000000011</v>
      </c>
      <c r="E240">
        <v>5.0666666666666664</v>
      </c>
      <c r="F240">
        <v>4.0500000000000007</v>
      </c>
      <c r="J240">
        <f t="shared" si="60"/>
        <v>35</v>
      </c>
      <c r="K240">
        <f t="shared" si="59"/>
        <v>6.1408632950511679</v>
      </c>
      <c r="L240">
        <f t="shared" si="59"/>
        <v>5.7058568450517013</v>
      </c>
      <c r="M240">
        <f t="shared" si="59"/>
        <v>5.0620704603479085</v>
      </c>
      <c r="N240">
        <f t="shared" si="59"/>
        <v>4.1438752757838788</v>
      </c>
    </row>
    <row r="241" spans="2:17" x14ac:dyDescent="0.25">
      <c r="B241">
        <v>45</v>
      </c>
      <c r="C241">
        <v>6.2000000000000011</v>
      </c>
      <c r="D241">
        <v>5.9</v>
      </c>
      <c r="E241">
        <v>5.0666666666666664</v>
      </c>
      <c r="F241">
        <v>4.2</v>
      </c>
      <c r="J241">
        <f t="shared" si="60"/>
        <v>45</v>
      </c>
      <c r="K241">
        <f t="shared" si="59"/>
        <v>6.2310942026714446</v>
      </c>
      <c r="L241">
        <f t="shared" si="59"/>
        <v>5.7848299722311554</v>
      </c>
      <c r="M241">
        <f t="shared" si="59"/>
        <v>5.0940572277634555</v>
      </c>
      <c r="N241">
        <f t="shared" si="59"/>
        <v>4.1677957935626253</v>
      </c>
    </row>
    <row r="242" spans="2:17" x14ac:dyDescent="0.25">
      <c r="B242">
        <v>50</v>
      </c>
      <c r="C242">
        <v>6.2000000000000011</v>
      </c>
      <c r="D242">
        <v>5.85</v>
      </c>
      <c r="E242">
        <v>5.2</v>
      </c>
      <c r="F242">
        <v>4.25</v>
      </c>
      <c r="J242">
        <f t="shared" si="60"/>
        <v>50</v>
      </c>
      <c r="K242">
        <f t="shared" si="59"/>
        <v>6.2633047037588545</v>
      </c>
      <c r="L242">
        <f t="shared" si="59"/>
        <v>5.8129895442750712</v>
      </c>
      <c r="M242">
        <f t="shared" si="59"/>
        <v>5.1053483104521185</v>
      </c>
      <c r="N242">
        <f t="shared" si="59"/>
        <v>4.1762333502236819</v>
      </c>
    </row>
    <row r="246" spans="2:17" x14ac:dyDescent="0.25">
      <c r="B246" t="s">
        <v>81</v>
      </c>
      <c r="J246" t="s">
        <v>25</v>
      </c>
      <c r="K246">
        <f t="shared" ref="K246:P246" si="61">K248*(K249^2)</f>
        <v>3.5607420792394242</v>
      </c>
      <c r="L246">
        <f t="shared" si="61"/>
        <v>2.6076505690056173</v>
      </c>
      <c r="M246">
        <f t="shared" si="61"/>
        <v>4.0993184984585156</v>
      </c>
      <c r="N246">
        <f t="shared" si="61"/>
        <v>1.2821647461641255</v>
      </c>
      <c r="O246">
        <f t="shared" si="61"/>
        <v>0.54299234311657818</v>
      </c>
      <c r="P246">
        <f t="shared" si="61"/>
        <v>0.49</v>
      </c>
    </row>
    <row r="247" spans="2:17" x14ac:dyDescent="0.25">
      <c r="J247" t="s">
        <v>65</v>
      </c>
      <c r="K247">
        <f t="shared" ref="K247:P247" si="62">SUMXMY2(C252:C261,K252:K261)</f>
        <v>63.142269868190304</v>
      </c>
      <c r="L247">
        <f t="shared" si="62"/>
        <v>12.950461808193765</v>
      </c>
      <c r="M247">
        <f t="shared" si="62"/>
        <v>11.046405147519923</v>
      </c>
      <c r="N247">
        <f t="shared" si="62"/>
        <v>4.0393545704876157</v>
      </c>
      <c r="O247">
        <f t="shared" si="62"/>
        <v>7.1993878085394272</v>
      </c>
      <c r="P247">
        <f t="shared" si="62"/>
        <v>7.0215478947905101</v>
      </c>
      <c r="Q247">
        <f>SUM(K247:O247)</f>
        <v>98.377879202931027</v>
      </c>
    </row>
    <row r="248" spans="2:17" x14ac:dyDescent="0.25">
      <c r="J248" t="s">
        <v>27</v>
      </c>
      <c r="K248">
        <v>2.9185674535064337E-3</v>
      </c>
      <c r="L248">
        <v>3.7976371079388332E-3</v>
      </c>
      <c r="M248">
        <v>4.502042829927673E-3</v>
      </c>
      <c r="N248">
        <v>1.6431925943159887E-2</v>
      </c>
      <c r="O248">
        <v>5.9437478955419593E-3</v>
      </c>
      <c r="P248">
        <v>0.01</v>
      </c>
    </row>
    <row r="249" spans="2:17" x14ac:dyDescent="0.25">
      <c r="B249" t="s">
        <v>66</v>
      </c>
      <c r="I249" t="s">
        <v>67</v>
      </c>
      <c r="J249" t="s">
        <v>26</v>
      </c>
      <c r="K249">
        <v>34.928938771591611</v>
      </c>
      <c r="L249">
        <v>26.204022645871955</v>
      </c>
      <c r="M249">
        <v>30.17525994438482</v>
      </c>
      <c r="N249">
        <v>8.8333956148046813</v>
      </c>
      <c r="O249">
        <v>9.5579919961292781</v>
      </c>
      <c r="P249">
        <v>7</v>
      </c>
    </row>
    <row r="250" spans="2:17" x14ac:dyDescent="0.25">
      <c r="C250" t="s">
        <v>79</v>
      </c>
    </row>
    <row r="251" spans="2:17" x14ac:dyDescent="0.25">
      <c r="B251" t="s">
        <v>69</v>
      </c>
      <c r="C251">
        <v>0.5</v>
      </c>
      <c r="D251">
        <v>0.8</v>
      </c>
      <c r="E251">
        <v>1</v>
      </c>
      <c r="F251">
        <v>1.5</v>
      </c>
      <c r="G251">
        <v>2</v>
      </c>
      <c r="H251">
        <v>2.5</v>
      </c>
      <c r="J251" t="s">
        <v>69</v>
      </c>
      <c r="K251">
        <f t="shared" ref="K251:P251" si="63">C251</f>
        <v>0.5</v>
      </c>
      <c r="L251">
        <f t="shared" si="63"/>
        <v>0.8</v>
      </c>
      <c r="M251">
        <f t="shared" si="63"/>
        <v>1</v>
      </c>
      <c r="N251">
        <f t="shared" si="63"/>
        <v>1.5</v>
      </c>
      <c r="O251">
        <f t="shared" si="63"/>
        <v>2</v>
      </c>
      <c r="P251">
        <f t="shared" si="63"/>
        <v>2.5</v>
      </c>
    </row>
    <row r="252" spans="2:17" x14ac:dyDescent="0.25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J252">
        <f>B252</f>
        <v>0</v>
      </c>
      <c r="K252">
        <f t="shared" ref="K252:P261" si="64">$J252/((1/(K$248*(K$249^2)))+((1/K$249)*$J252))</f>
        <v>0</v>
      </c>
      <c r="L252">
        <f t="shared" si="64"/>
        <v>0</v>
      </c>
      <c r="M252">
        <f t="shared" si="64"/>
        <v>0</v>
      </c>
      <c r="N252">
        <f t="shared" si="64"/>
        <v>0</v>
      </c>
      <c r="O252">
        <f t="shared" si="64"/>
        <v>0</v>
      </c>
      <c r="P252">
        <f t="shared" si="64"/>
        <v>0</v>
      </c>
    </row>
    <row r="253" spans="2:17" x14ac:dyDescent="0.25">
      <c r="B253">
        <v>10</v>
      </c>
      <c r="C253">
        <v>20.798439999999999</v>
      </c>
      <c r="D253">
        <v>13.518986</v>
      </c>
      <c r="E253">
        <v>17.158712999999999</v>
      </c>
      <c r="F253">
        <v>5.1996099999999998</v>
      </c>
      <c r="G253">
        <v>3.6397270000000002</v>
      </c>
      <c r="H253">
        <v>3.1197659999999998</v>
      </c>
      <c r="J253">
        <f t="shared" ref="J253:J261" si="65">B253</f>
        <v>10</v>
      </c>
      <c r="K253">
        <f t="shared" si="64"/>
        <v>17.63245832872348</v>
      </c>
      <c r="L253">
        <f t="shared" si="64"/>
        <v>13.070054327623508</v>
      </c>
      <c r="M253">
        <f t="shared" si="64"/>
        <v>17.381017866734108</v>
      </c>
      <c r="N253">
        <f t="shared" si="64"/>
        <v>5.2301297237050628</v>
      </c>
      <c r="O253">
        <f t="shared" si="64"/>
        <v>3.4627340237163229</v>
      </c>
      <c r="P253">
        <f t="shared" si="64"/>
        <v>2.8823529411764706</v>
      </c>
    </row>
    <row r="254" spans="2:17" x14ac:dyDescent="0.25">
      <c r="B254">
        <v>15</v>
      </c>
      <c r="C254">
        <v>22.358322999999999</v>
      </c>
      <c r="D254">
        <v>16.638752</v>
      </c>
      <c r="E254">
        <v>21.318400999999998</v>
      </c>
      <c r="F254">
        <v>6.2395319999999996</v>
      </c>
      <c r="G254">
        <v>4.6796489999999995</v>
      </c>
      <c r="H254">
        <v>3.6397270000000002</v>
      </c>
      <c r="J254">
        <f t="shared" si="65"/>
        <v>15</v>
      </c>
      <c r="K254">
        <f t="shared" si="64"/>
        <v>21.118322997124903</v>
      </c>
      <c r="L254">
        <f t="shared" si="64"/>
        <v>15.691719899084568</v>
      </c>
      <c r="M254">
        <f t="shared" si="64"/>
        <v>20.241850889778519</v>
      </c>
      <c r="N254">
        <f t="shared" si="64"/>
        <v>6.0531900853090432</v>
      </c>
      <c r="O254">
        <f t="shared" si="64"/>
        <v>4.39751947741079</v>
      </c>
      <c r="P254">
        <f t="shared" si="64"/>
        <v>3.5853658536585367</v>
      </c>
    </row>
    <row r="255" spans="2:17" x14ac:dyDescent="0.25">
      <c r="B255">
        <v>30</v>
      </c>
      <c r="C255">
        <v>23.398244999999999</v>
      </c>
      <c r="D255">
        <v>19.238557</v>
      </c>
      <c r="E255">
        <v>23.918206000000001</v>
      </c>
      <c r="F255">
        <v>7.2794540000000003</v>
      </c>
      <c r="G255">
        <v>6.2395319999999996</v>
      </c>
      <c r="H255">
        <v>4.1596880000000001</v>
      </c>
      <c r="J255">
        <f t="shared" si="65"/>
        <v>30</v>
      </c>
      <c r="K255">
        <f t="shared" si="64"/>
        <v>26.322092735563189</v>
      </c>
      <c r="L255">
        <f t="shared" si="64"/>
        <v>19.629019972474072</v>
      </c>
      <c r="M255">
        <f t="shared" si="64"/>
        <v>24.229992645300698</v>
      </c>
      <c r="N255">
        <f t="shared" si="64"/>
        <v>7.1836784918034766</v>
      </c>
      <c r="O255">
        <f t="shared" si="64"/>
        <v>6.0236353282511246</v>
      </c>
      <c r="P255">
        <f t="shared" si="64"/>
        <v>4.7419354838709671</v>
      </c>
    </row>
    <row r="256" spans="2:17" x14ac:dyDescent="0.25">
      <c r="B256">
        <v>60</v>
      </c>
      <c r="C256">
        <v>24.958127999999999</v>
      </c>
      <c r="D256">
        <v>20.278479000000001</v>
      </c>
      <c r="E256">
        <v>25.998049999999999</v>
      </c>
      <c r="F256">
        <v>7.7994149999999998</v>
      </c>
      <c r="G256">
        <v>7.2794540000000003</v>
      </c>
      <c r="H256">
        <v>4.6796489999999995</v>
      </c>
      <c r="J256">
        <f t="shared" si="65"/>
        <v>60</v>
      </c>
      <c r="K256">
        <f t="shared" si="64"/>
        <v>30.020809213416971</v>
      </c>
      <c r="L256">
        <f t="shared" si="64"/>
        <v>22.444911116116739</v>
      </c>
      <c r="M256">
        <f t="shared" si="64"/>
        <v>26.877784468226004</v>
      </c>
      <c r="N256">
        <f t="shared" si="64"/>
        <v>7.9235787591796685</v>
      </c>
      <c r="O256">
        <f t="shared" si="64"/>
        <v>7.3899673065522</v>
      </c>
      <c r="P256">
        <f t="shared" si="64"/>
        <v>5.6538461538461542</v>
      </c>
    </row>
    <row r="257" spans="2:17" x14ac:dyDescent="0.25">
      <c r="B257">
        <v>120</v>
      </c>
      <c r="C257">
        <v>31.197659999999999</v>
      </c>
      <c r="D257">
        <v>23.918206000000001</v>
      </c>
      <c r="E257">
        <v>27.557933000000002</v>
      </c>
      <c r="F257">
        <v>7.7994149999999998</v>
      </c>
      <c r="G257">
        <v>7.2794540000000003</v>
      </c>
      <c r="H257">
        <v>5.1996099999999998</v>
      </c>
      <c r="J257">
        <f t="shared" si="65"/>
        <v>120</v>
      </c>
      <c r="K257">
        <f t="shared" si="64"/>
        <v>32.289424960697517</v>
      </c>
      <c r="L257">
        <f t="shared" si="64"/>
        <v>24.179233281813392</v>
      </c>
      <c r="M257">
        <f t="shared" si="64"/>
        <v>28.431230669913138</v>
      </c>
      <c r="N257">
        <f t="shared" si="64"/>
        <v>8.3537880171926293</v>
      </c>
      <c r="O257">
        <f t="shared" si="64"/>
        <v>8.3353101227364288</v>
      </c>
      <c r="P257">
        <f t="shared" si="64"/>
        <v>6.2553191489361701</v>
      </c>
    </row>
    <row r="258" spans="2:17" x14ac:dyDescent="0.25">
      <c r="B258">
        <v>180</v>
      </c>
      <c r="C258">
        <v>32.757542999999998</v>
      </c>
      <c r="D258">
        <v>23.918206000000001</v>
      </c>
      <c r="E258">
        <v>27.557933000000002</v>
      </c>
      <c r="F258">
        <v>7.7994149999999998</v>
      </c>
      <c r="G258">
        <v>7.2794540000000003</v>
      </c>
      <c r="H258">
        <v>5.1996099999999998</v>
      </c>
      <c r="J258">
        <f t="shared" si="65"/>
        <v>180</v>
      </c>
      <c r="K258">
        <f t="shared" si="64"/>
        <v>33.123792399097091</v>
      </c>
      <c r="L258">
        <f t="shared" si="64"/>
        <v>24.818475924873045</v>
      </c>
      <c r="M258">
        <f t="shared" si="64"/>
        <v>28.989733946606371</v>
      </c>
      <c r="N258">
        <f t="shared" si="64"/>
        <v>8.507763843936706</v>
      </c>
      <c r="O258">
        <f t="shared" si="64"/>
        <v>8.7065652101463424</v>
      </c>
      <c r="P258">
        <f t="shared" si="64"/>
        <v>6.4852941176470589</v>
      </c>
    </row>
    <row r="259" spans="2:17" x14ac:dyDescent="0.25">
      <c r="B259">
        <v>240</v>
      </c>
      <c r="C259">
        <v>33.797465000000003</v>
      </c>
      <c r="D259">
        <v>24.438166999999996</v>
      </c>
      <c r="E259">
        <v>28.597855000000003</v>
      </c>
      <c r="F259">
        <v>8.3193760000000001</v>
      </c>
      <c r="G259">
        <v>8.3193760000000001</v>
      </c>
      <c r="H259">
        <v>5.1996099999999998</v>
      </c>
      <c r="J259">
        <f t="shared" si="65"/>
        <v>240</v>
      </c>
      <c r="K259">
        <f t="shared" si="64"/>
        <v>33.557357983718262</v>
      </c>
      <c r="L259">
        <f t="shared" si="64"/>
        <v>25.150942106077853</v>
      </c>
      <c r="M259">
        <f t="shared" si="64"/>
        <v>29.277295637766521</v>
      </c>
      <c r="N259">
        <f t="shared" si="64"/>
        <v>8.5869001016197224</v>
      </c>
      <c r="O259">
        <f t="shared" si="64"/>
        <v>8.9048770214829975</v>
      </c>
      <c r="P259">
        <f t="shared" si="64"/>
        <v>6.606741573033708</v>
      </c>
    </row>
    <row r="260" spans="2:17" x14ac:dyDescent="0.25">
      <c r="B260">
        <v>300</v>
      </c>
      <c r="C260">
        <v>35.877308999999997</v>
      </c>
      <c r="D260">
        <v>26.518011000000001</v>
      </c>
      <c r="E260">
        <v>31.197659999999999</v>
      </c>
      <c r="F260">
        <v>8.3193760000000001</v>
      </c>
      <c r="G260">
        <v>10.39922</v>
      </c>
      <c r="H260">
        <v>5.7195710000000002</v>
      </c>
      <c r="J260">
        <f t="shared" si="65"/>
        <v>300</v>
      </c>
      <c r="K260">
        <f t="shared" si="64"/>
        <v>33.822988505884965</v>
      </c>
      <c r="L260">
        <f t="shared" si="64"/>
        <v>25.354731999109127</v>
      </c>
      <c r="M260">
        <f t="shared" si="64"/>
        <v>29.452587398434662</v>
      </c>
      <c r="N260">
        <f t="shared" si="64"/>
        <v>8.6350924761976824</v>
      </c>
      <c r="O260">
        <f t="shared" si="64"/>
        <v>9.0282605133007845</v>
      </c>
      <c r="P260">
        <f t="shared" si="64"/>
        <v>6.6818181818181825</v>
      </c>
    </row>
    <row r="261" spans="2:17" x14ac:dyDescent="0.25">
      <c r="B261">
        <v>360</v>
      </c>
      <c r="C261">
        <v>37.437191999999996</v>
      </c>
      <c r="D261">
        <v>27.557933000000002</v>
      </c>
      <c r="E261">
        <v>31.197659999999999</v>
      </c>
      <c r="F261">
        <v>10.39922</v>
      </c>
      <c r="G261">
        <v>10.39922</v>
      </c>
      <c r="H261">
        <v>6.759493</v>
      </c>
      <c r="J261">
        <f t="shared" si="65"/>
        <v>360</v>
      </c>
      <c r="K261">
        <f t="shared" si="64"/>
        <v>34.002424199230418</v>
      </c>
      <c r="L261">
        <f t="shared" si="64"/>
        <v>25.492436606947813</v>
      </c>
      <c r="M261">
        <f t="shared" si="64"/>
        <v>29.570619382438647</v>
      </c>
      <c r="N261">
        <f t="shared" si="64"/>
        <v>8.6675223775698846</v>
      </c>
      <c r="O261">
        <f t="shared" si="64"/>
        <v>9.112433403396528</v>
      </c>
      <c r="P261">
        <f t="shared" si="64"/>
        <v>6.7328244274809173</v>
      </c>
    </row>
    <row r="264" spans="2:17" x14ac:dyDescent="0.25">
      <c r="B264" t="s">
        <v>82</v>
      </c>
      <c r="J264" t="s">
        <v>25</v>
      </c>
      <c r="K264">
        <f>K266*(K267^2)</f>
        <v>1.6031672400754048E-2</v>
      </c>
      <c r="L264">
        <f>L266*(L267^2)</f>
        <v>9.8576699698842946E-2</v>
      </c>
      <c r="M264">
        <f>M266*(M267^2)</f>
        <v>2.6124979495372323E-2</v>
      </c>
    </row>
    <row r="265" spans="2:17" x14ac:dyDescent="0.25">
      <c r="J265" t="s">
        <v>65</v>
      </c>
      <c r="K265">
        <f>SUMXMY2(C270:C279,K270:K279)</f>
        <v>1.3957876229268709E-2</v>
      </c>
      <c r="L265">
        <f>SUMXMY2(D270:D279,L270:L279)</f>
        <v>1.5693042228255707E-2</v>
      </c>
      <c r="M265">
        <f>SUMXMY2(E270:E279,M270:M279)</f>
        <v>3.7267876107232478E-4</v>
      </c>
      <c r="Q265">
        <f>SUM(K265:O265)</f>
        <v>3.002359721859674E-2</v>
      </c>
    </row>
    <row r="266" spans="2:17" x14ac:dyDescent="0.25">
      <c r="J266" t="s">
        <v>27</v>
      </c>
      <c r="K266">
        <v>2.6375099345025833E-2</v>
      </c>
      <c r="L266">
        <v>0.6838735600905681</v>
      </c>
      <c r="M266">
        <v>0.80619853260207808</v>
      </c>
    </row>
    <row r="267" spans="2:17" x14ac:dyDescent="0.25">
      <c r="B267" t="s">
        <v>66</v>
      </c>
      <c r="I267" t="s">
        <v>67</v>
      </c>
      <c r="J267" t="s">
        <v>26</v>
      </c>
      <c r="K267">
        <v>0.77963685836398822</v>
      </c>
      <c r="L267">
        <v>0.37966383509508883</v>
      </c>
      <c r="M267">
        <v>0.18001428816266363</v>
      </c>
    </row>
    <row r="268" spans="2:17" x14ac:dyDescent="0.25">
      <c r="C268" t="s">
        <v>79</v>
      </c>
    </row>
    <row r="269" spans="2:17" x14ac:dyDescent="0.25">
      <c r="B269" t="s">
        <v>69</v>
      </c>
      <c r="C269">
        <v>0.05</v>
      </c>
      <c r="D269">
        <v>0.1</v>
      </c>
      <c r="E269">
        <v>0.5</v>
      </c>
      <c r="J269" t="s">
        <v>69</v>
      </c>
      <c r="K269">
        <f>C269</f>
        <v>0.05</v>
      </c>
      <c r="L269">
        <f>D269</f>
        <v>0.1</v>
      </c>
      <c r="M269">
        <f>E269</f>
        <v>0.5</v>
      </c>
    </row>
    <row r="270" spans="2:17" x14ac:dyDescent="0.25">
      <c r="B270">
        <v>0</v>
      </c>
      <c r="C270">
        <v>0</v>
      </c>
      <c r="D270">
        <v>0</v>
      </c>
      <c r="E270">
        <v>0</v>
      </c>
      <c r="J270">
        <f>B270</f>
        <v>0</v>
      </c>
      <c r="K270">
        <f t="shared" ref="K270:M277" si="66">$J270/((1/(K$266*(K$267^2)))+((1/K$267)*$J270))</f>
        <v>0</v>
      </c>
      <c r="L270">
        <f t="shared" si="66"/>
        <v>0</v>
      </c>
      <c r="M270">
        <f t="shared" si="66"/>
        <v>0</v>
      </c>
    </row>
    <row r="271" spans="2:17" x14ac:dyDescent="0.25">
      <c r="B271">
        <v>2</v>
      </c>
      <c r="C271">
        <v>2.0320000000000001E-2</v>
      </c>
      <c r="D271">
        <v>0.20319999999999999</v>
      </c>
      <c r="E271">
        <v>5.0799999999999998E-2</v>
      </c>
      <c r="J271">
        <f t="shared" ref="J271:J277" si="67">B271</f>
        <v>2</v>
      </c>
      <c r="K271">
        <f t="shared" si="66"/>
        <v>3.0796795802442756E-2</v>
      </c>
      <c r="L271">
        <f t="shared" si="66"/>
        <v>0.12976730104671796</v>
      </c>
      <c r="M271">
        <f t="shared" si="66"/>
        <v>4.0495854568761348E-2</v>
      </c>
    </row>
    <row r="272" spans="2:17" x14ac:dyDescent="0.25">
      <c r="B272">
        <v>8</v>
      </c>
      <c r="C272">
        <v>0.1016</v>
      </c>
      <c r="D272">
        <v>0.23368000000000003</v>
      </c>
      <c r="E272">
        <v>0.1016</v>
      </c>
      <c r="J272">
        <f t="shared" si="67"/>
        <v>8</v>
      </c>
      <c r="K272">
        <f t="shared" si="66"/>
        <v>0.11013562818604995</v>
      </c>
      <c r="L272">
        <f t="shared" si="66"/>
        <v>0.25628164551728716</v>
      </c>
      <c r="M272">
        <f t="shared" si="66"/>
        <v>9.6713600776196354E-2</v>
      </c>
    </row>
    <row r="273" spans="2:17" x14ac:dyDescent="0.25">
      <c r="B273">
        <v>16</v>
      </c>
      <c r="C273">
        <v>0.16256000000000001</v>
      </c>
      <c r="D273">
        <v>0.24384</v>
      </c>
      <c r="E273">
        <v>0.11582400000000001</v>
      </c>
      <c r="J273">
        <f t="shared" si="67"/>
        <v>16</v>
      </c>
      <c r="K273">
        <f t="shared" si="66"/>
        <v>0.19300618180687576</v>
      </c>
      <c r="L273">
        <f t="shared" si="66"/>
        <v>0.30600381752183731</v>
      </c>
      <c r="M273">
        <f t="shared" si="66"/>
        <v>0.12582634924246131</v>
      </c>
    </row>
    <row r="274" spans="2:17" x14ac:dyDescent="0.25">
      <c r="B274">
        <v>30</v>
      </c>
      <c r="C274">
        <v>0.26416000000000006</v>
      </c>
      <c r="D274">
        <v>0.28448000000000001</v>
      </c>
      <c r="E274">
        <v>0.13817599999999999</v>
      </c>
      <c r="J274">
        <f t="shared" si="67"/>
        <v>30</v>
      </c>
      <c r="K274">
        <f t="shared" si="66"/>
        <v>0.29745386245195443</v>
      </c>
      <c r="L274">
        <f t="shared" si="66"/>
        <v>0.33646750693681815</v>
      </c>
      <c r="M274">
        <f t="shared" si="66"/>
        <v>0.1463907507232014</v>
      </c>
    </row>
    <row r="275" spans="2:17" x14ac:dyDescent="0.25">
      <c r="B275">
        <v>60</v>
      </c>
      <c r="C275">
        <v>0.52832000000000012</v>
      </c>
      <c r="D275">
        <v>0.37592000000000003</v>
      </c>
      <c r="E275">
        <v>0.16256000000000001</v>
      </c>
      <c r="J275">
        <f t="shared" si="67"/>
        <v>60</v>
      </c>
      <c r="K275">
        <f t="shared" si="66"/>
        <v>0.43061552819728471</v>
      </c>
      <c r="L275">
        <f t="shared" si="66"/>
        <v>0.35676289130443944</v>
      </c>
      <c r="M275">
        <f t="shared" si="66"/>
        <v>0.16147071059310308</v>
      </c>
    </row>
    <row r="276" spans="2:17" x14ac:dyDescent="0.25">
      <c r="B276">
        <v>90</v>
      </c>
      <c r="C276">
        <v>0.50800000000000001</v>
      </c>
      <c r="D276">
        <v>0.38608000000000003</v>
      </c>
      <c r="E276">
        <v>0.16662400000000002</v>
      </c>
      <c r="J276">
        <f t="shared" si="67"/>
        <v>90</v>
      </c>
      <c r="K276">
        <f t="shared" si="66"/>
        <v>0.50614435716359174</v>
      </c>
      <c r="L276">
        <f t="shared" si="66"/>
        <v>0.36408327121107653</v>
      </c>
      <c r="M276">
        <f t="shared" si="66"/>
        <v>0.16721231891780172</v>
      </c>
    </row>
    <row r="277" spans="2:17" x14ac:dyDescent="0.25">
      <c r="B277">
        <v>120</v>
      </c>
      <c r="C277">
        <v>0.50800000000000001</v>
      </c>
      <c r="D277">
        <v>0.41656000000000004</v>
      </c>
      <c r="E277">
        <v>0.17881600000000003</v>
      </c>
      <c r="J277">
        <f t="shared" si="67"/>
        <v>120</v>
      </c>
      <c r="K277">
        <f t="shared" si="66"/>
        <v>0.55479954643243057</v>
      </c>
      <c r="L277">
        <f t="shared" si="66"/>
        <v>0.36785728349237312</v>
      </c>
      <c r="M277">
        <f t="shared" si="66"/>
        <v>0.17023901566654726</v>
      </c>
    </row>
    <row r="281" spans="2:17" x14ac:dyDescent="0.25">
      <c r="B281" t="s">
        <v>83</v>
      </c>
      <c r="J281" t="s">
        <v>25</v>
      </c>
      <c r="K281">
        <f>K283*(K284^2)</f>
        <v>9.1858830321870755E-2</v>
      </c>
      <c r="L281">
        <f>L283*(L284^2)</f>
        <v>0.28352862827428033</v>
      </c>
      <c r="M281">
        <f>M283*(M284^2)</f>
        <v>0.29738527221051991</v>
      </c>
    </row>
    <row r="282" spans="2:17" x14ac:dyDescent="0.25">
      <c r="J282" t="s">
        <v>65</v>
      </c>
      <c r="K282">
        <f>SUMXMY2(C287:C296,K287:K296)</f>
        <v>1.0266821479795598E-2</v>
      </c>
      <c r="L282">
        <f>SUMXMY2(D287:D296,L287:L296)</f>
        <v>4.4178588399150847E-3</v>
      </c>
      <c r="M282">
        <f>SUMXMY2(E287:E296,M287:M296)</f>
        <v>3.6539222933913239E-6</v>
      </c>
      <c r="Q282">
        <f>SUM(K282:O282)</f>
        <v>1.4688334242004076E-2</v>
      </c>
    </row>
    <row r="283" spans="2:17" x14ac:dyDescent="0.25">
      <c r="J283" t="s">
        <v>27</v>
      </c>
      <c r="K283">
        <v>3.690751391403034E-2</v>
      </c>
      <c r="L283">
        <v>0.31218944796047238</v>
      </c>
      <c r="M283">
        <v>7.6468646606656794</v>
      </c>
    </row>
    <row r="284" spans="2:17" x14ac:dyDescent="0.25">
      <c r="B284" t="s">
        <v>66</v>
      </c>
      <c r="I284" t="s">
        <v>67</v>
      </c>
      <c r="J284" t="s">
        <v>26</v>
      </c>
      <c r="K284">
        <v>1.5776223834562355</v>
      </c>
      <c r="L284">
        <v>0.95299220532855233</v>
      </c>
      <c r="M284">
        <v>0.19720504740603589</v>
      </c>
    </row>
    <row r="285" spans="2:17" x14ac:dyDescent="0.25">
      <c r="C285" t="s">
        <v>79</v>
      </c>
    </row>
    <row r="286" spans="2:17" x14ac:dyDescent="0.25">
      <c r="B286" t="s">
        <v>69</v>
      </c>
      <c r="C286">
        <v>0.05</v>
      </c>
      <c r="D286">
        <v>0.1</v>
      </c>
      <c r="E286">
        <v>0.5</v>
      </c>
      <c r="J286" t="s">
        <v>69</v>
      </c>
      <c r="K286">
        <f>C286</f>
        <v>0.05</v>
      </c>
      <c r="L286">
        <f>D286</f>
        <v>0.1</v>
      </c>
      <c r="M286">
        <f>E286</f>
        <v>0.5</v>
      </c>
    </row>
    <row r="287" spans="2:17" x14ac:dyDescent="0.25">
      <c r="B287">
        <v>0</v>
      </c>
      <c r="C287">
        <v>0</v>
      </c>
      <c r="D287">
        <v>0</v>
      </c>
      <c r="E287">
        <v>0</v>
      </c>
      <c r="J287">
        <f>B287</f>
        <v>0</v>
      </c>
      <c r="K287">
        <f t="shared" ref="K287:M293" si="68">$J287/((1/(K$283*(K$284^2)))+((1/K$284)*$J287))</f>
        <v>0</v>
      </c>
      <c r="L287">
        <f t="shared" si="68"/>
        <v>0</v>
      </c>
      <c r="M287">
        <f t="shared" si="68"/>
        <v>0</v>
      </c>
    </row>
    <row r="288" spans="2:17" x14ac:dyDescent="0.25">
      <c r="B288">
        <v>8</v>
      </c>
      <c r="C288">
        <v>0.56880599999999992</v>
      </c>
      <c r="D288">
        <v>0.70610399999999995</v>
      </c>
      <c r="E288">
        <v>0.18241019999999999</v>
      </c>
      <c r="J288">
        <f t="shared" ref="J288:J293" si="69">B288</f>
        <v>8</v>
      </c>
      <c r="K288">
        <f t="shared" si="68"/>
        <v>0.5013413496259731</v>
      </c>
      <c r="L288">
        <f t="shared" si="68"/>
        <v>0.67105126487733124</v>
      </c>
      <c r="M288">
        <f t="shared" si="68"/>
        <v>0.18210974656237497</v>
      </c>
    </row>
    <row r="289" spans="2:17" x14ac:dyDescent="0.25">
      <c r="B289">
        <v>16</v>
      </c>
      <c r="C289">
        <v>0.74533199999999999</v>
      </c>
      <c r="D289">
        <v>0.74533199999999999</v>
      </c>
      <c r="E289">
        <v>0.18829439999999997</v>
      </c>
      <c r="J289">
        <f t="shared" si="69"/>
        <v>16</v>
      </c>
      <c r="K289">
        <f t="shared" si="68"/>
        <v>0.76088613027365193</v>
      </c>
      <c r="L289">
        <f t="shared" si="68"/>
        <v>0.78754865437547761</v>
      </c>
      <c r="M289">
        <f t="shared" si="68"/>
        <v>0.18935702891105877</v>
      </c>
    </row>
    <row r="290" spans="2:17" x14ac:dyDescent="0.25">
      <c r="B290">
        <v>30</v>
      </c>
      <c r="C290">
        <v>0.96108599999999988</v>
      </c>
      <c r="D290">
        <v>0.83359499999999986</v>
      </c>
      <c r="E290">
        <v>0.19417859999999998</v>
      </c>
      <c r="J290">
        <f t="shared" si="69"/>
        <v>30</v>
      </c>
      <c r="K290">
        <f t="shared" si="68"/>
        <v>1.0032697543390392</v>
      </c>
      <c r="L290">
        <f t="shared" si="68"/>
        <v>0.85697693473440817</v>
      </c>
      <c r="M290">
        <f t="shared" si="68"/>
        <v>0.19294023321896536</v>
      </c>
    </row>
    <row r="291" spans="2:17" x14ac:dyDescent="0.25">
      <c r="B291">
        <v>60</v>
      </c>
      <c r="C291">
        <v>1.1964539999999999</v>
      </c>
      <c r="D291">
        <v>0.90224399999999993</v>
      </c>
      <c r="E291">
        <v>0.19417859999999998</v>
      </c>
      <c r="J291">
        <f t="shared" si="69"/>
        <v>60</v>
      </c>
      <c r="K291">
        <f t="shared" si="68"/>
        <v>1.2265377525168457</v>
      </c>
      <c r="L291">
        <f t="shared" si="68"/>
        <v>0.9024378602607972</v>
      </c>
      <c r="M291">
        <f t="shared" si="68"/>
        <v>0.19504933022654866</v>
      </c>
    </row>
    <row r="292" spans="2:17" x14ac:dyDescent="0.25">
      <c r="B292">
        <v>90</v>
      </c>
      <c r="C292">
        <v>1.3141379999999998</v>
      </c>
      <c r="D292">
        <v>0.92185799999999996</v>
      </c>
      <c r="E292">
        <v>0.19613999999999998</v>
      </c>
      <c r="J292">
        <f t="shared" si="69"/>
        <v>90</v>
      </c>
      <c r="K292">
        <f t="shared" si="68"/>
        <v>1.3248124962464112</v>
      </c>
      <c r="L292">
        <f t="shared" si="68"/>
        <v>0.91868262354382013</v>
      </c>
      <c r="M292">
        <f t="shared" si="68"/>
        <v>0.19576264682503938</v>
      </c>
    </row>
    <row r="293" spans="2:17" x14ac:dyDescent="0.25">
      <c r="B293">
        <v>120</v>
      </c>
      <c r="C293">
        <v>1.4318219999999999</v>
      </c>
      <c r="D293">
        <v>0.95618249999999994</v>
      </c>
      <c r="E293">
        <v>0.19613999999999998</v>
      </c>
      <c r="J293">
        <f t="shared" si="69"/>
        <v>120</v>
      </c>
      <c r="K293">
        <f t="shared" si="68"/>
        <v>1.3801019333392706</v>
      </c>
      <c r="L293">
        <f t="shared" si="68"/>
        <v>0.92702631327551088</v>
      </c>
      <c r="M293">
        <f t="shared" si="68"/>
        <v>0.19612126521566101</v>
      </c>
    </row>
    <row r="296" spans="2:17" x14ac:dyDescent="0.25">
      <c r="B296" t="s">
        <v>84</v>
      </c>
      <c r="J296" t="s">
        <v>25</v>
      </c>
      <c r="K296">
        <f>K298*(K299^2)</f>
        <v>15.674070328803555</v>
      </c>
      <c r="L296">
        <f>L298*(L299^2)</f>
        <v>21.707033847861553</v>
      </c>
      <c r="M296">
        <f>M298*(M299^2)</f>
        <v>20.56419095145904</v>
      </c>
      <c r="N296">
        <f>N298*(N299^2)</f>
        <v>15.557413671646684</v>
      </c>
      <c r="O296">
        <f>O298*(O299^2)</f>
        <v>16.147656883804597</v>
      </c>
    </row>
    <row r="297" spans="2:17" x14ac:dyDescent="0.25">
      <c r="J297" t="s">
        <v>65</v>
      </c>
      <c r="K297">
        <f>SUMXMY2(C302:C311,K302:K311)</f>
        <v>54.067436016937478</v>
      </c>
      <c r="L297">
        <f>SUMXMY2(D302:D311,L302:L311)</f>
        <v>26.462839073684115</v>
      </c>
      <c r="M297">
        <f>SUMXMY2(E302:E311,M302:M311)</f>
        <v>25.564435726275256</v>
      </c>
      <c r="N297">
        <f>SUMXMY2(F302:F311,N302:N311)</f>
        <v>17.028708936788743</v>
      </c>
      <c r="O297">
        <f>SUMXMY2(G302:G311,O302:O311)</f>
        <v>16.305539516676163</v>
      </c>
      <c r="Q297">
        <f>SUM(K297:O297)</f>
        <v>139.42895927036176</v>
      </c>
    </row>
    <row r="298" spans="2:17" x14ac:dyDescent="0.25">
      <c r="J298" t="s">
        <v>27</v>
      </c>
      <c r="K298">
        <v>1.6199906232461756E-3</v>
      </c>
      <c r="L298">
        <v>6.8215211477149389E-3</v>
      </c>
      <c r="M298">
        <v>1.7328471189052314E-2</v>
      </c>
      <c r="N298">
        <v>2.0274325056051885E-2</v>
      </c>
      <c r="O298">
        <v>3.13785352026721E-2</v>
      </c>
    </row>
    <row r="299" spans="2:17" x14ac:dyDescent="0.25">
      <c r="B299" t="s">
        <v>66</v>
      </c>
      <c r="I299" t="s">
        <v>67</v>
      </c>
      <c r="J299" t="s">
        <v>26</v>
      </c>
      <c r="K299">
        <v>98.363652114164893</v>
      </c>
      <c r="L299">
        <v>56.41045812961017</v>
      </c>
      <c r="M299">
        <v>34.44892623932931</v>
      </c>
      <c r="N299">
        <v>27.701003188554427</v>
      </c>
      <c r="O299">
        <v>22.684981176132407</v>
      </c>
    </row>
    <row r="300" spans="2:17" x14ac:dyDescent="0.25">
      <c r="C300" t="s">
        <v>79</v>
      </c>
    </row>
    <row r="301" spans="2:17" x14ac:dyDescent="0.25">
      <c r="B301" t="s">
        <v>69</v>
      </c>
      <c r="C301">
        <v>0.2</v>
      </c>
      <c r="D301">
        <v>0.4</v>
      </c>
      <c r="E301">
        <v>0.6</v>
      </c>
      <c r="F301">
        <v>0.8</v>
      </c>
      <c r="G301">
        <v>1</v>
      </c>
      <c r="J301" t="s">
        <v>69</v>
      </c>
      <c r="K301">
        <f>C301</f>
        <v>0.2</v>
      </c>
      <c r="L301">
        <f>D301</f>
        <v>0.4</v>
      </c>
      <c r="M301">
        <f>E301</f>
        <v>0.6</v>
      </c>
      <c r="N301">
        <f>F301</f>
        <v>0.8</v>
      </c>
      <c r="O301">
        <f>G301</f>
        <v>1</v>
      </c>
    </row>
    <row r="302" spans="2:17" x14ac:dyDescent="0.25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J302">
        <f>B302</f>
        <v>0</v>
      </c>
      <c r="K302">
        <f t="shared" ref="K302:O309" si="70">$J302/((1/(K$298*(K$299^2)))+((1/K$299)*$J302))</f>
        <v>0</v>
      </c>
      <c r="L302">
        <f t="shared" si="70"/>
        <v>0</v>
      </c>
      <c r="M302">
        <f t="shared" si="70"/>
        <v>0</v>
      </c>
      <c r="N302">
        <f t="shared" si="70"/>
        <v>0</v>
      </c>
      <c r="O302">
        <f t="shared" si="70"/>
        <v>0</v>
      </c>
    </row>
    <row r="303" spans="2:17" x14ac:dyDescent="0.25">
      <c r="B303">
        <v>5</v>
      </c>
      <c r="C303">
        <v>41.25</v>
      </c>
      <c r="D303">
        <v>39.375</v>
      </c>
      <c r="E303">
        <v>27.083333333333332</v>
      </c>
      <c r="F303">
        <v>21.25</v>
      </c>
      <c r="G303">
        <v>18.75</v>
      </c>
      <c r="J303">
        <f t="shared" ref="J303:J308" si="71">B303</f>
        <v>5</v>
      </c>
      <c r="K303">
        <f t="shared" si="70"/>
        <v>43.618057879368465</v>
      </c>
      <c r="L303">
        <f t="shared" si="70"/>
        <v>37.118405123104473</v>
      </c>
      <c r="M303">
        <f t="shared" si="70"/>
        <v>25.803704793614404</v>
      </c>
      <c r="N303">
        <f t="shared" si="70"/>
        <v>20.426762922327203</v>
      </c>
      <c r="O303">
        <f t="shared" si="70"/>
        <v>17.709230623293674</v>
      </c>
    </row>
    <row r="304" spans="2:17" x14ac:dyDescent="0.25">
      <c r="B304">
        <v>10</v>
      </c>
      <c r="C304">
        <v>65</v>
      </c>
      <c r="D304">
        <v>43.125</v>
      </c>
      <c r="E304">
        <v>28.75</v>
      </c>
      <c r="F304">
        <v>23.4375</v>
      </c>
      <c r="G304">
        <v>19.25</v>
      </c>
      <c r="J304">
        <f t="shared" si="71"/>
        <v>10</v>
      </c>
      <c r="K304">
        <f t="shared" si="70"/>
        <v>60.436396650485733</v>
      </c>
      <c r="L304">
        <f t="shared" si="70"/>
        <v>44.77476075758932</v>
      </c>
      <c r="M304">
        <f t="shared" si="70"/>
        <v>29.50609485088313</v>
      </c>
      <c r="N304">
        <f t="shared" si="70"/>
        <v>23.514152871321198</v>
      </c>
      <c r="O304">
        <f t="shared" si="70"/>
        <v>19.890649944005709</v>
      </c>
    </row>
    <row r="305" spans="2:17" x14ac:dyDescent="0.25">
      <c r="B305">
        <v>30</v>
      </c>
      <c r="C305">
        <v>80</v>
      </c>
      <c r="D305">
        <v>48.75</v>
      </c>
      <c r="E305">
        <v>30.416666666666668</v>
      </c>
      <c r="F305">
        <v>24.0625</v>
      </c>
      <c r="G305">
        <v>19.75</v>
      </c>
      <c r="J305">
        <f t="shared" si="71"/>
        <v>30</v>
      </c>
      <c r="K305">
        <f t="shared" si="70"/>
        <v>81.347031747919758</v>
      </c>
      <c r="L305">
        <f t="shared" si="70"/>
        <v>51.913506149960924</v>
      </c>
      <c r="M305">
        <f t="shared" si="70"/>
        <v>32.627043072201914</v>
      </c>
      <c r="N305">
        <f t="shared" si="70"/>
        <v>26.149002298321914</v>
      </c>
      <c r="O305">
        <f t="shared" si="70"/>
        <v>21.670204078459804</v>
      </c>
    </row>
    <row r="306" spans="2:17" x14ac:dyDescent="0.25">
      <c r="B306">
        <v>60</v>
      </c>
      <c r="C306">
        <v>85</v>
      </c>
      <c r="D306">
        <v>53.125</v>
      </c>
      <c r="E306">
        <v>31.666666666666668</v>
      </c>
      <c r="F306">
        <v>24.6875</v>
      </c>
      <c r="G306">
        <v>19.875</v>
      </c>
      <c r="J306">
        <f t="shared" si="71"/>
        <v>60</v>
      </c>
      <c r="K306">
        <f t="shared" si="70"/>
        <v>89.049698764854355</v>
      </c>
      <c r="L306">
        <f t="shared" si="70"/>
        <v>54.068639095881259</v>
      </c>
      <c r="M306">
        <f t="shared" si="70"/>
        <v>33.513242126446009</v>
      </c>
      <c r="N306">
        <f t="shared" si="70"/>
        <v>26.90263778041259</v>
      </c>
      <c r="O306">
        <f t="shared" si="70"/>
        <v>22.16598437279271</v>
      </c>
    </row>
    <row r="307" spans="2:17" x14ac:dyDescent="0.25">
      <c r="B307">
        <v>120</v>
      </c>
      <c r="C307">
        <v>92.5</v>
      </c>
      <c r="D307">
        <v>55</v>
      </c>
      <c r="E307">
        <v>32.5</v>
      </c>
      <c r="F307">
        <v>27.1875</v>
      </c>
      <c r="G307">
        <v>22.875</v>
      </c>
      <c r="J307">
        <f t="shared" si="71"/>
        <v>120</v>
      </c>
      <c r="K307">
        <f t="shared" si="70"/>
        <v>93.475235879344211</v>
      </c>
      <c r="L307">
        <f t="shared" si="70"/>
        <v>55.214728911442663</v>
      </c>
      <c r="M307">
        <f t="shared" si="70"/>
        <v>33.974643064393689</v>
      </c>
      <c r="N307">
        <f t="shared" si="70"/>
        <v>27.295983993421679</v>
      </c>
      <c r="O307">
        <f t="shared" si="70"/>
        <v>22.422479966400566</v>
      </c>
    </row>
    <row r="308" spans="2:17" x14ac:dyDescent="0.25">
      <c r="B308">
        <v>240</v>
      </c>
      <c r="C308">
        <v>97.5</v>
      </c>
      <c r="D308">
        <v>57.5</v>
      </c>
      <c r="E308">
        <v>36.666666666666664</v>
      </c>
      <c r="F308">
        <v>29.0625</v>
      </c>
      <c r="G308">
        <v>24.25</v>
      </c>
      <c r="J308">
        <f t="shared" si="71"/>
        <v>240</v>
      </c>
      <c r="K308">
        <f t="shared" si="70"/>
        <v>95.857160969744754</v>
      </c>
      <c r="L308">
        <f t="shared" si="70"/>
        <v>55.80618919368461</v>
      </c>
      <c r="M308">
        <f t="shared" si="70"/>
        <v>34.210140886910942</v>
      </c>
      <c r="N308">
        <f t="shared" si="70"/>
        <v>27.497002231580641</v>
      </c>
      <c r="O308">
        <f t="shared" si="70"/>
        <v>22.552966763202754</v>
      </c>
    </row>
    <row r="309" spans="2:17" x14ac:dyDescent="0.25">
      <c r="B309">
        <v>300</v>
      </c>
      <c r="C309">
        <v>98.75</v>
      </c>
      <c r="D309">
        <v>58.125</v>
      </c>
      <c r="E309">
        <v>36.875</v>
      </c>
      <c r="F309">
        <v>29.6875</v>
      </c>
      <c r="G309">
        <v>24.25</v>
      </c>
      <c r="J309">
        <f>B309</f>
        <v>300</v>
      </c>
      <c r="K309">
        <f t="shared" si="70"/>
        <v>96.348187632319366</v>
      </c>
      <c r="L309">
        <f t="shared" si="70"/>
        <v>55.926005088488161</v>
      </c>
      <c r="M309">
        <f t="shared" si="70"/>
        <v>34.257632764340279</v>
      </c>
      <c r="N309">
        <f t="shared" si="70"/>
        <v>27.537561693633243</v>
      </c>
      <c r="O309">
        <f t="shared" si="70"/>
        <v>22.579246582073068</v>
      </c>
    </row>
    <row r="313" spans="2:17" x14ac:dyDescent="0.25">
      <c r="B313" t="s">
        <v>60</v>
      </c>
      <c r="J313" t="s">
        <v>25</v>
      </c>
      <c r="K313">
        <f>K315*(K316^2)</f>
        <v>0.33867027987457077</v>
      </c>
      <c r="L313">
        <f>L315*(L316^2)</f>
        <v>0.34196824636944206</v>
      </c>
      <c r="M313">
        <f>M315*(M316^2)</f>
        <v>0.42322801685653599</v>
      </c>
      <c r="N313">
        <f>N315*(N316^2)</f>
        <v>0.49482507896995598</v>
      </c>
      <c r="O313">
        <f>O315*(O316^2)</f>
        <v>0.49349989450525961</v>
      </c>
    </row>
    <row r="314" spans="2:17" x14ac:dyDescent="0.25">
      <c r="J314" t="s">
        <v>65</v>
      </c>
      <c r="K314">
        <f>SUMXMY2(C319:C333,K319:K333)</f>
        <v>0.23315200728829119</v>
      </c>
      <c r="L314">
        <f>SUMXMY2(D319:D333,L319:L333)</f>
        <v>0.37423898483897416</v>
      </c>
      <c r="M314">
        <f>SUMXMY2(E319:E333,M319:M333)</f>
        <v>0.20587800438833398</v>
      </c>
      <c r="N314">
        <f>SUMXMY2(F319:F333,N319:N333)</f>
        <v>0.15378878539167923</v>
      </c>
      <c r="O314">
        <f>SUMXMY2(G319:G333,O319:O333)</f>
        <v>8.0638191748037297E-2</v>
      </c>
      <c r="Q314">
        <f>SUM(K314:O314)</f>
        <v>1.0476959736553157</v>
      </c>
    </row>
    <row r="315" spans="2:17" x14ac:dyDescent="0.25">
      <c r="J315" t="s">
        <v>27</v>
      </c>
      <c r="K315">
        <v>6.8163342798085585E-3</v>
      </c>
      <c r="L315">
        <v>1.0549507120802696E-2</v>
      </c>
      <c r="M315">
        <v>2.404907437998131E-2</v>
      </c>
      <c r="N315">
        <v>3.959434438118685E-2</v>
      </c>
      <c r="O315">
        <v>5.7276040963018915E-2</v>
      </c>
    </row>
    <row r="316" spans="2:17" x14ac:dyDescent="0.25">
      <c r="B316" t="s">
        <v>66</v>
      </c>
      <c r="I316" t="s">
        <v>67</v>
      </c>
      <c r="J316" t="s">
        <v>26</v>
      </c>
      <c r="K316">
        <v>7.0487661569246765</v>
      </c>
      <c r="L316">
        <v>5.6934669747174107</v>
      </c>
      <c r="M316">
        <v>4.1950585047678048</v>
      </c>
      <c r="N316">
        <v>3.5351616171733236</v>
      </c>
      <c r="O316">
        <v>2.9353306985443663</v>
      </c>
    </row>
    <row r="317" spans="2:17" x14ac:dyDescent="0.25">
      <c r="C317" t="s">
        <v>79</v>
      </c>
    </row>
    <row r="318" spans="2:17" x14ac:dyDescent="0.25">
      <c r="B318" t="s">
        <v>69</v>
      </c>
      <c r="C318">
        <v>1</v>
      </c>
      <c r="D318">
        <v>1.25</v>
      </c>
      <c r="E318">
        <v>1.5</v>
      </c>
      <c r="F318">
        <v>1.75</v>
      </c>
      <c r="G318">
        <v>2</v>
      </c>
      <c r="J318" t="s">
        <v>69</v>
      </c>
      <c r="K318">
        <f>C318</f>
        <v>1</v>
      </c>
      <c r="L318">
        <f>D318</f>
        <v>1.25</v>
      </c>
      <c r="M318">
        <f>E318</f>
        <v>1.5</v>
      </c>
      <c r="N318">
        <f>F318</f>
        <v>1.75</v>
      </c>
      <c r="O318">
        <f>G318</f>
        <v>2</v>
      </c>
    </row>
    <row r="319" spans="2:17" x14ac:dyDescent="0.25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J319">
        <f>B319</f>
        <v>0</v>
      </c>
      <c r="K319">
        <f t="shared" ref="K319:O333" si="72">$J319/((1/(K$315*(K$316^2)))+((1/K$316)*$J319))</f>
        <v>0</v>
      </c>
      <c r="L319">
        <f t="shared" si="72"/>
        <v>0</v>
      </c>
      <c r="M319">
        <f t="shared" si="72"/>
        <v>0</v>
      </c>
      <c r="N319">
        <f t="shared" si="72"/>
        <v>0</v>
      </c>
      <c r="O319">
        <f t="shared" si="72"/>
        <v>0</v>
      </c>
    </row>
    <row r="320" spans="2:17" x14ac:dyDescent="0.25">
      <c r="B320">
        <v>6.666666666666667</v>
      </c>
      <c r="C320">
        <v>1.4814814814814816</v>
      </c>
      <c r="D320">
        <v>1.4814814814814816</v>
      </c>
      <c r="E320">
        <v>1.4814814814814816</v>
      </c>
      <c r="F320">
        <v>1.4814814814814816</v>
      </c>
      <c r="G320">
        <v>1.3793103448275863</v>
      </c>
      <c r="J320">
        <f t="shared" ref="J320:J333" si="73">B320</f>
        <v>6.666666666666667</v>
      </c>
      <c r="K320">
        <f t="shared" si="72"/>
        <v>1.7100522278454018</v>
      </c>
      <c r="L320">
        <f t="shared" si="72"/>
        <v>1.6279297457930653</v>
      </c>
      <c r="M320">
        <f t="shared" si="72"/>
        <v>1.6869250085616245</v>
      </c>
      <c r="N320">
        <f t="shared" si="72"/>
        <v>1.7064557449430797</v>
      </c>
      <c r="O320">
        <f t="shared" si="72"/>
        <v>1.5512809668198477</v>
      </c>
    </row>
    <row r="321" spans="2:15" x14ac:dyDescent="0.25">
      <c r="B321">
        <v>10</v>
      </c>
      <c r="C321">
        <v>2.1428571428571428</v>
      </c>
      <c r="D321">
        <v>2</v>
      </c>
      <c r="E321">
        <v>2</v>
      </c>
      <c r="F321">
        <v>2</v>
      </c>
      <c r="G321">
        <v>1.8181818181818181</v>
      </c>
      <c r="J321">
        <f t="shared" si="73"/>
        <v>10</v>
      </c>
      <c r="K321">
        <f t="shared" si="72"/>
        <v>2.287590157449447</v>
      </c>
      <c r="L321">
        <f t="shared" si="72"/>
        <v>2.136456699480779</v>
      </c>
      <c r="M321">
        <f t="shared" si="72"/>
        <v>2.1067935683992092</v>
      </c>
      <c r="N321">
        <f t="shared" si="72"/>
        <v>2.0620082373599486</v>
      </c>
      <c r="O321">
        <f t="shared" si="72"/>
        <v>1.8405650788060897</v>
      </c>
    </row>
    <row r="322" spans="2:15" x14ac:dyDescent="0.25">
      <c r="B322">
        <v>13.333333333333334</v>
      </c>
      <c r="C322">
        <v>2.666666666666667</v>
      </c>
      <c r="D322">
        <v>2.3529411764705883</v>
      </c>
      <c r="E322">
        <v>2.3529411764705883</v>
      </c>
      <c r="F322">
        <v>2.3529411764705883</v>
      </c>
      <c r="G322">
        <v>2.1052631578947367</v>
      </c>
      <c r="J322">
        <f t="shared" si="73"/>
        <v>13.333333333333334</v>
      </c>
      <c r="K322">
        <f t="shared" si="72"/>
        <v>2.7523708657253385</v>
      </c>
      <c r="L322">
        <f t="shared" si="72"/>
        <v>2.5319114913873122</v>
      </c>
      <c r="M322">
        <f t="shared" si="72"/>
        <v>2.4062458142002621</v>
      </c>
      <c r="N322">
        <f t="shared" si="72"/>
        <v>2.3018074133102724</v>
      </c>
      <c r="O322">
        <f t="shared" si="72"/>
        <v>2.0298269534340179</v>
      </c>
    </row>
    <row r="323" spans="2:15" x14ac:dyDescent="0.25">
      <c r="B323">
        <v>16.666666666666668</v>
      </c>
      <c r="C323">
        <v>3.1746031746031744</v>
      </c>
      <c r="D323">
        <v>2.7027027027027026</v>
      </c>
      <c r="E323">
        <v>2.7027027027027026</v>
      </c>
      <c r="F323">
        <v>2.7027027027027026</v>
      </c>
      <c r="G323">
        <v>2.2222222222222223</v>
      </c>
      <c r="J323">
        <f t="shared" si="73"/>
        <v>16.666666666666668</v>
      </c>
      <c r="K323">
        <f t="shared" si="72"/>
        <v>3.1344792064842788</v>
      </c>
      <c r="L323">
        <f t="shared" si="72"/>
        <v>2.8482336459218605</v>
      </c>
      <c r="M323">
        <f t="shared" si="72"/>
        <v>2.6305872820708971</v>
      </c>
      <c r="N323">
        <f t="shared" si="72"/>
        <v>2.4744667906795237</v>
      </c>
      <c r="O323">
        <f t="shared" si="72"/>
        <v>2.1632955411660788</v>
      </c>
    </row>
    <row r="324" spans="2:15" x14ac:dyDescent="0.25">
      <c r="B324">
        <v>20</v>
      </c>
      <c r="C324">
        <v>3.5294117647058822</v>
      </c>
      <c r="D324">
        <v>3.4285714285714284</v>
      </c>
      <c r="E324">
        <v>3</v>
      </c>
      <c r="F324">
        <v>2.6666666666666665</v>
      </c>
      <c r="G324">
        <v>2.4</v>
      </c>
      <c r="J324">
        <f t="shared" si="73"/>
        <v>20</v>
      </c>
      <c r="K324">
        <f t="shared" si="72"/>
        <v>3.4541715289760972</v>
      </c>
      <c r="L324">
        <f t="shared" si="72"/>
        <v>3.1070151300429356</v>
      </c>
      <c r="M324">
        <f t="shared" si="72"/>
        <v>2.8049285112659237</v>
      </c>
      <c r="N324">
        <f t="shared" si="72"/>
        <v>2.6047208015694419</v>
      </c>
      <c r="O324">
        <f t="shared" si="72"/>
        <v>2.2624728136280674</v>
      </c>
    </row>
    <row r="325" spans="2:15" x14ac:dyDescent="0.25">
      <c r="B325">
        <v>23.333333333333332</v>
      </c>
      <c r="C325">
        <v>3.8888888888888888</v>
      </c>
      <c r="D325">
        <v>3.5</v>
      </c>
      <c r="E325">
        <v>3.1111111111111112</v>
      </c>
      <c r="F325">
        <v>2.8000000000000003</v>
      </c>
      <c r="G325">
        <v>2.3728813559322033</v>
      </c>
      <c r="J325">
        <f t="shared" si="73"/>
        <v>23.333333333333332</v>
      </c>
      <c r="K325">
        <f t="shared" si="72"/>
        <v>3.7255862504349597</v>
      </c>
      <c r="L325">
        <f t="shared" si="72"/>
        <v>3.3226474279905203</v>
      </c>
      <c r="M325">
        <f t="shared" si="72"/>
        <v>2.9443092544532026</v>
      </c>
      <c r="N325">
        <f t="shared" si="72"/>
        <v>2.7064830639973825</v>
      </c>
      <c r="O325">
        <f t="shared" si="72"/>
        <v>2.3390697577198494</v>
      </c>
    </row>
    <row r="326" spans="2:15" x14ac:dyDescent="0.25">
      <c r="B326">
        <v>26.666666666666668</v>
      </c>
      <c r="C326">
        <v>4.1025641025641022</v>
      </c>
      <c r="D326">
        <v>3.6363636363636362</v>
      </c>
      <c r="E326">
        <v>3.2</v>
      </c>
      <c r="F326">
        <v>2.8571428571428572</v>
      </c>
      <c r="G326">
        <v>2.4615384615384617</v>
      </c>
      <c r="J326">
        <f t="shared" si="73"/>
        <v>26.666666666666668</v>
      </c>
      <c r="K326">
        <f t="shared" si="72"/>
        <v>3.9588914153114612</v>
      </c>
      <c r="L326">
        <f t="shared" si="72"/>
        <v>3.505092080206206</v>
      </c>
      <c r="M326">
        <f t="shared" si="72"/>
        <v>3.0582871140837553</v>
      </c>
      <c r="N326">
        <f t="shared" si="72"/>
        <v>2.788180363871251</v>
      </c>
      <c r="O326">
        <f t="shared" si="72"/>
        <v>2.4000097426004539</v>
      </c>
    </row>
    <row r="327" spans="2:15" x14ac:dyDescent="0.25">
      <c r="B327">
        <v>30</v>
      </c>
      <c r="C327">
        <v>4.2857142857142865</v>
      </c>
      <c r="D327">
        <v>3.8297872340425534</v>
      </c>
      <c r="E327">
        <v>3.214285714285714</v>
      </c>
      <c r="F327">
        <v>2.903225806451613</v>
      </c>
      <c r="G327">
        <v>2.5</v>
      </c>
      <c r="J327">
        <f t="shared" si="73"/>
        <v>30</v>
      </c>
      <c r="K327">
        <f t="shared" si="72"/>
        <v>4.1615869761177606</v>
      </c>
      <c r="L327">
        <f t="shared" si="72"/>
        <v>3.6614634015571208</v>
      </c>
      <c r="M327">
        <f t="shared" si="72"/>
        <v>3.1532268049972174</v>
      </c>
      <c r="N327">
        <f t="shared" si="72"/>
        <v>2.8552146017047089</v>
      </c>
      <c r="O327">
        <f t="shared" si="72"/>
        <v>2.4496482164454081</v>
      </c>
    </row>
    <row r="328" spans="2:15" x14ac:dyDescent="0.25">
      <c r="B328">
        <v>33.333333333333336</v>
      </c>
      <c r="C328">
        <v>4.4444444444444446</v>
      </c>
      <c r="D328">
        <v>3.9215686274509802</v>
      </c>
      <c r="E328">
        <v>3.278688524590164</v>
      </c>
      <c r="F328">
        <v>2.8985507246376812</v>
      </c>
      <c r="G328">
        <v>2.5</v>
      </c>
      <c r="J328">
        <f t="shared" si="73"/>
        <v>33.333333333333336</v>
      </c>
      <c r="K328">
        <f t="shared" si="72"/>
        <v>4.3393260521131571</v>
      </c>
      <c r="L328">
        <f t="shared" si="72"/>
        <v>3.7969778898950515</v>
      </c>
      <c r="M328">
        <f t="shared" si="72"/>
        <v>3.2335306855401935</v>
      </c>
      <c r="N328">
        <f t="shared" si="72"/>
        <v>2.9112082903327838</v>
      </c>
      <c r="O328">
        <f t="shared" si="72"/>
        <v>2.4908622493456432</v>
      </c>
    </row>
    <row r="329" spans="2:15" x14ac:dyDescent="0.25">
      <c r="B329">
        <v>36.666666666666664</v>
      </c>
      <c r="C329">
        <v>4.583333333333333</v>
      </c>
      <c r="D329">
        <v>4</v>
      </c>
      <c r="E329">
        <v>3.3333333333333335</v>
      </c>
      <c r="F329">
        <v>2.9333333333333331</v>
      </c>
      <c r="G329">
        <v>2.5</v>
      </c>
      <c r="J329">
        <f t="shared" si="73"/>
        <v>36.666666666666664</v>
      </c>
      <c r="K329">
        <f t="shared" si="72"/>
        <v>4.4964504320620389</v>
      </c>
      <c r="L329">
        <f t="shared" si="72"/>
        <v>3.9155474891677464</v>
      </c>
      <c r="M329">
        <f t="shared" si="72"/>
        <v>3.3023409224568647</v>
      </c>
      <c r="N329">
        <f t="shared" si="72"/>
        <v>2.958681474119301</v>
      </c>
      <c r="O329">
        <f t="shared" si="72"/>
        <v>2.5256287296068018</v>
      </c>
    </row>
    <row r="330" spans="2:15" x14ac:dyDescent="0.25">
      <c r="B330">
        <v>40</v>
      </c>
      <c r="C330">
        <v>4.6153846153846159</v>
      </c>
      <c r="D330">
        <v>4</v>
      </c>
      <c r="E330">
        <v>3.3333333333333335</v>
      </c>
      <c r="F330">
        <v>2.9629629629629628</v>
      </c>
      <c r="G330">
        <v>2.5263157894736841</v>
      </c>
      <c r="J330">
        <f t="shared" si="73"/>
        <v>40</v>
      </c>
      <c r="K330">
        <f t="shared" si="72"/>
        <v>4.6363499626097857</v>
      </c>
      <c r="L330">
        <f t="shared" si="72"/>
        <v>4.0201634006569007</v>
      </c>
      <c r="M330">
        <f t="shared" si="72"/>
        <v>3.3619602949260998</v>
      </c>
      <c r="N330">
        <f t="shared" si="72"/>
        <v>2.9994414788961787</v>
      </c>
      <c r="O330">
        <f t="shared" si="72"/>
        <v>2.5553508857778455</v>
      </c>
    </row>
    <row r="331" spans="2:15" x14ac:dyDescent="0.25">
      <c r="B331">
        <v>43.333333333333336</v>
      </c>
      <c r="C331">
        <v>4.7272727272727275</v>
      </c>
      <c r="D331">
        <v>4</v>
      </c>
      <c r="E331">
        <v>3.3333333333333335</v>
      </c>
      <c r="F331">
        <v>3.0232558139534884</v>
      </c>
      <c r="G331">
        <v>2.5</v>
      </c>
      <c r="J331">
        <f t="shared" si="73"/>
        <v>43.333333333333336</v>
      </c>
      <c r="K331">
        <f t="shared" si="72"/>
        <v>4.761709884106474</v>
      </c>
      <c r="L331">
        <f t="shared" si="72"/>
        <v>4.1131519196901971</v>
      </c>
      <c r="M331">
        <f t="shared" si="72"/>
        <v>3.4141149364389558</v>
      </c>
      <c r="N331">
        <f t="shared" si="72"/>
        <v>3.034818236989413</v>
      </c>
      <c r="O331">
        <f t="shared" si="72"/>
        <v>2.581052295171558</v>
      </c>
    </row>
    <row r="332" spans="2:15" x14ac:dyDescent="0.25">
      <c r="B332">
        <v>46.666666666666664</v>
      </c>
      <c r="C332">
        <v>4.666666666666667</v>
      </c>
      <c r="D332">
        <v>4</v>
      </c>
      <c r="E332">
        <v>3.3333333333333335</v>
      </c>
      <c r="F332">
        <v>2.9473684210526314</v>
      </c>
      <c r="G332">
        <v>2.5454545454545454</v>
      </c>
      <c r="J332">
        <f t="shared" si="73"/>
        <v>46.666666666666664</v>
      </c>
      <c r="K332">
        <f t="shared" si="72"/>
        <v>4.8746848597289043</v>
      </c>
      <c r="L332">
        <f t="shared" si="72"/>
        <v>4.196349459410599</v>
      </c>
      <c r="M332">
        <f t="shared" si="72"/>
        <v>3.4601242001037269</v>
      </c>
      <c r="N332">
        <f t="shared" si="72"/>
        <v>3.0658121485949805</v>
      </c>
      <c r="O332">
        <f t="shared" si="72"/>
        <v>2.6034971454309548</v>
      </c>
    </row>
    <row r="333" spans="2:15" x14ac:dyDescent="0.25">
      <c r="B333">
        <v>50</v>
      </c>
      <c r="C333">
        <v>4.838709677419355</v>
      </c>
      <c r="D333">
        <v>4.1095890410958908</v>
      </c>
      <c r="E333">
        <v>3.3333333333333335</v>
      </c>
      <c r="F333">
        <v>3</v>
      </c>
      <c r="G333">
        <v>2.5641025641025643</v>
      </c>
      <c r="J333">
        <f t="shared" si="73"/>
        <v>50</v>
      </c>
      <c r="K333">
        <f t="shared" si="72"/>
        <v>4.9770238529030397</v>
      </c>
      <c r="L333">
        <f t="shared" si="72"/>
        <v>4.2712250535835095</v>
      </c>
      <c r="M333">
        <f t="shared" si="72"/>
        <v>3.5010138190654949</v>
      </c>
      <c r="N333">
        <f t="shared" si="72"/>
        <v>3.0931901929483985</v>
      </c>
      <c r="O333">
        <f t="shared" si="72"/>
        <v>2.6232675056061341</v>
      </c>
    </row>
    <row r="339" spans="2:17" x14ac:dyDescent="0.25">
      <c r="B339" t="s">
        <v>85</v>
      </c>
      <c r="J339" t="s">
        <v>25</v>
      </c>
      <c r="K339">
        <f>K341*(K342^2)</f>
        <v>2.5218282218567447</v>
      </c>
      <c r="L339">
        <f>L341*(L342^2)</f>
        <v>1.9967711395617471</v>
      </c>
      <c r="M339">
        <f>M341*(M342^2)</f>
        <v>2.9692886204541353</v>
      </c>
    </row>
    <row r="340" spans="2:17" x14ac:dyDescent="0.25">
      <c r="J340" t="s">
        <v>65</v>
      </c>
      <c r="K340">
        <f>SUMXMY2(C345:C366,K345:K366)</f>
        <v>803.26864758195893</v>
      </c>
      <c r="L340">
        <f>SUMXMY2(D345:D366,L345:L366)</f>
        <v>1406.3697034579282</v>
      </c>
      <c r="M340">
        <f>SUMXMY2(E345:E366,M345:M366)</f>
        <v>50.053313876630675</v>
      </c>
      <c r="Q340">
        <f>SUM(K340:O340)</f>
        <v>2259.6916649165178</v>
      </c>
    </row>
    <row r="341" spans="2:17" x14ac:dyDescent="0.25">
      <c r="J341" t="s">
        <v>27</v>
      </c>
      <c r="K341">
        <v>3.928482756325276E-5</v>
      </c>
      <c r="L341">
        <v>4.3181382497834471E-5</v>
      </c>
      <c r="M341">
        <v>2.0303241757637348E-4</v>
      </c>
    </row>
    <row r="342" spans="2:17" x14ac:dyDescent="0.25">
      <c r="B342" t="s">
        <v>66</v>
      </c>
      <c r="I342" t="s">
        <v>67</v>
      </c>
      <c r="J342" t="s">
        <v>26</v>
      </c>
      <c r="K342">
        <v>253.3642437666893</v>
      </c>
      <c r="L342">
        <v>215.03832778849946</v>
      </c>
      <c r="M342">
        <v>120.93263448724888</v>
      </c>
    </row>
    <row r="343" spans="2:17" x14ac:dyDescent="0.25">
      <c r="C343" t="s">
        <v>79</v>
      </c>
    </row>
    <row r="344" spans="2:17" x14ac:dyDescent="0.25">
      <c r="B344" t="s">
        <v>86</v>
      </c>
      <c r="C344">
        <v>0.1</v>
      </c>
      <c r="D344">
        <v>0.2</v>
      </c>
      <c r="E344">
        <v>0.4</v>
      </c>
      <c r="J344" t="s">
        <v>69</v>
      </c>
      <c r="K344">
        <f>C344</f>
        <v>0.1</v>
      </c>
      <c r="L344">
        <f>D344</f>
        <v>0.2</v>
      </c>
      <c r="M344">
        <f>E344</f>
        <v>0.4</v>
      </c>
    </row>
    <row r="345" spans="2:17" x14ac:dyDescent="0.25">
      <c r="B345">
        <v>0</v>
      </c>
      <c r="C345">
        <v>0</v>
      </c>
      <c r="D345">
        <v>0</v>
      </c>
      <c r="E345">
        <v>0</v>
      </c>
      <c r="J345">
        <f>B345</f>
        <v>0</v>
      </c>
      <c r="K345">
        <f t="shared" ref="K345:M360" si="74">$J345/((1/(K$341*(K$342^2)))+((1/K$342)*$J345))</f>
        <v>0</v>
      </c>
      <c r="L345">
        <f t="shared" si="74"/>
        <v>0</v>
      </c>
      <c r="M345">
        <f t="shared" si="74"/>
        <v>0</v>
      </c>
    </row>
    <row r="346" spans="2:17" x14ac:dyDescent="0.25">
      <c r="B346">
        <v>30</v>
      </c>
      <c r="C346">
        <v>65</v>
      </c>
      <c r="D346">
        <v>54.999999999999986</v>
      </c>
      <c r="E346">
        <v>53.125000000000007</v>
      </c>
      <c r="J346">
        <f>B346</f>
        <v>30</v>
      </c>
      <c r="K346">
        <f t="shared" si="74"/>
        <v>58.258725916477573</v>
      </c>
      <c r="L346">
        <f t="shared" si="74"/>
        <v>46.851681489878906</v>
      </c>
      <c r="M346">
        <f t="shared" si="74"/>
        <v>51.294940875210699</v>
      </c>
    </row>
    <row r="347" spans="2:17" x14ac:dyDescent="0.25">
      <c r="B347">
        <v>45</v>
      </c>
      <c r="C347">
        <v>85.000000000000014</v>
      </c>
      <c r="D347">
        <v>67.5</v>
      </c>
      <c r="E347">
        <v>63.75</v>
      </c>
      <c r="J347">
        <f>B347</f>
        <v>45</v>
      </c>
      <c r="K347">
        <f t="shared" si="74"/>
        <v>78.37705535586889</v>
      </c>
      <c r="L347">
        <f t="shared" si="74"/>
        <v>63.373717550254426</v>
      </c>
      <c r="M347">
        <f t="shared" si="74"/>
        <v>63.47961415794164</v>
      </c>
    </row>
    <row r="348" spans="2:17" x14ac:dyDescent="0.25">
      <c r="B348">
        <v>60</v>
      </c>
      <c r="C348">
        <v>102.49999999999997</v>
      </c>
      <c r="D348">
        <v>79.999999999999986</v>
      </c>
      <c r="E348">
        <v>70</v>
      </c>
      <c r="J348">
        <f t="shared" ref="J348:J366" si="75">B348</f>
        <v>60</v>
      </c>
      <c r="K348">
        <f t="shared" si="74"/>
        <v>94.73421070113433</v>
      </c>
      <c r="L348">
        <f t="shared" si="74"/>
        <v>76.939989191826996</v>
      </c>
      <c r="M348">
        <f t="shared" si="74"/>
        <v>72.035297748945908</v>
      </c>
    </row>
    <row r="349" spans="2:17" x14ac:dyDescent="0.25">
      <c r="B349">
        <v>90</v>
      </c>
      <c r="C349">
        <v>120</v>
      </c>
      <c r="D349" t="s">
        <v>87</v>
      </c>
      <c r="E349">
        <v>81.25</v>
      </c>
      <c r="J349">
        <f t="shared" si="75"/>
        <v>90</v>
      </c>
      <c r="K349">
        <f t="shared" si="74"/>
        <v>119.71945254584274</v>
      </c>
      <c r="M349">
        <f t="shared" si="74"/>
        <v>83.256475996060743</v>
      </c>
    </row>
    <row r="350" spans="2:17" x14ac:dyDescent="0.25">
      <c r="B350">
        <v>120</v>
      </c>
      <c r="C350">
        <v>140</v>
      </c>
      <c r="D350">
        <v>127.5</v>
      </c>
      <c r="E350">
        <v>88.75</v>
      </c>
      <c r="J350">
        <f t="shared" si="75"/>
        <v>120</v>
      </c>
      <c r="K350">
        <f t="shared" si="74"/>
        <v>137.90501707237971</v>
      </c>
      <c r="L350">
        <f t="shared" si="74"/>
        <v>113.33065267987352</v>
      </c>
      <c r="M350">
        <f t="shared" si="74"/>
        <v>90.288766966633077</v>
      </c>
    </row>
    <row r="351" spans="2:17" x14ac:dyDescent="0.25">
      <c r="B351">
        <v>150</v>
      </c>
      <c r="C351">
        <v>140</v>
      </c>
      <c r="D351">
        <v>122.5</v>
      </c>
      <c r="E351">
        <v>93.75</v>
      </c>
      <c r="J351">
        <f t="shared" si="75"/>
        <v>150</v>
      </c>
      <c r="K351">
        <f t="shared" si="74"/>
        <v>151.73420957408806</v>
      </c>
      <c r="L351">
        <f t="shared" si="74"/>
        <v>125.17121465196593</v>
      </c>
      <c r="M351">
        <f t="shared" si="74"/>
        <v>95.108808714065134</v>
      </c>
    </row>
    <row r="352" spans="2:17" x14ac:dyDescent="0.25">
      <c r="B352">
        <v>180</v>
      </c>
      <c r="C352">
        <v>150</v>
      </c>
      <c r="D352">
        <v>142.5</v>
      </c>
      <c r="E352">
        <v>100</v>
      </c>
      <c r="J352">
        <f t="shared" si="75"/>
        <v>180</v>
      </c>
      <c r="K352">
        <f t="shared" si="74"/>
        <v>162.60495357068544</v>
      </c>
      <c r="L352">
        <f t="shared" si="74"/>
        <v>134.54236078072302</v>
      </c>
      <c r="M352">
        <f t="shared" si="74"/>
        <v>98.618628157949829</v>
      </c>
    </row>
    <row r="353" spans="2:13" x14ac:dyDescent="0.25">
      <c r="B353">
        <v>240</v>
      </c>
      <c r="C353">
        <v>170</v>
      </c>
      <c r="D353">
        <v>142.5</v>
      </c>
      <c r="E353">
        <v>103.75</v>
      </c>
      <c r="J353">
        <f t="shared" si="75"/>
        <v>240</v>
      </c>
      <c r="K353">
        <f t="shared" si="74"/>
        <v>178.5992607098616</v>
      </c>
      <c r="L353">
        <f t="shared" si="74"/>
        <v>148.43322901388657</v>
      </c>
      <c r="M353">
        <f t="shared" si="74"/>
        <v>103.38780425395721</v>
      </c>
    </row>
    <row r="354" spans="2:13" x14ac:dyDescent="0.25">
      <c r="B354">
        <v>300</v>
      </c>
      <c r="C354">
        <v>200</v>
      </c>
      <c r="D354">
        <v>145</v>
      </c>
      <c r="E354">
        <v>108.75</v>
      </c>
      <c r="J354">
        <f t="shared" si="75"/>
        <v>300</v>
      </c>
      <c r="K354">
        <f t="shared" si="74"/>
        <v>189.80088887150228</v>
      </c>
      <c r="L354">
        <f t="shared" si="74"/>
        <v>158.2354715445662</v>
      </c>
      <c r="M354">
        <f t="shared" si="74"/>
        <v>106.47733722106291</v>
      </c>
    </row>
    <row r="355" spans="2:13" x14ac:dyDescent="0.25">
      <c r="B355">
        <v>360</v>
      </c>
      <c r="C355">
        <v>205</v>
      </c>
      <c r="D355">
        <v>152.5</v>
      </c>
      <c r="E355">
        <v>111.25</v>
      </c>
      <c r="J355">
        <f t="shared" si="75"/>
        <v>360</v>
      </c>
      <c r="K355">
        <f t="shared" si="74"/>
        <v>198.08332615907705</v>
      </c>
      <c r="L355">
        <f t="shared" si="74"/>
        <v>165.52266887176592</v>
      </c>
      <c r="M355">
        <f t="shared" si="74"/>
        <v>108.64169368893464</v>
      </c>
    </row>
    <row r="356" spans="2:13" x14ac:dyDescent="0.25">
      <c r="B356">
        <v>480</v>
      </c>
      <c r="C356">
        <v>202.5</v>
      </c>
      <c r="D356">
        <v>172.5</v>
      </c>
      <c r="E356">
        <v>113.75</v>
      </c>
      <c r="J356">
        <f t="shared" si="75"/>
        <v>480</v>
      </c>
      <c r="K356">
        <f t="shared" si="74"/>
        <v>209.51152659009091</v>
      </c>
      <c r="L356">
        <f t="shared" si="74"/>
        <v>175.63318371427522</v>
      </c>
      <c r="M356">
        <f t="shared" si="74"/>
        <v>111.47410028657666</v>
      </c>
    </row>
    <row r="357" spans="2:13" x14ac:dyDescent="0.25">
      <c r="B357">
        <v>600</v>
      </c>
      <c r="C357">
        <v>217.50000000000003</v>
      </c>
      <c r="D357">
        <v>170</v>
      </c>
      <c r="E357">
        <v>115.875</v>
      </c>
      <c r="J357">
        <f t="shared" si="75"/>
        <v>600</v>
      </c>
      <c r="K357">
        <f t="shared" si="74"/>
        <v>217.02410741972423</v>
      </c>
      <c r="L357">
        <f t="shared" si="74"/>
        <v>182.31491874631567</v>
      </c>
      <c r="M357">
        <f t="shared" si="74"/>
        <v>113.24556092770231</v>
      </c>
    </row>
    <row r="358" spans="2:13" x14ac:dyDescent="0.25">
      <c r="B358">
        <v>1440</v>
      </c>
      <c r="C358">
        <v>235</v>
      </c>
      <c r="D358">
        <v>195</v>
      </c>
      <c r="E358">
        <v>116.875</v>
      </c>
      <c r="J358">
        <f t="shared" si="75"/>
        <v>1440</v>
      </c>
      <c r="K358">
        <f t="shared" si="74"/>
        <v>236.83997185522679</v>
      </c>
      <c r="L358">
        <f t="shared" si="74"/>
        <v>200.07532931867684</v>
      </c>
      <c r="M358">
        <f t="shared" si="74"/>
        <v>117.6063500809832</v>
      </c>
    </row>
    <row r="359" spans="2:13" x14ac:dyDescent="0.25">
      <c r="B359">
        <v>1560</v>
      </c>
      <c r="C359">
        <v>242.5</v>
      </c>
      <c r="D359">
        <v>196.25</v>
      </c>
      <c r="E359">
        <v>116.875</v>
      </c>
      <c r="J359">
        <f t="shared" si="75"/>
        <v>1560</v>
      </c>
      <c r="K359">
        <f t="shared" si="74"/>
        <v>238.03416051667523</v>
      </c>
      <c r="L359">
        <f t="shared" si="74"/>
        <v>201.15200217606429</v>
      </c>
      <c r="M359">
        <f t="shared" si="74"/>
        <v>117.85570798260409</v>
      </c>
    </row>
    <row r="360" spans="2:13" x14ac:dyDescent="0.25">
      <c r="B360">
        <v>1800</v>
      </c>
      <c r="C360">
        <v>240</v>
      </c>
      <c r="D360">
        <v>200</v>
      </c>
      <c r="E360">
        <v>117.5</v>
      </c>
      <c r="J360">
        <f t="shared" si="75"/>
        <v>1800</v>
      </c>
      <c r="K360">
        <f t="shared" si="74"/>
        <v>239.97011474174153</v>
      </c>
      <c r="L360">
        <f t="shared" si="74"/>
        <v>202.89899086880243</v>
      </c>
      <c r="M360">
        <f t="shared" si="74"/>
        <v>118.25688753534389</v>
      </c>
    </row>
    <row r="361" spans="2:13" x14ac:dyDescent="0.25">
      <c r="B361">
        <v>1920</v>
      </c>
      <c r="C361">
        <v>245</v>
      </c>
      <c r="D361">
        <v>202.5</v>
      </c>
      <c r="E361">
        <v>117.5</v>
      </c>
      <c r="J361">
        <f t="shared" si="75"/>
        <v>1920</v>
      </c>
      <c r="K361">
        <f t="shared" ref="K361:M365" si="76">$J361/((1/(K$341*(K$342^2)))+((1/K$342)*$J361))</f>
        <v>240.76562108114979</v>
      </c>
      <c r="L361">
        <f t="shared" si="76"/>
        <v>203.61740357286115</v>
      </c>
      <c r="M361">
        <f t="shared" si="76"/>
        <v>118.42064796753887</v>
      </c>
    </row>
    <row r="362" spans="2:13" x14ac:dyDescent="0.25">
      <c r="B362">
        <v>2280</v>
      </c>
      <c r="C362">
        <v>245</v>
      </c>
      <c r="D362">
        <v>215</v>
      </c>
      <c r="E362">
        <v>117.5</v>
      </c>
      <c r="J362">
        <f t="shared" si="75"/>
        <v>2280</v>
      </c>
      <c r="K362">
        <f t="shared" si="76"/>
        <v>242.67092006254921</v>
      </c>
      <c r="L362">
        <f t="shared" si="76"/>
        <v>205.3393722981248</v>
      </c>
      <c r="M362">
        <f t="shared" si="76"/>
        <v>118.81031673509581</v>
      </c>
    </row>
    <row r="363" spans="2:13" x14ac:dyDescent="0.25">
      <c r="B363">
        <v>2520</v>
      </c>
      <c r="C363" t="s">
        <v>87</v>
      </c>
      <c r="D363">
        <v>210</v>
      </c>
      <c r="E363" t="s">
        <v>87</v>
      </c>
      <c r="J363">
        <f t="shared" si="75"/>
        <v>2520</v>
      </c>
      <c r="L363">
        <f t="shared" si="76"/>
        <v>206.22522513328272</v>
      </c>
    </row>
    <row r="364" spans="2:13" x14ac:dyDescent="0.25">
      <c r="B364">
        <v>2760</v>
      </c>
      <c r="C364" t="s">
        <v>87</v>
      </c>
      <c r="D364">
        <v>212.5</v>
      </c>
      <c r="E364" t="s">
        <v>87</v>
      </c>
      <c r="J364">
        <f t="shared" si="75"/>
        <v>2760</v>
      </c>
      <c r="L364">
        <f t="shared" si="76"/>
        <v>206.96280220917834</v>
      </c>
    </row>
    <row r="365" spans="2:13" x14ac:dyDescent="0.25">
      <c r="B365">
        <v>3000</v>
      </c>
      <c r="C365">
        <v>240</v>
      </c>
      <c r="D365">
        <v>225</v>
      </c>
      <c r="E365" t="s">
        <v>87</v>
      </c>
      <c r="J365">
        <f t="shared" si="75"/>
        <v>3000</v>
      </c>
      <c r="K365">
        <f>$J365/((1/(K$341*(K$342^2)))+((1/K$342)*$J365))</f>
        <v>245.15415545780672</v>
      </c>
      <c r="L365">
        <f t="shared" si="76"/>
        <v>207.58645651555324</v>
      </c>
    </row>
    <row r="366" spans="2:13" x14ac:dyDescent="0.25">
      <c r="B366">
        <v>3120</v>
      </c>
      <c r="C366">
        <v>247.5</v>
      </c>
      <c r="D366" t="s">
        <v>87</v>
      </c>
      <c r="E366">
        <v>117.5</v>
      </c>
      <c r="J366">
        <f t="shared" si="75"/>
        <v>3120</v>
      </c>
      <c r="K366">
        <f>$J366/((1/(K$341*(K$342^2)))+((1/K$342)*$J366))</f>
        <v>245.46007697317964</v>
      </c>
      <c r="M366">
        <f>$J366/((1/(M$341*(M$342^2)))+((1/M$342)*$J366))</f>
        <v>119.37434724222847</v>
      </c>
    </row>
    <row r="369" spans="2:17" x14ac:dyDescent="0.25">
      <c r="B369" t="s">
        <v>88</v>
      </c>
      <c r="J369" t="s">
        <v>25</v>
      </c>
      <c r="K369">
        <f>K371*(K372^2)</f>
        <v>2.3846684052239309</v>
      </c>
      <c r="L369">
        <f>L371*(L372^2)</f>
        <v>2.3580556116478353</v>
      </c>
      <c r="M369">
        <f>M371*(M372^2)</f>
        <v>2.3349099475999555</v>
      </c>
    </row>
    <row r="370" spans="2:17" x14ac:dyDescent="0.25">
      <c r="J370" t="s">
        <v>65</v>
      </c>
      <c r="K370">
        <f>SUMXMY2(C375:C392,K375:K392)</f>
        <v>853.21805587652818</v>
      </c>
      <c r="L370">
        <f>SUMXMY2(D375:D392,L375:L392)</f>
        <v>223.26426863385979</v>
      </c>
      <c r="M370">
        <f>SUMXMY2(E375:E392,M375:M392)</f>
        <v>14.804646917856635</v>
      </c>
      <c r="Q370">
        <f>SUM(K370:O370)</f>
        <v>1091.2869714282447</v>
      </c>
    </row>
    <row r="371" spans="2:17" x14ac:dyDescent="0.25">
      <c r="J371" t="s">
        <v>27</v>
      </c>
      <c r="K371">
        <v>5.4851128220548383E-5</v>
      </c>
      <c r="L371">
        <v>1.0316514041164977E-4</v>
      </c>
      <c r="M371">
        <v>2.7974917836058697E-4</v>
      </c>
    </row>
    <row r="372" spans="2:17" x14ac:dyDescent="0.25">
      <c r="B372" t="s">
        <v>66</v>
      </c>
      <c r="I372" t="s">
        <v>67</v>
      </c>
      <c r="J372" t="s">
        <v>26</v>
      </c>
      <c r="K372">
        <v>208.5072768815813</v>
      </c>
      <c r="L372">
        <v>151.18563723249548</v>
      </c>
      <c r="M372">
        <v>91.358857095778234</v>
      </c>
    </row>
    <row r="373" spans="2:17" x14ac:dyDescent="0.25">
      <c r="C373" t="s">
        <v>79</v>
      </c>
    </row>
    <row r="374" spans="2:17" x14ac:dyDescent="0.25">
      <c r="B374" t="s">
        <v>86</v>
      </c>
      <c r="C374">
        <v>0.1</v>
      </c>
      <c r="D374">
        <v>0.2</v>
      </c>
      <c r="E374">
        <v>0.4</v>
      </c>
      <c r="J374" t="s">
        <v>69</v>
      </c>
      <c r="K374">
        <f>C374</f>
        <v>0.1</v>
      </c>
      <c r="L374">
        <f>D374</f>
        <v>0.2</v>
      </c>
      <c r="M374">
        <f>E374</f>
        <v>0.4</v>
      </c>
    </row>
    <row r="375" spans="2:17" x14ac:dyDescent="0.25">
      <c r="B375">
        <v>0</v>
      </c>
      <c r="C375">
        <v>0</v>
      </c>
      <c r="D375">
        <v>0</v>
      </c>
      <c r="E375">
        <v>0</v>
      </c>
      <c r="J375">
        <f>B375</f>
        <v>0</v>
      </c>
      <c r="K375">
        <f t="shared" ref="K375:M390" si="77">$J375/((1/(K$371*(K$372^2)))+((1/K$372)*$J375))</f>
        <v>0</v>
      </c>
      <c r="L375">
        <f t="shared" si="77"/>
        <v>0</v>
      </c>
      <c r="M375">
        <f t="shared" si="77"/>
        <v>0</v>
      </c>
    </row>
    <row r="376" spans="2:17" x14ac:dyDescent="0.25">
      <c r="B376">
        <v>60</v>
      </c>
      <c r="C376">
        <v>97.499999999999972</v>
      </c>
      <c r="D376">
        <v>79.999999999999986</v>
      </c>
      <c r="E376">
        <v>56.249999999999986</v>
      </c>
      <c r="J376">
        <f t="shared" ref="J376:J392" si="78">B376</f>
        <v>60</v>
      </c>
      <c r="K376">
        <f t="shared" si="77"/>
        <v>84.852996785397465</v>
      </c>
      <c r="L376">
        <f t="shared" si="77"/>
        <v>73.086832981533135</v>
      </c>
      <c r="M376">
        <f t="shared" si="77"/>
        <v>55.297866743973628</v>
      </c>
    </row>
    <row r="377" spans="2:17" x14ac:dyDescent="0.25">
      <c r="B377">
        <v>90</v>
      </c>
      <c r="C377">
        <v>92.500000000000028</v>
      </c>
      <c r="D377">
        <v>90</v>
      </c>
      <c r="E377">
        <v>63.75</v>
      </c>
      <c r="J377">
        <f t="shared" si="78"/>
        <v>90</v>
      </c>
      <c r="K377">
        <f t="shared" si="77"/>
        <v>105.75978029836517</v>
      </c>
      <c r="L377">
        <f t="shared" si="77"/>
        <v>88.289579037990336</v>
      </c>
      <c r="M377">
        <f t="shared" si="77"/>
        <v>63.675872214421965</v>
      </c>
    </row>
    <row r="378" spans="2:17" x14ac:dyDescent="0.25">
      <c r="B378">
        <v>120</v>
      </c>
      <c r="C378">
        <v>112.49999999999997</v>
      </c>
      <c r="D378">
        <v>95</v>
      </c>
      <c r="E378">
        <v>66.874999999999986</v>
      </c>
      <c r="J378">
        <f t="shared" si="78"/>
        <v>120</v>
      </c>
      <c r="K378">
        <f t="shared" si="77"/>
        <v>120.61938089851394</v>
      </c>
      <c r="L378">
        <f t="shared" si="77"/>
        <v>98.537991819264136</v>
      </c>
      <c r="M378">
        <f t="shared" si="77"/>
        <v>68.894896507905273</v>
      </c>
    </row>
    <row r="379" spans="2:17" x14ac:dyDescent="0.25">
      <c r="B379">
        <v>150</v>
      </c>
      <c r="C379">
        <v>147.5</v>
      </c>
      <c r="D379">
        <v>102.5</v>
      </c>
      <c r="E379">
        <v>71.874999999999986</v>
      </c>
      <c r="J379">
        <f t="shared" si="78"/>
        <v>150</v>
      </c>
      <c r="K379">
        <f t="shared" si="77"/>
        <v>131.72397461074209</v>
      </c>
      <c r="M379">
        <f t="shared" si="77"/>
        <v>72.458203399376657</v>
      </c>
    </row>
    <row r="380" spans="2:17" x14ac:dyDescent="0.25">
      <c r="B380">
        <v>180</v>
      </c>
      <c r="C380">
        <v>140</v>
      </c>
      <c r="D380">
        <v>112.49999999999997</v>
      </c>
      <c r="E380">
        <v>76.25</v>
      </c>
      <c r="J380">
        <f t="shared" si="78"/>
        <v>180</v>
      </c>
      <c r="K380">
        <f t="shared" si="77"/>
        <v>140.3372277800014</v>
      </c>
      <c r="L380">
        <f t="shared" si="77"/>
        <v>111.47806003248976</v>
      </c>
      <c r="M380">
        <f t="shared" si="77"/>
        <v>75.045829227679633</v>
      </c>
    </row>
    <row r="381" spans="2:17" x14ac:dyDescent="0.25">
      <c r="B381">
        <v>240</v>
      </c>
      <c r="C381">
        <v>152.5</v>
      </c>
      <c r="D381">
        <v>112.49999999999997</v>
      </c>
      <c r="E381">
        <v>79.375</v>
      </c>
      <c r="J381">
        <f t="shared" si="78"/>
        <v>240</v>
      </c>
      <c r="K381">
        <f t="shared" si="77"/>
        <v>152.82881562936331</v>
      </c>
      <c r="L381">
        <f t="shared" si="77"/>
        <v>119.31213030480266</v>
      </c>
      <c r="M381">
        <f t="shared" si="77"/>
        <v>78.552406582125442</v>
      </c>
    </row>
    <row r="382" spans="2:17" x14ac:dyDescent="0.25">
      <c r="B382">
        <v>300</v>
      </c>
      <c r="C382">
        <v>155.00000000000003</v>
      </c>
      <c r="D382">
        <v>122.5</v>
      </c>
      <c r="E382">
        <v>80.625</v>
      </c>
      <c r="J382">
        <f t="shared" si="78"/>
        <v>300</v>
      </c>
      <c r="K382">
        <f t="shared" si="77"/>
        <v>161.45140768601078</v>
      </c>
      <c r="L382">
        <f t="shared" si="77"/>
        <v>124.56435243787001</v>
      </c>
      <c r="M382">
        <f t="shared" si="77"/>
        <v>80.818183768793375</v>
      </c>
    </row>
    <row r="383" spans="2:17" x14ac:dyDescent="0.25">
      <c r="B383">
        <v>360</v>
      </c>
      <c r="C383" t="s">
        <v>87</v>
      </c>
      <c r="D383">
        <v>127.5</v>
      </c>
      <c r="E383">
        <v>81.875</v>
      </c>
      <c r="J383">
        <f t="shared" si="78"/>
        <v>360</v>
      </c>
      <c r="K383">
        <f t="shared" si="77"/>
        <v>167.76146861138025</v>
      </c>
      <c r="L383">
        <f t="shared" si="77"/>
        <v>128.3304980394874</v>
      </c>
      <c r="M383">
        <f t="shared" si="77"/>
        <v>82.402741647778527</v>
      </c>
    </row>
    <row r="384" spans="2:17" x14ac:dyDescent="0.25">
      <c r="B384">
        <v>480</v>
      </c>
      <c r="C384">
        <v>175</v>
      </c>
      <c r="D384">
        <v>135</v>
      </c>
      <c r="E384">
        <v>83.75</v>
      </c>
      <c r="J384">
        <f t="shared" si="78"/>
        <v>480</v>
      </c>
      <c r="K384">
        <f t="shared" si="77"/>
        <v>176.37828512772001</v>
      </c>
      <c r="L384">
        <f t="shared" si="77"/>
        <v>133.37101162737605</v>
      </c>
      <c r="M384">
        <f t="shared" si="77"/>
        <v>84.473011760657513</v>
      </c>
    </row>
    <row r="385" spans="2:17" x14ac:dyDescent="0.25">
      <c r="B385">
        <v>600</v>
      </c>
      <c r="C385">
        <v>180</v>
      </c>
      <c r="D385">
        <v>132.5</v>
      </c>
      <c r="E385">
        <v>86.25</v>
      </c>
      <c r="J385">
        <f t="shared" si="78"/>
        <v>600</v>
      </c>
      <c r="K385">
        <f t="shared" si="77"/>
        <v>181.98677187240182</v>
      </c>
      <c r="L385">
        <f t="shared" si="77"/>
        <v>136.58996703706075</v>
      </c>
      <c r="M385">
        <f t="shared" si="77"/>
        <v>85.765870578309048</v>
      </c>
    </row>
    <row r="386" spans="2:17" x14ac:dyDescent="0.25">
      <c r="B386">
        <v>1440</v>
      </c>
      <c r="C386">
        <v>195</v>
      </c>
      <c r="D386">
        <v>145</v>
      </c>
      <c r="E386">
        <v>90</v>
      </c>
      <c r="J386">
        <f t="shared" si="78"/>
        <v>1440</v>
      </c>
      <c r="K386">
        <f t="shared" si="77"/>
        <v>196.57148480496647</v>
      </c>
      <c r="L386">
        <f t="shared" si="77"/>
        <v>144.7411833740735</v>
      </c>
      <c r="M386">
        <f t="shared" si="77"/>
        <v>88.942141133850868</v>
      </c>
    </row>
    <row r="387" spans="2:17" x14ac:dyDescent="0.25">
      <c r="B387">
        <v>1560</v>
      </c>
      <c r="C387">
        <v>200</v>
      </c>
      <c r="D387">
        <v>142.5</v>
      </c>
      <c r="E387">
        <v>90.625</v>
      </c>
      <c r="J387">
        <f t="shared" si="78"/>
        <v>1560</v>
      </c>
      <c r="K387">
        <f t="shared" si="77"/>
        <v>197.44089310675102</v>
      </c>
      <c r="L387">
        <f t="shared" si="77"/>
        <v>145.21734096438573</v>
      </c>
      <c r="M387">
        <f t="shared" si="77"/>
        <v>89.123493740949641</v>
      </c>
    </row>
    <row r="388" spans="2:17" x14ac:dyDescent="0.25">
      <c r="B388">
        <v>1800</v>
      </c>
      <c r="C388">
        <v>195</v>
      </c>
      <c r="D388">
        <v>145</v>
      </c>
      <c r="E388">
        <v>89.375000000000014</v>
      </c>
      <c r="J388">
        <f t="shared" si="78"/>
        <v>1800</v>
      </c>
      <c r="K388">
        <f t="shared" si="77"/>
        <v>198.84805672650614</v>
      </c>
      <c r="L388">
        <f t="shared" si="77"/>
        <v>145.98574391283273</v>
      </c>
      <c r="M388">
        <f t="shared" si="77"/>
        <v>89.415201219969731</v>
      </c>
    </row>
    <row r="389" spans="2:17" x14ac:dyDescent="0.25">
      <c r="B389">
        <v>1920</v>
      </c>
      <c r="C389">
        <v>210.00000000000003</v>
      </c>
      <c r="D389">
        <v>155</v>
      </c>
      <c r="E389">
        <v>90</v>
      </c>
      <c r="J389">
        <f t="shared" si="78"/>
        <v>1920</v>
      </c>
      <c r="K389">
        <f t="shared" si="77"/>
        <v>199.4254629686742</v>
      </c>
      <c r="L389">
        <f t="shared" si="77"/>
        <v>146.30023543416081</v>
      </c>
      <c r="M389">
        <f t="shared" si="77"/>
        <v>89.534253564454133</v>
      </c>
    </row>
    <row r="390" spans="2:17" x14ac:dyDescent="0.25">
      <c r="B390">
        <v>2880</v>
      </c>
      <c r="C390">
        <v>200</v>
      </c>
      <c r="D390">
        <v>147.5</v>
      </c>
      <c r="E390">
        <v>89.375000000000014</v>
      </c>
      <c r="J390">
        <f t="shared" si="78"/>
        <v>2880</v>
      </c>
      <c r="K390">
        <f t="shared" si="77"/>
        <v>202.36353463017815</v>
      </c>
      <c r="L390">
        <f t="shared" si="77"/>
        <v>147.89323926328174</v>
      </c>
      <c r="M390">
        <f t="shared" si="77"/>
        <v>90.13430254325371</v>
      </c>
    </row>
    <row r="391" spans="2:17" x14ac:dyDescent="0.25">
      <c r="B391">
        <v>3000</v>
      </c>
      <c r="C391">
        <v>205</v>
      </c>
      <c r="D391">
        <v>148.75</v>
      </c>
      <c r="E391">
        <v>88.75</v>
      </c>
      <c r="J391">
        <f t="shared" si="78"/>
        <v>3000</v>
      </c>
      <c r="K391">
        <f t="shared" ref="K391:M392" si="79">$J391/((1/(K$371*(K$372^2)))+((1/K$372)*$J391))</f>
        <v>202.60232465820047</v>
      </c>
      <c r="L391">
        <f t="shared" si="79"/>
        <v>148.02217953359209</v>
      </c>
      <c r="M391">
        <f t="shared" si="79"/>
        <v>90.18265410243491</v>
      </c>
    </row>
    <row r="392" spans="2:17" x14ac:dyDescent="0.25">
      <c r="B392">
        <v>3120</v>
      </c>
      <c r="C392">
        <v>200</v>
      </c>
      <c r="D392">
        <v>150</v>
      </c>
      <c r="E392">
        <v>90</v>
      </c>
      <c r="J392">
        <f t="shared" si="78"/>
        <v>3120</v>
      </c>
      <c r="K392">
        <f t="shared" si="79"/>
        <v>202.82324695755753</v>
      </c>
      <c r="L392">
        <f t="shared" si="79"/>
        <v>148.14140103765149</v>
      </c>
      <c r="M392">
        <f t="shared" si="79"/>
        <v>90.227332376911548</v>
      </c>
    </row>
    <row r="395" spans="2:17" x14ac:dyDescent="0.25">
      <c r="B395" t="s">
        <v>89</v>
      </c>
      <c r="J395" t="s">
        <v>25</v>
      </c>
      <c r="K395">
        <f t="shared" ref="K395:P395" si="80">K397*(K398^2)</f>
        <v>0.42867369464430483</v>
      </c>
      <c r="L395">
        <f t="shared" si="80"/>
        <v>0.63930289316800248</v>
      </c>
      <c r="M395">
        <f t="shared" si="80"/>
        <v>0.1674661403990888</v>
      </c>
      <c r="N395">
        <f t="shared" si="80"/>
        <v>0.17137000707012981</v>
      </c>
      <c r="O395">
        <f t="shared" si="80"/>
        <v>0.24147113058289532</v>
      </c>
      <c r="P395">
        <f t="shared" si="80"/>
        <v>0.71651994966089338</v>
      </c>
    </row>
    <row r="396" spans="2:17" x14ac:dyDescent="0.25">
      <c r="J396" t="s">
        <v>65</v>
      </c>
      <c r="K396">
        <f t="shared" ref="K396:P396" si="81">SUMXMY2(C401:C411,K401:K411)</f>
        <v>59.707935457084496</v>
      </c>
      <c r="L396">
        <f t="shared" si="81"/>
        <v>19.409845227121689</v>
      </c>
      <c r="M396">
        <f t="shared" si="81"/>
        <v>79.741111427175269</v>
      </c>
      <c r="N396">
        <f t="shared" si="81"/>
        <v>24.946170565215851</v>
      </c>
      <c r="O396">
        <f t="shared" si="81"/>
        <v>22.262201902985012</v>
      </c>
      <c r="P396">
        <f t="shared" si="81"/>
        <v>4.4574593468888466</v>
      </c>
      <c r="Q396">
        <f>SUM(K396:P396)</f>
        <v>210.52472392647118</v>
      </c>
    </row>
    <row r="397" spans="2:17" x14ac:dyDescent="0.25">
      <c r="J397" t="s">
        <v>27</v>
      </c>
      <c r="K397">
        <v>2.0169583401581534E-4</v>
      </c>
      <c r="L397">
        <v>7.959960258340558E-4</v>
      </c>
      <c r="M397">
        <v>2.511864053408043E-4</v>
      </c>
      <c r="N397">
        <v>4.3483650652699946E-4</v>
      </c>
      <c r="O397">
        <v>1.2138651333361611E-3</v>
      </c>
      <c r="P397">
        <v>4.379546679512453E-3</v>
      </c>
    </row>
    <row r="398" spans="2:17" x14ac:dyDescent="0.25">
      <c r="B398" t="s">
        <v>66</v>
      </c>
      <c r="I398" t="s">
        <v>67</v>
      </c>
      <c r="J398" t="s">
        <v>26</v>
      </c>
      <c r="K398">
        <v>46.101489043794281</v>
      </c>
      <c r="L398">
        <v>28.339872053452346</v>
      </c>
      <c r="M398">
        <v>25.820547103728476</v>
      </c>
      <c r="N398">
        <v>19.852006482521979</v>
      </c>
      <c r="O398">
        <v>14.104165299804423</v>
      </c>
      <c r="P398">
        <v>12.790854641686009</v>
      </c>
    </row>
    <row r="399" spans="2:17" x14ac:dyDescent="0.25">
      <c r="C399" t="s">
        <v>79</v>
      </c>
    </row>
    <row r="400" spans="2:17" x14ac:dyDescent="0.25">
      <c r="B400" t="s">
        <v>86</v>
      </c>
      <c r="C400">
        <v>0.5</v>
      </c>
      <c r="D400">
        <v>0.75</v>
      </c>
      <c r="E400">
        <v>1</v>
      </c>
      <c r="F400">
        <v>1.5</v>
      </c>
      <c r="G400">
        <v>2</v>
      </c>
      <c r="H400">
        <v>2.5</v>
      </c>
      <c r="J400" t="s">
        <v>69</v>
      </c>
      <c r="K400">
        <f t="shared" ref="K400:P400" si="82">C400</f>
        <v>0.5</v>
      </c>
      <c r="L400">
        <f t="shared" si="82"/>
        <v>0.75</v>
      </c>
      <c r="M400">
        <f t="shared" si="82"/>
        <v>1</v>
      </c>
      <c r="N400">
        <f t="shared" si="82"/>
        <v>1.5</v>
      </c>
      <c r="O400">
        <f t="shared" si="82"/>
        <v>2</v>
      </c>
      <c r="P400">
        <f t="shared" si="82"/>
        <v>2.5</v>
      </c>
    </row>
    <row r="401" spans="2:16" x14ac:dyDescent="0.25">
      <c r="B401">
        <v>20</v>
      </c>
      <c r="H401">
        <v>6.8000000000000016</v>
      </c>
      <c r="J401">
        <f>B401</f>
        <v>20</v>
      </c>
      <c r="P401">
        <f t="shared" ref="P401:P411" si="83">$J401/((1/(P$397*(P$398^2)))+((1/P$398)*$J401))</f>
        <v>6.7584652592797791</v>
      </c>
    </row>
    <row r="402" spans="2:16" x14ac:dyDescent="0.25">
      <c r="B402">
        <v>30</v>
      </c>
      <c r="C402">
        <v>10.000000000000009</v>
      </c>
      <c r="D402">
        <v>10.666666666666663</v>
      </c>
      <c r="E402">
        <v>8.9999999999999964</v>
      </c>
      <c r="F402">
        <v>5.9999999999999973</v>
      </c>
      <c r="G402">
        <v>6.5</v>
      </c>
      <c r="H402">
        <v>8.3999999999999986</v>
      </c>
      <c r="J402">
        <f t="shared" ref="J402:J411" si="84">B402</f>
        <v>30</v>
      </c>
      <c r="K402">
        <f t="shared" ref="K402:O411" si="85">$J402/((1/(K$397*(K$398^2)))+((1/K$398)*$J402))</f>
        <v>10.055254008711429</v>
      </c>
      <c r="L402">
        <f t="shared" si="85"/>
        <v>11.438231793050685</v>
      </c>
      <c r="M402">
        <f t="shared" si="85"/>
        <v>4.2056732736799436</v>
      </c>
      <c r="N402">
        <f t="shared" si="85"/>
        <v>4.0835721619164396</v>
      </c>
      <c r="O402">
        <f t="shared" si="85"/>
        <v>4.7859766806809025</v>
      </c>
      <c r="P402">
        <f t="shared" si="83"/>
        <v>8.0191168991672406</v>
      </c>
    </row>
    <row r="403" spans="2:16" x14ac:dyDescent="0.25">
      <c r="B403">
        <v>40</v>
      </c>
      <c r="C403">
        <v>14.999999999999991</v>
      </c>
      <c r="D403">
        <v>16</v>
      </c>
      <c r="E403">
        <v>8.9999999999999964</v>
      </c>
      <c r="F403">
        <v>7.666666666666667</v>
      </c>
      <c r="G403">
        <v>7.5000000000000009</v>
      </c>
      <c r="H403">
        <v>9.1999999999999993</v>
      </c>
      <c r="J403">
        <f t="shared" si="84"/>
        <v>40</v>
      </c>
      <c r="K403">
        <f t="shared" si="85"/>
        <v>12.498329841896707</v>
      </c>
      <c r="L403">
        <f t="shared" si="85"/>
        <v>13.44247388514685</v>
      </c>
      <c r="M403">
        <f t="shared" si="85"/>
        <v>5.318788081520653</v>
      </c>
      <c r="N403">
        <f t="shared" si="85"/>
        <v>5.0953878854327757</v>
      </c>
      <c r="O403">
        <f t="shared" si="85"/>
        <v>5.7328573541777281</v>
      </c>
      <c r="P403">
        <f t="shared" si="83"/>
        <v>8.8439441546057793</v>
      </c>
    </row>
    <row r="404" spans="2:16" x14ac:dyDescent="0.25">
      <c r="B404">
        <v>70</v>
      </c>
      <c r="C404">
        <v>21.999999999999996</v>
      </c>
      <c r="D404">
        <v>16.666666666666668</v>
      </c>
      <c r="E404">
        <v>10.999999999999998</v>
      </c>
      <c r="F404">
        <v>9</v>
      </c>
      <c r="G404">
        <v>8.0000000000000018</v>
      </c>
      <c r="H404">
        <v>10.199999999999999</v>
      </c>
      <c r="J404">
        <f t="shared" si="84"/>
        <v>70</v>
      </c>
      <c r="K404">
        <f t="shared" si="85"/>
        <v>18.17631421607652</v>
      </c>
      <c r="L404">
        <f t="shared" si="85"/>
        <v>17.351548887132086</v>
      </c>
      <c r="M404">
        <f t="shared" si="85"/>
        <v>8.0623095963013451</v>
      </c>
      <c r="N404">
        <f t="shared" si="85"/>
        <v>7.4774990569202231</v>
      </c>
      <c r="O404">
        <f t="shared" si="85"/>
        <v>7.6886284165146845</v>
      </c>
      <c r="P404">
        <f t="shared" si="83"/>
        <v>10.191758421293782</v>
      </c>
    </row>
    <row r="405" spans="2:16" x14ac:dyDescent="0.25">
      <c r="B405">
        <v>120</v>
      </c>
      <c r="C405">
        <v>26</v>
      </c>
      <c r="D405">
        <v>21.333333333333339</v>
      </c>
      <c r="E405">
        <v>11.5</v>
      </c>
      <c r="F405">
        <v>9.6666666666666679</v>
      </c>
      <c r="G405">
        <v>9.0000000000000018</v>
      </c>
      <c r="H405">
        <v>10.6</v>
      </c>
      <c r="J405">
        <f t="shared" si="84"/>
        <v>120</v>
      </c>
      <c r="K405">
        <f t="shared" si="85"/>
        <v>24.312515582350997</v>
      </c>
      <c r="L405">
        <f t="shared" si="85"/>
        <v>20.694933430446174</v>
      </c>
      <c r="M405">
        <f t="shared" si="85"/>
        <v>11.30069289541531</v>
      </c>
      <c r="N405">
        <f t="shared" si="85"/>
        <v>10.100962601874498</v>
      </c>
      <c r="O405">
        <f t="shared" si="85"/>
        <v>9.4866109349420782</v>
      </c>
      <c r="P405">
        <f t="shared" si="83"/>
        <v>11.134475361040424</v>
      </c>
    </row>
    <row r="406" spans="2:16" x14ac:dyDescent="0.25">
      <c r="B406">
        <v>185</v>
      </c>
      <c r="C406">
        <v>27</v>
      </c>
      <c r="D406">
        <v>22.000000000000004</v>
      </c>
      <c r="E406">
        <v>12</v>
      </c>
      <c r="F406">
        <v>10.000000000000002</v>
      </c>
      <c r="G406">
        <v>9.2500000000000036</v>
      </c>
      <c r="H406">
        <v>10.6</v>
      </c>
      <c r="J406">
        <f t="shared" si="84"/>
        <v>185</v>
      </c>
      <c r="K406">
        <f t="shared" si="85"/>
        <v>29.153773503374687</v>
      </c>
      <c r="L406">
        <f t="shared" si="85"/>
        <v>22.86177794125944</v>
      </c>
      <c r="M406">
        <f t="shared" si="85"/>
        <v>14.083228015954143</v>
      </c>
      <c r="N406">
        <f t="shared" si="85"/>
        <v>12.207769028873656</v>
      </c>
      <c r="O406">
        <f t="shared" si="85"/>
        <v>10.719682165824622</v>
      </c>
      <c r="P406">
        <f t="shared" si="83"/>
        <v>11.665231743095497</v>
      </c>
    </row>
    <row r="407" spans="2:16" x14ac:dyDescent="0.25">
      <c r="B407">
        <v>240</v>
      </c>
      <c r="C407">
        <v>28.000000000000004</v>
      </c>
      <c r="D407">
        <v>22.666666666666671</v>
      </c>
      <c r="E407">
        <v>13</v>
      </c>
      <c r="F407">
        <v>11.333333333333336</v>
      </c>
      <c r="G407">
        <v>9.4999999999999964</v>
      </c>
      <c r="H407">
        <v>11.200000000000001</v>
      </c>
      <c r="J407">
        <f t="shared" si="84"/>
        <v>240</v>
      </c>
      <c r="K407">
        <f t="shared" si="85"/>
        <v>31.835802457133767</v>
      </c>
      <c r="L407">
        <f t="shared" si="85"/>
        <v>23.921447624224538</v>
      </c>
      <c r="M407">
        <f t="shared" si="85"/>
        <v>15.720922750294493</v>
      </c>
      <c r="N407">
        <f t="shared" si="85"/>
        <v>13.38928200988159</v>
      </c>
      <c r="O407">
        <f t="shared" si="85"/>
        <v>11.343478267093404</v>
      </c>
      <c r="P407">
        <f t="shared" si="83"/>
        <v>11.905328439630541</v>
      </c>
    </row>
    <row r="408" spans="2:16" x14ac:dyDescent="0.25">
      <c r="B408">
        <v>300</v>
      </c>
      <c r="C408">
        <v>31.000000000000007</v>
      </c>
      <c r="D408">
        <v>24.000000000000004</v>
      </c>
      <c r="E408">
        <v>14.000000000000002</v>
      </c>
      <c r="F408">
        <v>13.999999999999998</v>
      </c>
      <c r="G408">
        <v>10.499999999999998</v>
      </c>
      <c r="H408">
        <v>12.000000000000002</v>
      </c>
      <c r="J408">
        <f t="shared" si="84"/>
        <v>300</v>
      </c>
      <c r="K408">
        <f t="shared" si="85"/>
        <v>33.936042405979826</v>
      </c>
      <c r="L408">
        <f t="shared" si="85"/>
        <v>24.69136595206918</v>
      </c>
      <c r="M408">
        <f t="shared" si="85"/>
        <v>17.055135047037773</v>
      </c>
      <c r="N408">
        <f t="shared" si="85"/>
        <v>14.321757772781117</v>
      </c>
      <c r="O408">
        <f t="shared" si="85"/>
        <v>11.805634832951322</v>
      </c>
      <c r="P408">
        <f t="shared" si="83"/>
        <v>12.072486989273257</v>
      </c>
    </row>
    <row r="409" spans="2:16" x14ac:dyDescent="0.25">
      <c r="B409">
        <v>360</v>
      </c>
      <c r="C409">
        <v>35.000000000000007</v>
      </c>
      <c r="D409">
        <v>24.666666666666675</v>
      </c>
      <c r="E409">
        <v>17.000000000000004</v>
      </c>
      <c r="F409">
        <v>14.33333333333333</v>
      </c>
      <c r="G409">
        <v>10.999999999999998</v>
      </c>
      <c r="H409">
        <v>12.400000000000002</v>
      </c>
      <c r="J409">
        <f t="shared" si="84"/>
        <v>360</v>
      </c>
      <c r="K409">
        <f t="shared" si="85"/>
        <v>35.497234616445908</v>
      </c>
      <c r="L409">
        <f t="shared" si="85"/>
        <v>25.232781939453353</v>
      </c>
      <c r="M409">
        <f t="shared" si="85"/>
        <v>18.077969368523139</v>
      </c>
      <c r="N409">
        <f t="shared" si="85"/>
        <v>15.019078023807863</v>
      </c>
      <c r="O409">
        <f t="shared" si="85"/>
        <v>12.135244668052325</v>
      </c>
      <c r="P409">
        <f t="shared" si="83"/>
        <v>12.186558457197386</v>
      </c>
    </row>
    <row r="410" spans="2:16" x14ac:dyDescent="0.25">
      <c r="B410">
        <v>1440</v>
      </c>
      <c r="C410">
        <v>43.999999999999993</v>
      </c>
      <c r="D410">
        <v>26.666666666666661</v>
      </c>
      <c r="E410">
        <v>23</v>
      </c>
      <c r="F410">
        <v>19.333333333333336</v>
      </c>
      <c r="G410">
        <v>14.750000000000002</v>
      </c>
      <c r="H410">
        <v>12.599999999999998</v>
      </c>
      <c r="J410">
        <f t="shared" si="84"/>
        <v>1440</v>
      </c>
      <c r="K410">
        <f t="shared" si="85"/>
        <v>42.897729360736939</v>
      </c>
      <c r="L410">
        <f t="shared" si="85"/>
        <v>27.493504842532104</v>
      </c>
      <c r="M410">
        <f t="shared" si="85"/>
        <v>23.32327705681509</v>
      </c>
      <c r="N410">
        <f t="shared" si="85"/>
        <v>18.373891405636741</v>
      </c>
      <c r="O410">
        <f t="shared" si="85"/>
        <v>13.554372438699888</v>
      </c>
      <c r="P410">
        <f t="shared" si="83"/>
        <v>12.634230900173208</v>
      </c>
    </row>
    <row r="411" spans="2:16" x14ac:dyDescent="0.25">
      <c r="B411">
        <v>2880</v>
      </c>
      <c r="C411">
        <v>47</v>
      </c>
      <c r="D411">
        <v>30.666666666666668</v>
      </c>
      <c r="E411">
        <v>28.000000000000004</v>
      </c>
      <c r="F411">
        <v>20.333333333333336</v>
      </c>
      <c r="G411">
        <v>16.249999999999996</v>
      </c>
      <c r="H411">
        <v>14.2</v>
      </c>
      <c r="J411">
        <f t="shared" si="84"/>
        <v>2880</v>
      </c>
      <c r="K411">
        <f t="shared" si="85"/>
        <v>44.441945346948764</v>
      </c>
      <c r="L411">
        <f t="shared" si="85"/>
        <v>27.910273490707308</v>
      </c>
      <c r="M411">
        <f t="shared" si="85"/>
        <v>24.50846201514419</v>
      </c>
      <c r="N411">
        <f t="shared" si="85"/>
        <v>19.084371143409935</v>
      </c>
      <c r="O411">
        <f t="shared" si="85"/>
        <v>13.823804513309348</v>
      </c>
      <c r="P411">
        <f t="shared" si="83"/>
        <v>12.712060353744324</v>
      </c>
    </row>
  </sheetData>
  <pageMargins left="0.7" right="0.7" top="0.75" bottom="0.75" header="0.3" footer="0.3"/>
  <pageSetup paperSize="9" orientation="portrait" horizontalDpi="4294967292" verticalDpi="4294967292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Bullen, Jay</dc:creator>
  <cp:keywords/>
  <dc:description/>
  <cp:lastModifiedBy>Weiss, Dominik J</cp:lastModifiedBy>
  <cp:revision/>
  <dcterms:created xsi:type="dcterms:W3CDTF">2021-01-19T20:54:13Z</dcterms:created>
  <dcterms:modified xsi:type="dcterms:W3CDTF">2022-06-24T15:28:06Z</dcterms:modified>
  <cp:category/>
  <cp:contentStatus/>
</cp:coreProperties>
</file>