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eizhou/Desktop/"/>
    </mc:Choice>
  </mc:AlternateContent>
  <xr:revisionPtr revIDLastSave="0" documentId="13_ncr:1_{D335C56C-7DCC-8749-9A2C-AEC0AB4BC839}" xr6:coauthVersionLast="47" xr6:coauthVersionMax="47" xr10:uidLastSave="{00000000-0000-0000-0000-000000000000}"/>
  <bookViews>
    <workbookView xWindow="-38400" yWindow="-480" windowWidth="38400" windowHeight="19600" activeTab="1" xr2:uid="{00000000-000D-0000-FFFF-FFFF00000000}"/>
  </bookViews>
  <sheets>
    <sheet name="Kickstarter_Challenge.xlsx" sheetId="1" r:id="rId1"/>
    <sheet name="Theater Outcomes by Launch Date" sheetId="10" r:id="rId2"/>
    <sheet name="Outcomes Based on Goal" sheetId="11" r:id="rId3"/>
    <sheet name="Discriptive Statistic" sheetId="8" r:id="rId4"/>
    <sheet name="Edinburg Research" sheetId="5" r:id="rId5"/>
    <sheet name="Category Statistics" sheetId="2" r:id="rId6"/>
    <sheet name="Subcategor Statistic" sheetId="3" r:id="rId7"/>
    <sheet name="Outcomes Based on Launched Date" sheetId="4" r:id="rId8"/>
  </sheets>
  <definedNames>
    <definedName name="_xlnm._FilterDatabase" localSheetId="0" hidden="1">Kickstarter_Challenge.xlsx!$A$1:$U$4116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2" i="11" l="1"/>
  <c r="E22" i="11" s="1"/>
  <c r="G22" i="11" s="1"/>
  <c r="C2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2" i="11"/>
  <c r="B13" i="11"/>
  <c r="B12" i="11"/>
  <c r="B11" i="11"/>
  <c r="B10" i="11"/>
  <c r="B9" i="11"/>
  <c r="B8" i="11"/>
  <c r="B7" i="11"/>
  <c r="B6" i="11"/>
  <c r="B5" i="11"/>
  <c r="B4" i="11"/>
  <c r="B3" i="11"/>
  <c r="B2" i="11"/>
  <c r="C14" i="8"/>
  <c r="C13" i="8"/>
  <c r="C12" i="8"/>
  <c r="C11" i="8"/>
  <c r="B13" i="8"/>
  <c r="B12" i="8"/>
  <c r="B14" i="8" s="1"/>
  <c r="B11" i="8"/>
  <c r="C7" i="8"/>
  <c r="C6" i="8"/>
  <c r="C5" i="8"/>
  <c r="C4" i="8"/>
  <c r="B6" i="8"/>
  <c r="B5" i="8"/>
  <c r="B7" i="8" s="1"/>
  <c r="B4" i="8"/>
  <c r="B9" i="8"/>
  <c r="C9" i="8"/>
  <c r="B10" i="8"/>
  <c r="C10" i="8"/>
  <c r="C3" i="8"/>
  <c r="B3" i="8"/>
  <c r="C2" i="8"/>
  <c r="B2" i="8"/>
  <c r="F3" i="5"/>
  <c r="F4" i="5"/>
  <c r="F5" i="5"/>
  <c r="F6" i="5"/>
  <c r="F2" i="5"/>
  <c r="B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G17" i="10"/>
  <c r="G16" i="10"/>
  <c r="G15" i="10"/>
  <c r="G14" i="10"/>
  <c r="G13" i="10"/>
  <c r="G12" i="10"/>
  <c r="G11" i="10"/>
  <c r="G10" i="10"/>
  <c r="G9" i="10"/>
  <c r="G8" i="10"/>
  <c r="G7" i="10"/>
  <c r="G6" i="10"/>
  <c r="E10" i="11" l="1"/>
  <c r="F10" i="11" s="1"/>
  <c r="E9" i="11"/>
  <c r="F9" i="11" s="1"/>
  <c r="E11" i="11"/>
  <c r="F11" i="11" s="1"/>
  <c r="E4" i="11"/>
  <c r="G4" i="11" s="1"/>
  <c r="E12" i="11"/>
  <c r="G12" i="11" s="1"/>
  <c r="E5" i="11"/>
  <c r="H5" i="11" s="1"/>
  <c r="E8" i="11"/>
  <c r="G8" i="11" s="1"/>
  <c r="E6" i="11"/>
  <c r="H6" i="11" s="1"/>
  <c r="E7" i="11"/>
  <c r="G7" i="11" s="1"/>
  <c r="B21" i="11"/>
  <c r="E13" i="11"/>
  <c r="H13" i="11" s="1"/>
  <c r="E3" i="11"/>
  <c r="F3" i="11" s="1"/>
  <c r="D21" i="11"/>
  <c r="E2" i="11"/>
  <c r="G2" i="11" s="1"/>
  <c r="F22" i="11"/>
  <c r="G10" i="11"/>
  <c r="H22" i="11"/>
  <c r="C21" i="11"/>
  <c r="H9" i="11" l="1"/>
  <c r="G9" i="11"/>
  <c r="F12" i="11"/>
  <c r="H12" i="11"/>
  <c r="H10" i="11"/>
  <c r="H8" i="11"/>
  <c r="F6" i="11"/>
  <c r="F4" i="11"/>
  <c r="H4" i="11"/>
  <c r="F2" i="11"/>
  <c r="H2" i="11"/>
  <c r="H11" i="11"/>
  <c r="F5" i="11"/>
  <c r="G13" i="11"/>
  <c r="G11" i="11"/>
  <c r="F7" i="11"/>
  <c r="H7" i="11"/>
  <c r="G5" i="11"/>
  <c r="G6" i="11"/>
  <c r="G3" i="11"/>
  <c r="H3" i="11"/>
  <c r="F13" i="11"/>
  <c r="F8" i="11"/>
  <c r="E21" i="11"/>
  <c r="G21" i="11" s="1"/>
  <c r="H21" i="11" l="1"/>
  <c r="F21" i="11"/>
</calcChain>
</file>

<file path=xl/sharedStrings.xml><?xml version="1.0" encoding="utf-8"?>
<sst xmlns="http://schemas.openxmlformats.org/spreadsheetml/2006/main" count="33051" uniqueCount="8418">
  <si>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</si>
  <si>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</si>
  <si>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</si>
  <si>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</si>
  <si>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</si>
  <si>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</si>
  <si>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</si>
  <si>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</si>
  <si>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</si>
  <si>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</si>
  <si>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</si>
  <si>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</si>
  <si>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</si>
  <si>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</si>
  <si>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</si>
  <si>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</si>
  <si>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</si>
  <si>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</si>
  <si>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</si>
  <si>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</si>
  <si>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</si>
  <si>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</si>
  <si>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</si>
  <si>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</si>
  <si>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</si>
  <si>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</si>
  <si>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</si>
  <si>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</si>
  <si>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</si>
  <si>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</si>
  <si>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</si>
  <si>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</si>
  <si>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</si>
  <si>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</si>
  <si>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</si>
  <si>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</si>
  <si>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</si>
  <si>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</si>
  <si>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</si>
  <si>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</si>
  <si>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</si>
  <si>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</si>
  <si>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</si>
  <si>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</si>
  <si>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</si>
  <si>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</si>
  <si>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</si>
  <si>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</si>
  <si>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</si>
  <si>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</si>
  <si>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</si>
  <si>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</si>
  <si>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</si>
  <si>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</si>
  <si>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</si>
  <si>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</si>
  <si>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</si>
  <si>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</si>
  <si>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</si>
  <si>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</si>
  <si>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</si>
  <si>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</si>
  <si>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</si>
  <si>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</si>
  <si>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</si>
  <si>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</si>
  <si>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</si>
  <si>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</si>
  <si>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</si>
  <si>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</si>
  <si>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</si>
  <si>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</si>
  <si>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</si>
  <si>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</si>
  <si>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</si>
  <si>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</si>
  <si>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</si>
  <si>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</si>
  <si>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</si>
  <si>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</si>
  <si>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</si>
  <si>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</si>
  <si>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</si>
  <si>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</si>
  <si>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</si>
  <si>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</si>
  <si>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</si>
  <si>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</si>
  <si>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</si>
  <si>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</si>
  <si>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</si>
  <si>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</si>
  <si>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</si>
  <si>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</si>
  <si>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</si>
  <si>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</si>
  <si>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</si>
  <si>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</si>
  <si>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</si>
  <si>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</si>
  <si>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</si>
  <si>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</si>
  <si>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</si>
  <si>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</si>
  <si>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</si>
  <si>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</si>
  <si>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</si>
  <si>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</si>
  <si>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</si>
  <si>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</si>
  <si>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</si>
  <si>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</si>
  <si>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</si>
  <si>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</si>
  <si>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</si>
  <si>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</si>
  <si>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</si>
  <si>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</si>
  <si>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</si>
  <si>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</si>
  <si>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</si>
  <si>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</si>
  <si>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</si>
  <si>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</si>
  <si>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</si>
  <si>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</si>
  <si>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</si>
  <si>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</si>
  <si>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</si>
  <si>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</si>
  <si>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</si>
  <si>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</si>
  <si>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</si>
  <si>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</si>
  <si>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</si>
  <si>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</si>
  <si>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</si>
  <si>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</si>
  <si>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</si>
  <si>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</si>
  <si>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</si>
  <si>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</si>
  <si>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</si>
  <si>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</si>
  <si>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</si>
  <si>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</si>
  <si>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</si>
  <si>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</si>
  <si>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</si>
  <si>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</si>
  <si>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</si>
  <si>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</si>
  <si>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</si>
  <si>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</si>
  <si>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</si>
  <si>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</si>
  <si>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</si>
  <si>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</si>
  <si>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</si>
  <si>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</si>
  <si>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</si>
  <si>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</si>
  <si>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</si>
  <si>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</si>
  <si>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</si>
  <si>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</si>
  <si>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</si>
  <si>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</si>
  <si>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</si>
  <si>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</si>
  <si>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</si>
  <si>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</si>
  <si>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</si>
  <si>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</si>
  <si>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</si>
  <si>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</si>
  <si>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</si>
  <si>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</si>
  <si>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</si>
  <si>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</si>
  <si>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</si>
  <si>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</si>
  <si>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</si>
  <si>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</si>
  <si>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</si>
  <si>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</si>
  <si>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</si>
  <si>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</si>
  <si>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</si>
  <si>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</si>
  <si>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</si>
  <si>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</si>
  <si>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</si>
  <si>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</si>
  <si>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</si>
  <si>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</si>
  <si>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</si>
  <si>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</si>
  <si>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</si>
  <si>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</si>
  <si>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</si>
  <si>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</si>
  <si>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</si>
  <si>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</si>
  <si>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</si>
  <si>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</si>
  <si>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</si>
  <si>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</si>
  <si>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</si>
  <si>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</si>
  <si>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</si>
  <si>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</si>
  <si>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</si>
  <si>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</si>
  <si>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</si>
  <si>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</si>
  <si>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</si>
  <si>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</si>
  <si>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</si>
  <si>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</si>
  <si>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</si>
  <si>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</si>
  <si>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</si>
  <si>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</si>
  <si>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</si>
  <si>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</si>
  <si>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</si>
  <si>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</si>
  <si>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</si>
  <si>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</si>
  <si>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</si>
  <si>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</si>
  <si>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</si>
  <si>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</si>
  <si>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</si>
  <si>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</si>
  <si>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</si>
  <si>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</si>
  <si>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</si>
  <si>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</si>
  <si>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</si>
  <si>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</si>
  <si>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</si>
  <si>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</si>
  <si>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</si>
  <si>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</si>
  <si>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</si>
  <si>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</si>
  <si>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</si>
  <si>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</si>
  <si>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</si>
  <si>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</si>
  <si>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</si>
  <si>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</si>
  <si>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</si>
  <si>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</si>
  <si>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</si>
  <si>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</si>
  <si>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</si>
  <si>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</si>
  <si>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</si>
  <si>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</si>
  <si>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</si>
  <si>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</si>
  <si>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</si>
  <si>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</si>
  <si>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</si>
  <si>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</si>
  <si>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</si>
  <si>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</si>
  <si>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</si>
  <si>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</si>
  <si>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</si>
  <si>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</si>
  <si>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</si>
  <si>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</si>
  <si>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</si>
  <si>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</si>
  <si>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</si>
  <si>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</si>
  <si>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</si>
  <si>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</si>
  <si>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</si>
  <si>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</si>
  <si>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</si>
  <si>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</si>
  <si>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</si>
  <si>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</si>
  <si>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</si>
  <si>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</si>
  <si>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</si>
  <si>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</si>
  <si>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</si>
  <si>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</si>
  <si>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</si>
  <si>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</si>
  <si>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</si>
  <si>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</si>
  <si>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</si>
  <si>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</si>
  <si>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</si>
  <si>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</si>
  <si>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</si>
  <si>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</si>
  <si>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</si>
  <si>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</si>
  <si>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</si>
  <si>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</si>
  <si>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</si>
  <si>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</si>
  <si>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</si>
  <si>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</si>
  <si>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</si>
  <si>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</si>
  <si>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</si>
  <si>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</si>
  <si>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</si>
  <si>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</si>
  <si>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</si>
  <si>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</si>
  <si>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</si>
  <si>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</si>
  <si>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</si>
  <si>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</si>
  <si>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</si>
  <si>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</si>
  <si>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</si>
  <si>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</si>
  <si>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</si>
  <si>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</si>
  <si>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</si>
  <si>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</si>
  <si>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</si>
  <si>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</si>
  <si>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</si>
  <si>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</si>
  <si>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</si>
  <si>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</si>
  <si>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</si>
  <si>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</si>
  <si>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</si>
  <si>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</si>
  <si>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</si>
  <si>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</si>
  <si>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</si>
  <si>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</si>
  <si>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</si>
  <si>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</si>
  <si>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</si>
  <si>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</si>
  <si>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</si>
  <si>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</si>
  <si>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</si>
  <si>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</si>
  <si>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</si>
  <si>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</si>
  <si>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</si>
  <si>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</si>
  <si>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</si>
  <si>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</si>
  <si>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</si>
  <si>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</si>
  <si>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</si>
  <si>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</si>
  <si>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</si>
  <si>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</si>
  <si>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</si>
  <si>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</si>
  <si>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</si>
  <si>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</si>
  <si>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</si>
  <si>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</si>
  <si>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</si>
  <si>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</si>
  <si>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</si>
  <si>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</si>
  <si>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</si>
  <si>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</si>
  <si>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</si>
  <si>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</si>
  <si>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</si>
  <si>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</si>
  <si>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</si>
  <si>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</si>
  <si>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</si>
  <si>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</si>
  <si>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</si>
  <si>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</si>
  <si>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</si>
  <si>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</si>
  <si>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</si>
  <si>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</si>
  <si>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</si>
  <si>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</si>
  <si>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</si>
  <si>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</si>
  <si>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</si>
  <si>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</si>
  <si>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</si>
  <si>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</si>
  <si>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</si>
  <si>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</si>
  <si>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</si>
  <si>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</si>
  <si>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</si>
  <si>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</si>
  <si>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</si>
  <si>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</si>
  <si>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</si>
  <si>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</si>
  <si>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</si>
  <si>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</si>
  <si>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</si>
  <si>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</si>
  <si>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</si>
  <si>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</si>
  <si>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</si>
  <si>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</si>
  <si>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</si>
  <si>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</si>
  <si>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</si>
  <si>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</si>
  <si>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</si>
  <si>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</si>
  <si>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</si>
  <si>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</si>
  <si>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</si>
  <si>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</si>
  <si>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</si>
  <si>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</si>
  <si>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</si>
  <si>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</si>
  <si>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</si>
  <si>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</si>
  <si>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</si>
  <si>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</si>
  <si>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</si>
  <si>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</si>
  <si>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</si>
  <si>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</si>
  <si>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</si>
  <si>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</si>
  <si>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</si>
  <si>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</si>
  <si>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</si>
  <si>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</si>
  <si>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</si>
  <si>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</si>
  <si>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</si>
  <si>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</si>
  <si>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</si>
  <si>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</si>
  <si>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</si>
  <si>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</si>
  <si>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</si>
  <si>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</si>
  <si>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</si>
  <si>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</si>
  <si>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</si>
  <si>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</si>
  <si>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</si>
  <si>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</si>
  <si>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</si>
  <si>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</si>
  <si>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</si>
  <si>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</si>
  <si>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</si>
  <si>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</si>
  <si>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</si>
  <si>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</si>
  <si>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</si>
  <si>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</si>
  <si>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</si>
  <si>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</si>
  <si>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</si>
  <si>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</si>
  <si>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</si>
  <si>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</si>
  <si>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</si>
  <si>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</si>
  <si>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</si>
  <si>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</si>
  <si>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</si>
  <si>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</si>
  <si>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</si>
  <si>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</si>
  <si>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</si>
  <si>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</si>
  <si>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</si>
  <si>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</si>
  <si>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</si>
  <si>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</si>
  <si>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</si>
  <si>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</si>
  <si>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</si>
  <si>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</si>
  <si>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</si>
  <si>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</si>
  <si>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</si>
  <si>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</si>
  <si>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</si>
  <si>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</si>
  <si>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</si>
  <si>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</si>
  <si>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</si>
  <si>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</si>
  <si>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</si>
  <si>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</si>
  <si>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</si>
  <si>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</si>
  <si>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</si>
  <si>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</si>
  <si>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</si>
  <si>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</si>
  <si>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</si>
  <si>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</si>
  <si>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</si>
  <si>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</si>
  <si>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</si>
  <si>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</si>
  <si>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</si>
  <si>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</si>
  <si>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</si>
  <si>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</si>
  <si>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</si>
  <si>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</si>
  <si>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</si>
  <si>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</si>
  <si>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</si>
  <si>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</si>
  <si>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</si>
  <si>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</si>
  <si>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</si>
  <si>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</si>
  <si>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</si>
  <si>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</si>
  <si>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</si>
  <si>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</si>
  <si>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</si>
  <si>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</si>
  <si>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</si>
  <si>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</si>
  <si>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</si>
  <si>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</si>
  <si>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</si>
  <si>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</si>
  <si>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</si>
  <si>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</si>
  <si>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</si>
  <si>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</si>
  <si>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</si>
  <si>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</si>
  <si>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</si>
  <si>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</si>
  <si>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</si>
  <si>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</si>
  <si>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</si>
  <si>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</si>
  <si>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</si>
  <si>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</si>
  <si>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</si>
  <si>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</si>
  <si>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</si>
  <si>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</si>
  <si>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</si>
  <si>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</si>
  <si>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</si>
  <si>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</si>
  <si>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</si>
  <si>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</si>
  <si>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</si>
  <si>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</si>
  <si>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</si>
  <si>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</si>
  <si>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</si>
  <si>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</si>
  <si>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</si>
  <si>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</si>
  <si>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</si>
  <si>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</si>
  <si>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</si>
  <si>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</si>
  <si>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</si>
  <si>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</si>
  <si>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</si>
  <si>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</si>
  <si>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</si>
  <si>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</si>
  <si>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</si>
  <si>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</si>
  <si>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</si>
  <si>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</si>
  <si>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</si>
  <si>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</si>
  <si>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</si>
  <si>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</si>
  <si>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</si>
  <si>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</si>
  <si>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</si>
  <si>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</si>
  <si>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</si>
  <si>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</si>
  <si>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</si>
  <si>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</si>
  <si>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</si>
  <si>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</si>
  <si>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</si>
  <si>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</si>
  <si>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</si>
  <si>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</si>
  <si>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</si>
  <si>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</si>
  <si>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</si>
  <si>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</si>
  <si>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</si>
  <si>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</si>
  <si>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</si>
  <si>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</si>
  <si>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</si>
  <si>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</si>
  <si>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</si>
  <si>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</si>
  <si>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</si>
  <si>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</si>
  <si>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</si>
  <si>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</si>
  <si>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</si>
  <si>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</si>
  <si>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</si>
  <si>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</si>
  <si>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</si>
  <si>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</si>
  <si>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</si>
  <si>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</si>
  <si>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</si>
  <si>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</si>
  <si>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</si>
  <si>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</si>
  <si>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</si>
  <si>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</si>
  <si>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</si>
  <si>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</si>
  <si>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</si>
  <si>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</si>
  <si>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</si>
  <si>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</si>
  <si>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</si>
  <si>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</si>
  <si>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</si>
  <si>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</si>
  <si>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</si>
  <si>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</si>
  <si>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</si>
  <si>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</si>
  <si>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</si>
  <si>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</si>
  <si>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</si>
  <si>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</si>
  <si>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</si>
  <si>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</si>
  <si>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</si>
  <si>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</si>
  <si>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</si>
  <si>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</si>
  <si>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</si>
  <si>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</si>
  <si>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</si>
  <si>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</si>
  <si>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</si>
  <si>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</si>
  <si>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</si>
  <si>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</si>
  <si>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</si>
  <si>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</si>
  <si>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</si>
  <si>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</si>
  <si>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</si>
  <si>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</si>
  <si>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</si>
  <si>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</si>
  <si>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</si>
  <si>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</si>
  <si>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</si>
  <si>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</si>
  <si>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</si>
  <si>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</si>
  <si>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</si>
  <si>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</si>
  <si>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</si>
  <si>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</si>
  <si>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</si>
  <si>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</si>
  <si>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</si>
  <si>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</si>
  <si>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</si>
  <si>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</si>
  <si>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</si>
  <si>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</si>
  <si>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</si>
  <si>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</si>
  <si>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</si>
  <si>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</si>
  <si>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</si>
  <si>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</si>
  <si>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</si>
  <si>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</si>
  <si>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</si>
  <si>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</si>
  <si>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</si>
  <si>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</si>
  <si>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</si>
  <si>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</si>
  <si>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</si>
  <si>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</si>
  <si>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</si>
  <si>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</si>
  <si>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</si>
  <si>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</si>
  <si>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</si>
  <si>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</si>
  <si>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</si>
  <si>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</si>
  <si>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</si>
  <si>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</si>
  <si>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</si>
  <si>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</si>
  <si>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</si>
  <si>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</si>
  <si>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</si>
  <si>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</si>
  <si>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</si>
  <si>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</si>
  <si>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</si>
  <si>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</si>
  <si>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</si>
  <si>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</si>
  <si>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</si>
  <si>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</si>
  <si>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</si>
  <si>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</si>
  <si>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</si>
  <si>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</si>
  <si>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</si>
  <si>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</si>
  <si>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</si>
  <si>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</si>
  <si>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</si>
  <si>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</si>
  <si>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</si>
  <si>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</si>
  <si>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</si>
  <si>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</si>
  <si>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</si>
  <si>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</si>
  <si>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</si>
  <si>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</si>
  <si>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</si>
  <si>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</si>
  <si>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</si>
  <si>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</si>
  <si>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</si>
  <si>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</si>
  <si>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</si>
  <si>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</si>
  <si>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</si>
  <si>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</si>
  <si>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</si>
  <si>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</si>
  <si>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</si>
  <si>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</si>
  <si>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</si>
  <si>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</si>
  <si>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</si>
  <si>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</si>
  <si>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</si>
  <si>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</si>
  <si>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</si>
  <si>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</si>
  <si>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</si>
  <si>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</si>
  <si>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</si>
  <si>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</si>
  <si>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</si>
  <si>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</si>
  <si>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</si>
  <si>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</si>
  <si>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</si>
  <si>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</si>
  <si>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</si>
  <si>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</si>
  <si>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</si>
  <si>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</si>
  <si>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</si>
  <si>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</si>
  <si>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</si>
  <si>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</si>
  <si>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</si>
  <si>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</si>
  <si>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</si>
  <si>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</si>
  <si>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</si>
  <si>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</si>
  <si>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</si>
  <si>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</si>
  <si>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</si>
  <si>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</si>
  <si>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</si>
  <si>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</si>
  <si>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</si>
  <si>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</si>
  <si>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</si>
  <si>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</si>
  <si>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</si>
  <si>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</si>
  <si>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</si>
  <si>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</si>
  <si>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</si>
  <si>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</si>
  <si>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</si>
  <si>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</si>
  <si>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</si>
  <si>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</si>
  <si>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</si>
  <si>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</si>
  <si>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</si>
  <si>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</si>
  <si>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</si>
  <si>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</si>
  <si>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</si>
  <si>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</si>
  <si>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</si>
  <si>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</si>
  <si>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</si>
  <si>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</si>
  <si>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</si>
  <si>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</si>
  <si>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</si>
  <si>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</si>
  <si>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</si>
  <si>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</si>
  <si>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</si>
  <si>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</si>
  <si>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</si>
  <si>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</si>
  <si>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</si>
  <si>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</si>
  <si>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</si>
  <si>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</si>
  <si>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</si>
  <si>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</si>
  <si>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</si>
  <si>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</si>
  <si>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</si>
  <si>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</si>
  <si>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</si>
  <si>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</si>
  <si>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</si>
  <si>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</si>
  <si>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</si>
  <si>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</si>
  <si>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</si>
  <si>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</si>
  <si>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</si>
  <si>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</si>
  <si>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</si>
  <si>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</si>
  <si>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</si>
  <si>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</si>
  <si>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</si>
  <si>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</si>
  <si>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</si>
  <si>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</si>
  <si>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</si>
  <si>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</si>
  <si>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</si>
  <si>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</si>
  <si>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</si>
  <si>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</si>
  <si>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</si>
  <si>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</si>
  <si>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</si>
  <si>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</si>
  <si>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</si>
  <si>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</si>
  <si>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</si>
  <si>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</si>
  <si>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</si>
  <si>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</si>
  <si>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</si>
  <si>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</si>
  <si>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</si>
  <si>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</si>
  <si>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</si>
  <si>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</si>
  <si>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</si>
  <si>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</si>
  <si>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</si>
  <si>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</si>
  <si>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</si>
  <si>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</si>
  <si>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</si>
  <si>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</si>
  <si>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</si>
  <si>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</si>
  <si>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</si>
  <si>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</si>
  <si>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</si>
  <si>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</si>
  <si>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</si>
  <si>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</si>
  <si>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</si>
  <si>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</si>
  <si>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</si>
  <si>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</si>
  <si>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</si>
  <si>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</si>
  <si>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</si>
  <si>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</si>
  <si>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</si>
  <si>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</si>
  <si>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</si>
  <si>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</si>
  <si>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</si>
  <si>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</si>
  <si>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</si>
  <si>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</si>
  <si>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</si>
  <si>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</si>
  <si>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</si>
  <si>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</si>
  <si>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</si>
  <si>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</si>
  <si>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</si>
  <si>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</si>
  <si>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</si>
  <si>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</si>
  <si>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</si>
  <si>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</si>
  <si>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</si>
  <si>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</si>
  <si>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</si>
  <si>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</si>
  <si>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</si>
  <si>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</si>
  <si>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</si>
  <si>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</si>
  <si>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</si>
  <si>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</si>
  <si>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</si>
  <si>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</si>
  <si>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</si>
  <si>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</si>
  <si>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</si>
  <si>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</si>
  <si>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</si>
  <si>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</si>
  <si>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</si>
  <si>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</si>
  <si>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</si>
  <si>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</si>
  <si>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</si>
  <si>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</si>
  <si>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</si>
  <si>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</si>
  <si>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</si>
  <si>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</si>
  <si>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</si>
  <si>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</si>
  <si>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</si>
  <si>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</si>
  <si>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</si>
  <si>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</si>
  <si>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</si>
  <si>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</si>
  <si>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</si>
  <si>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</si>
  <si>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</si>
  <si>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</si>
  <si>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</si>
  <si>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</si>
  <si>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</si>
  <si>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</si>
  <si>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</si>
  <si>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</si>
  <si>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</si>
  <si>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</si>
  <si>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</si>
  <si>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</si>
  <si>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</si>
  <si>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</si>
  <si>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</si>
  <si>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</si>
  <si>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</si>
  <si>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</si>
  <si>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</si>
  <si>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</si>
  <si>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</si>
  <si>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</si>
  <si>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</si>
  <si>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</si>
  <si>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</si>
  <si>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</si>
  <si>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</si>
  <si>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</si>
  <si>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</si>
  <si>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</si>
  <si>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</si>
  <si>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</si>
  <si>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</si>
  <si>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</si>
  <si>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</si>
  <si>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</si>
  <si>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</si>
  <si>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</si>
  <si>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</si>
  <si>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</si>
  <si>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</si>
  <si>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</si>
  <si>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</si>
  <si>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</si>
  <si>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</si>
  <si>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</si>
  <si>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</si>
  <si>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</si>
  <si>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</si>
  <si>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</si>
  <si>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</si>
  <si>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</si>
  <si>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</si>
  <si>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</si>
  <si>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</si>
  <si>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</si>
  <si>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</si>
  <si>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</si>
  <si>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</si>
  <si>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</si>
  <si>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</si>
  <si>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</si>
  <si>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</si>
  <si>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</si>
  <si>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</si>
  <si>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</si>
  <si>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</si>
  <si>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</si>
  <si>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</si>
  <si>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</si>
  <si>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</si>
  <si>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</si>
  <si>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</si>
  <si>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</si>
  <si>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</si>
  <si>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</si>
  <si>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</si>
  <si>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</si>
  <si>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</si>
  <si>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</si>
  <si>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</si>
  <si>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</si>
  <si>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</si>
  <si>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</si>
  <si>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</si>
  <si>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</si>
  <si>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</si>
  <si>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</si>
  <si>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</si>
  <si>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</si>
  <si>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</si>
  <si>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</si>
  <si>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</si>
  <si>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</si>
  <si>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</si>
  <si>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</si>
  <si>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</si>
  <si>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</si>
  <si>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</si>
  <si>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</si>
  <si>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</si>
  <si>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</si>
  <si>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</si>
  <si>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</si>
  <si>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</si>
  <si>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</si>
  <si>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</si>
  <si>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</si>
  <si>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</si>
  <si>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</si>
  <si>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</si>
  <si>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</si>
  <si>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</si>
  <si>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</si>
  <si>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</si>
  <si>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</si>
  <si>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</si>
  <si>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</si>
  <si>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</si>
  <si>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</si>
  <si>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</si>
  <si>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</si>
  <si>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</si>
  <si>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</si>
  <si>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</si>
  <si>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</si>
  <si>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</si>
  <si>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</si>
  <si>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</si>
  <si>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</si>
  <si>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</si>
  <si>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</si>
  <si>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</si>
  <si>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</si>
  <si>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</si>
  <si>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</si>
  <si>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</si>
  <si>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</si>
  <si>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</si>
  <si>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</si>
  <si>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</si>
  <si>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</si>
  <si>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</si>
  <si>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</si>
  <si>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</si>
  <si>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</si>
  <si>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</si>
  <si>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</si>
  <si>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</si>
  <si>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</si>
  <si>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</si>
  <si>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</si>
  <si>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</si>
  <si>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</si>
  <si>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</si>
  <si>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</si>
  <si>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</si>
  <si>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</si>
  <si>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</si>
  <si>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</si>
  <si>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</si>
  <si>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</si>
  <si>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</si>
  <si>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</si>
  <si>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</si>
  <si>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</si>
  <si>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</si>
  <si>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</si>
  <si>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</si>
  <si>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</si>
  <si>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</si>
  <si>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</si>
  <si>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</si>
  <si>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</si>
  <si>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</si>
  <si>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</si>
  <si>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</si>
  <si>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</si>
  <si>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</si>
  <si>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</si>
  <si>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</si>
  <si>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</si>
  <si>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</si>
  <si>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</si>
  <si>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</si>
  <si>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</si>
  <si>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</si>
  <si>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</si>
  <si>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</si>
  <si>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</si>
  <si>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</si>
  <si>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</si>
  <si>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</si>
  <si>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</si>
  <si>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</si>
  <si>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</si>
  <si>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</si>
  <si>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</si>
  <si>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</si>
  <si>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</si>
  <si>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</si>
  <si>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</si>
  <si>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</si>
  <si>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</si>
  <si>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</si>
  <si>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</si>
  <si>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</si>
  <si>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</si>
  <si>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</si>
  <si>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</si>
  <si>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</si>
  <si>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</si>
  <si>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</si>
  <si>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</si>
  <si>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</si>
  <si>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</si>
  <si>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</si>
  <si>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</si>
  <si>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</si>
  <si>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</si>
  <si>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</si>
  <si>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</si>
  <si>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</si>
  <si>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</si>
  <si>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</si>
  <si>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</si>
  <si>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</si>
  <si>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</si>
  <si>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</si>
  <si>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</si>
  <si>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</si>
  <si>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</si>
  <si>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</si>
  <si>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</si>
  <si>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</si>
  <si>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</si>
  <si>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</si>
  <si>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</si>
  <si>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</si>
  <si>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</si>
  <si>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</si>
  <si>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</si>
  <si>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</si>
  <si>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</si>
  <si>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</si>
  <si>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</si>
  <si>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</si>
  <si>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</si>
  <si>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</si>
  <si>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</si>
  <si>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</si>
  <si>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</si>
  <si>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</si>
  <si>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</si>
  <si>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</si>
  <si>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</si>
  <si>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</si>
  <si>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</si>
  <si>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</si>
  <si>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</si>
  <si>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</si>
  <si>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</si>
  <si>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</si>
  <si>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</si>
  <si>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</si>
  <si>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</si>
  <si>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</si>
  <si>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</si>
  <si>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</si>
  <si>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</si>
  <si>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</si>
  <si>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</si>
  <si>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</si>
  <si>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</si>
  <si>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</si>
  <si>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</si>
  <si>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</si>
  <si>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</si>
  <si>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</si>
  <si>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</si>
  <si>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</si>
  <si>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</si>
  <si>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</si>
  <si>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</si>
  <si>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</si>
  <si>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</si>
  <si>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</si>
  <si>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</si>
  <si>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</si>
  <si>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</si>
  <si>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</si>
  <si>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</si>
  <si>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</si>
  <si>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</si>
  <si>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</si>
  <si>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</si>
  <si>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</si>
  <si>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</si>
  <si>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</si>
  <si>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</si>
  <si>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</si>
  <si>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</si>
  <si>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</si>
  <si>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</si>
  <si>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</si>
  <si>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</si>
  <si>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</si>
  <si>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</si>
  <si>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</si>
  <si>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</si>
  <si>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</si>
  <si>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</si>
  <si>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</si>
  <si>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</si>
  <si>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</si>
  <si>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</si>
  <si>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</si>
  <si>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</si>
  <si>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</si>
  <si>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</si>
  <si>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</si>
  <si>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</si>
  <si>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</si>
  <si>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</si>
  <si>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</si>
  <si>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</si>
  <si>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</si>
  <si>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</si>
  <si>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</si>
  <si>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</si>
  <si>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</si>
  <si>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</si>
  <si>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</si>
  <si>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</si>
  <si>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</si>
  <si>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</si>
  <si>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</si>
  <si>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</si>
  <si>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</si>
  <si>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</si>
  <si>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</si>
  <si>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</si>
  <si>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</si>
  <si>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</si>
  <si>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</si>
  <si>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</si>
  <si>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</si>
  <si>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</si>
  <si>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</si>
  <si>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</si>
  <si>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</si>
  <si>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</si>
  <si>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</si>
  <si>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</si>
  <si>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</si>
  <si>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</si>
  <si>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</si>
  <si>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</si>
  <si>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</si>
  <si>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</si>
  <si>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</si>
  <si>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</si>
  <si>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</si>
  <si>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</si>
  <si>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</si>
  <si>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</si>
  <si>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</si>
  <si>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</si>
  <si>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</si>
  <si>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</si>
  <si>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</si>
  <si>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</si>
  <si>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</si>
  <si>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</si>
  <si>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</si>
  <si>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</si>
  <si>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</si>
  <si>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</si>
  <si>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</si>
  <si>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</si>
  <si>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</si>
  <si>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</si>
  <si>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</si>
  <si>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</si>
  <si>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</si>
  <si>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</si>
  <si>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</si>
  <si>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</si>
  <si>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</si>
  <si>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</si>
  <si>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</si>
  <si>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</si>
  <si>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</si>
  <si>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</si>
  <si>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</si>
  <si>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</si>
  <si>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</si>
  <si>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</si>
  <si>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</si>
  <si>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</si>
  <si>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</si>
  <si>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</si>
  <si>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</si>
  <si>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</si>
  <si>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</si>
  <si>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</si>
  <si>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</si>
  <si>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</si>
  <si>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</si>
  <si>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</si>
  <si>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</si>
  <si>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</si>
  <si>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</si>
  <si>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</si>
  <si>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</si>
  <si>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</si>
  <si>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</si>
  <si>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</si>
  <si>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</si>
  <si>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</si>
  <si>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</si>
  <si>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</si>
  <si>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</si>
  <si>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</si>
  <si>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</si>
  <si>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</si>
  <si>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</si>
  <si>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</si>
  <si>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</si>
  <si>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</si>
  <si>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</si>
  <si>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</si>
  <si>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</si>
  <si>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</si>
  <si>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</si>
  <si>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</si>
  <si>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</si>
  <si>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</si>
  <si>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</si>
  <si>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</si>
  <si>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</si>
  <si>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</si>
  <si>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</si>
  <si>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</si>
  <si>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</si>
  <si>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</si>
  <si>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</si>
  <si>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</si>
  <si>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</si>
  <si>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</si>
  <si>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</si>
  <si>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</si>
  <si>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</si>
  <si>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</si>
  <si>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</si>
  <si>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</si>
  <si>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</si>
  <si>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</si>
  <si>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</si>
  <si>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</si>
  <si>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</si>
  <si>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</si>
  <si>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</si>
  <si>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</si>
  <si>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</si>
  <si>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</si>
  <si>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</si>
  <si>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</si>
  <si>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</si>
  <si>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</si>
  <si>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</si>
  <si>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</si>
  <si>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</si>
  <si>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</si>
  <si>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</si>
  <si>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</si>
  <si>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</si>
  <si>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</si>
  <si>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</si>
  <si>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</si>
  <si>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</si>
  <si>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</si>
  <si>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</si>
  <si>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</si>
  <si>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</si>
  <si>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</si>
  <si>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</si>
  <si>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</si>
  <si>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</si>
  <si>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</si>
  <si>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</si>
  <si>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</si>
  <si>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</si>
  <si>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</si>
  <si>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</si>
  <si>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</si>
  <si>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</si>
  <si>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</si>
  <si>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</si>
  <si>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</si>
  <si>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</si>
  <si>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</si>
  <si>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</si>
  <si>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</si>
  <si>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</si>
  <si>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</si>
  <si>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</si>
  <si>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</si>
  <si>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</si>
  <si>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</si>
  <si>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</si>
  <si>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</si>
  <si>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</si>
  <si>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</si>
  <si>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</si>
  <si>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</si>
  <si>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</si>
  <si>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</si>
  <si>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</si>
  <si>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</si>
  <si>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</si>
  <si>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</si>
  <si>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</si>
  <si>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</si>
  <si>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</si>
  <si>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</si>
  <si>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</si>
  <si>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</si>
  <si>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</si>
  <si>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</si>
  <si>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</si>
  <si>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</si>
  <si>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</si>
  <si>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</si>
  <si>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</si>
  <si>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</si>
  <si>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</si>
  <si>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</si>
  <si>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</si>
  <si>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</si>
  <si>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</si>
  <si>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</si>
  <si>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</si>
  <si>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</si>
  <si>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</si>
  <si>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</si>
  <si>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</si>
  <si>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</si>
  <si>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</si>
  <si>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</si>
  <si>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</si>
  <si>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</si>
  <si>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</si>
  <si>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</si>
  <si>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</si>
  <si>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</si>
  <si>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</si>
  <si>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</si>
  <si>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</si>
  <si>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</si>
  <si>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</si>
  <si>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</si>
  <si>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</si>
  <si>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</si>
  <si>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</si>
  <si>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</si>
  <si>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</si>
  <si>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</si>
  <si>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</si>
  <si>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</si>
  <si>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</si>
  <si>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</si>
  <si>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</si>
  <si>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</si>
  <si>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</si>
  <si>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</si>
  <si>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</si>
  <si>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</si>
  <si>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</si>
  <si>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</si>
  <si>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</si>
  <si>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</si>
  <si>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</si>
  <si>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</si>
  <si>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</si>
  <si>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</si>
  <si>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</si>
  <si>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</si>
  <si>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</si>
  <si>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</si>
  <si>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</si>
  <si>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</si>
  <si>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</si>
  <si>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</si>
  <si>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</si>
  <si>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</si>
  <si>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</si>
  <si>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</si>
  <si>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</si>
  <si>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</si>
  <si>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</si>
  <si>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</si>
  <si>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</si>
  <si>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</si>
  <si>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</si>
  <si>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</si>
  <si>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</si>
  <si>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</si>
  <si>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</si>
  <si>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</si>
  <si>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</si>
  <si>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</si>
  <si>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</si>
  <si>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</si>
  <si>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</si>
  <si>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</si>
  <si>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</si>
  <si>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</si>
  <si>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</si>
  <si>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</si>
  <si>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</si>
  <si>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</si>
  <si>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</si>
  <si>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</si>
  <si>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</si>
  <si>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</si>
  <si>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</si>
  <si>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</si>
  <si>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</si>
  <si>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</si>
  <si>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</si>
  <si>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</si>
  <si>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</si>
  <si>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</si>
  <si>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</si>
  <si>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</si>
  <si>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</si>
  <si>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</si>
  <si>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</si>
  <si>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</si>
  <si>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</si>
  <si>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</si>
  <si>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</si>
  <si>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</si>
  <si>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</si>
  <si>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</si>
  <si>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</si>
  <si>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</si>
  <si>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</si>
  <si>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</si>
  <si>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</si>
  <si>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</si>
  <si>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</si>
  <si>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</si>
  <si>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</si>
  <si>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</si>
  <si>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</si>
  <si>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</si>
  <si>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</si>
  <si>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</si>
  <si>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</si>
  <si>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</si>
  <si>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</si>
  <si>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</si>
  <si>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</si>
  <si>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</si>
  <si>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</si>
  <si>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</si>
  <si>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</si>
  <si>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</si>
  <si>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</si>
  <si>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</si>
  <si>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</si>
  <si>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</si>
  <si>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</si>
  <si>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</si>
  <si>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</si>
  <si>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</si>
  <si>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</si>
  <si>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</si>
  <si>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</si>
  <si>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</si>
  <si>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</si>
  <si>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</si>
  <si>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</si>
  <si>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</si>
  <si>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</si>
  <si>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</si>
  <si>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</si>
  <si>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</si>
  <si>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</si>
  <si>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</si>
  <si>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</si>
  <si>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</si>
  <si>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</si>
  <si>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</si>
  <si>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</si>
  <si>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</si>
  <si>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</si>
  <si>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</si>
  <si>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</si>
  <si>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</si>
  <si>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</si>
  <si>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</si>
  <si>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</si>
  <si>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</si>
  <si>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</si>
  <si>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</si>
  <si>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</si>
  <si>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</si>
  <si>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</si>
  <si>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</si>
  <si>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</si>
  <si>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</si>
  <si>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</si>
  <si>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</si>
  <si>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</si>
  <si>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</si>
  <si>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</si>
  <si>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</si>
  <si>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</si>
  <si>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</si>
  <si>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</si>
  <si>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</si>
  <si>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</si>
  <si>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</si>
  <si>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</si>
  <si>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</si>
  <si>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</si>
  <si>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</si>
  <si>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</si>
  <si>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</si>
  <si>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</si>
  <si>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</si>
  <si>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</si>
  <si>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</si>
  <si>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</si>
  <si>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</si>
  <si>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</si>
  <si>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</si>
  <si>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</si>
  <si>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</si>
  <si>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</si>
  <si>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</si>
  <si>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</si>
  <si>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</si>
  <si>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</si>
  <si>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</si>
  <si>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</si>
  <si>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</si>
  <si>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</si>
  <si>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</si>
  <si>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</si>
  <si>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</si>
  <si>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</si>
  <si>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</si>
  <si>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</si>
  <si>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</si>
  <si>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</si>
  <si>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</si>
  <si>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</si>
  <si>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</si>
  <si>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</si>
  <si>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</si>
  <si>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</si>
  <si>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</si>
  <si>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</si>
  <si>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</si>
  <si>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</si>
  <si>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</si>
  <si>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</si>
  <si>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</si>
  <si>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</si>
  <si>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</si>
  <si>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</si>
  <si>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</si>
  <si>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</si>
  <si>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</si>
  <si>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</si>
  <si>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</si>
  <si>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</si>
  <si>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</si>
  <si>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</si>
  <si>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</si>
  <si>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</si>
  <si>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</si>
  <si>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</si>
  <si>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</si>
  <si>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</si>
  <si>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</si>
  <si>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</si>
  <si>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</si>
  <si>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</si>
  <si>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</si>
  <si>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</si>
  <si>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</si>
  <si>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</si>
  <si>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</si>
  <si>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</si>
  <si>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</si>
  <si>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</si>
  <si>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</si>
  <si>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</si>
  <si>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</si>
  <si>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</si>
  <si>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</si>
  <si>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</si>
  <si>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</si>
  <si>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</si>
  <si>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</si>
  <si>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</si>
  <si>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</si>
  <si>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</si>
  <si>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</si>
  <si>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</si>
  <si>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</si>
  <si>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</si>
  <si>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</si>
  <si>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</si>
  <si>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</si>
  <si>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</si>
  <si>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</si>
  <si>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</si>
  <si>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</si>
  <si>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</si>
  <si>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</si>
  <si>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</si>
  <si>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</si>
  <si>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</si>
  <si>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</si>
  <si>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</si>
  <si>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</si>
  <si>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</si>
  <si>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</si>
  <si>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</si>
  <si>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</si>
  <si>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</si>
  <si>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</si>
  <si>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</si>
  <si>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</si>
  <si>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</si>
  <si>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</si>
  <si>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</si>
  <si>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</si>
  <si>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</si>
  <si>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</si>
  <si>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</si>
  <si>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</si>
  <si>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</si>
  <si>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</si>
  <si>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</si>
  <si>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</si>
  <si>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</si>
  <si>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</si>
  <si>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</si>
  <si>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</si>
  <si>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</si>
  <si>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</si>
  <si>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</si>
  <si>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</si>
  <si>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</si>
  <si>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</si>
  <si>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</si>
  <si>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</si>
  <si>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</si>
  <si>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</si>
  <si>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</si>
  <si>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</si>
  <si>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</si>
  <si>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</si>
  <si>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</si>
  <si>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</si>
  <si>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</si>
  <si>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</si>
  <si>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</si>
  <si>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</si>
  <si>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</si>
  <si>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</si>
  <si>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</si>
  <si>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</si>
  <si>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</si>
  <si>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</si>
  <si>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</si>
  <si>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</si>
  <si>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</si>
  <si>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</si>
  <si>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</si>
  <si>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</si>
  <si>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</si>
  <si>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</si>
  <si>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</si>
  <si>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</si>
  <si>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</si>
  <si>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</si>
  <si>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</si>
  <si>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</si>
  <si>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</si>
  <si>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</si>
  <si>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</si>
  <si>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</si>
  <si>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</si>
  <si>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</si>
  <si>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</si>
  <si>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</si>
  <si>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</si>
  <si>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</si>
  <si>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</si>
  <si>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</si>
  <si>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</si>
  <si>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</si>
  <si>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</si>
  <si>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</si>
  <si>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</si>
  <si>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</si>
  <si>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</si>
  <si>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</si>
  <si>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</si>
  <si>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</si>
  <si>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</si>
  <si>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</si>
  <si>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</si>
  <si>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</si>
  <si>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</si>
  <si>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</si>
  <si>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</si>
  <si>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</si>
  <si>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</si>
  <si>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</si>
  <si>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</si>
  <si>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</si>
  <si>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</si>
  <si>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</si>
  <si>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</si>
  <si>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</si>
  <si>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</si>
  <si>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</si>
  <si>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</si>
  <si>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</si>
  <si>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</si>
  <si>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</si>
  <si>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</si>
  <si>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</si>
  <si>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</si>
  <si>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</si>
  <si>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</si>
  <si>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</si>
  <si>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</si>
  <si>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</si>
  <si>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</si>
  <si>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</si>
  <si>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</si>
  <si>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</si>
  <si>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</si>
  <si>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</si>
  <si>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</si>
  <si>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</si>
  <si>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</si>
  <si>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</si>
  <si>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</si>
  <si>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</si>
  <si>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</si>
  <si>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</si>
  <si>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</si>
  <si>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</si>
  <si>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</si>
  <si>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</si>
  <si>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</si>
  <si>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</si>
  <si>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</si>
  <si>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</si>
  <si>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</si>
  <si>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</si>
  <si>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</si>
  <si>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</si>
  <si>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</si>
  <si>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</si>
  <si>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</si>
  <si>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</si>
  <si>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</si>
  <si>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</si>
  <si>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</si>
  <si>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</si>
  <si>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</si>
  <si>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</si>
  <si>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</si>
  <si>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</si>
  <si>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</si>
  <si>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</si>
  <si>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</si>
  <si>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</si>
  <si>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</si>
  <si>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</si>
  <si>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</si>
  <si>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</si>
  <si>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</si>
  <si>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</si>
  <si>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</si>
  <si>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</si>
  <si>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</si>
  <si>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</si>
  <si>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</si>
  <si>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</si>
  <si>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</si>
  <si>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</si>
  <si>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</si>
  <si>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</si>
  <si>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</si>
  <si>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</si>
  <si>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</si>
  <si>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</si>
  <si>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</si>
  <si>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</si>
  <si>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</si>
  <si>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</si>
  <si>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</si>
  <si>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</si>
  <si>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</si>
  <si>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</si>
  <si>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</si>
  <si>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</si>
  <si>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</si>
  <si>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</si>
  <si>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</si>
  <si>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</si>
  <si>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</si>
  <si>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</si>
  <si>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</si>
  <si>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</si>
  <si>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</si>
  <si>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</si>
  <si>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</si>
  <si>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</si>
  <si>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</si>
  <si>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</si>
  <si>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</si>
  <si>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</si>
  <si>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</si>
  <si>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</si>
  <si>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</si>
  <si>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</si>
  <si>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</si>
  <si>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</si>
  <si>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</si>
  <si>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</si>
  <si>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</si>
  <si>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</si>
  <si>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</si>
  <si>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</si>
  <si>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</si>
  <si>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</si>
  <si>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</si>
  <si>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</si>
  <si>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</si>
  <si>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</si>
  <si>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</si>
  <si>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</si>
  <si>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</si>
  <si>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</si>
  <si>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</si>
  <si>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</si>
  <si>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</si>
  <si>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</si>
  <si>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</si>
  <si>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</si>
  <si>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</si>
  <si>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</si>
  <si>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</si>
  <si>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</si>
  <si>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</si>
  <si>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</si>
  <si>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</si>
  <si>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</si>
  <si>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</si>
  <si>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</si>
  <si>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</si>
  <si>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</si>
  <si>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</si>
  <si>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</si>
  <si>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</si>
  <si>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</si>
  <si>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</si>
  <si>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</si>
  <si>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</si>
  <si>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</si>
  <si>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</si>
  <si>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</si>
  <si>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</si>
  <si>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</si>
  <si>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</si>
  <si>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</si>
  <si>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</si>
  <si>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</si>
  <si>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</si>
  <si>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</si>
  <si>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</si>
  <si>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</si>
  <si>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</si>
  <si>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</si>
  <si>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</si>
  <si>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</si>
  <si>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</si>
  <si>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</si>
  <si>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</si>
  <si>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</si>
  <si>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</si>
  <si>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</si>
  <si>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</si>
  <si>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</si>
  <si>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</si>
  <si>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</si>
  <si>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</si>
  <si>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</si>
  <si>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</si>
  <si>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</si>
  <si>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</si>
  <si>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</si>
  <si>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</si>
  <si>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</si>
  <si>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</si>
  <si>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</si>
  <si>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</si>
  <si>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</si>
  <si>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</si>
  <si>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</si>
  <si>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</si>
  <si>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</si>
  <si>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</si>
  <si>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</si>
  <si>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</si>
  <si>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</si>
  <si>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</si>
  <si>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</si>
  <si>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</si>
  <si>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</si>
  <si>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</si>
  <si>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</si>
  <si>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</si>
  <si>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</si>
  <si>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</si>
  <si>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</si>
  <si>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</si>
  <si>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</si>
  <si>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</si>
  <si>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</si>
  <si>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</si>
  <si>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</si>
  <si>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</si>
  <si>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</si>
  <si>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</si>
  <si>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</si>
  <si>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</si>
  <si>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</si>
  <si>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</si>
  <si>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</si>
  <si>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</si>
  <si>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</si>
  <si>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</si>
  <si>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</si>
  <si>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</si>
  <si>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</si>
  <si>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</si>
  <si>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</si>
  <si>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</si>
  <si>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</si>
  <si>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</si>
  <si>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</si>
  <si>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</si>
  <si>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</si>
  <si>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</si>
  <si>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</si>
  <si>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</si>
  <si>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</si>
  <si>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</si>
  <si>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</si>
  <si>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</si>
  <si>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</si>
  <si>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</si>
  <si>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</si>
  <si>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</si>
  <si>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</si>
  <si>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</si>
  <si>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</si>
  <si>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</si>
  <si>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</si>
  <si>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</si>
  <si>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</si>
  <si>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</si>
  <si>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</si>
  <si>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</si>
  <si>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</si>
  <si>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</si>
  <si>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</si>
  <si>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</si>
  <si>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</si>
  <si>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</si>
  <si>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</si>
  <si>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</si>
  <si>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</si>
  <si>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</si>
  <si>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</si>
  <si>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</si>
  <si>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</si>
  <si>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</si>
  <si>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</si>
  <si>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</si>
  <si>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</si>
  <si>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</si>
  <si>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</si>
  <si>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</si>
  <si>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</si>
  <si>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</si>
  <si>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</si>
  <si>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</si>
  <si>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</si>
  <si>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</si>
  <si>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</si>
  <si>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</si>
  <si>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</si>
  <si>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</si>
  <si>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</si>
  <si>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</si>
  <si>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</si>
  <si>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</si>
  <si>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</si>
  <si>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</si>
  <si>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</si>
  <si>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</si>
  <si>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</si>
  <si>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</si>
  <si>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</si>
  <si>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</si>
  <si>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</si>
  <si>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</si>
  <si>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</si>
  <si>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</si>
  <si>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</si>
  <si>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</si>
  <si>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</si>
  <si>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</si>
  <si>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</si>
  <si>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</si>
  <si>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</si>
  <si>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</si>
  <si>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</si>
  <si>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</si>
  <si>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</si>
  <si>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</si>
  <si>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</si>
  <si>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</si>
  <si>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</si>
  <si>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</si>
  <si>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</si>
  <si>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</si>
  <si>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</si>
  <si>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</si>
  <si>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</si>
  <si>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</si>
  <si>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</si>
  <si>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</si>
  <si>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</si>
  <si>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</si>
  <si>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</si>
  <si>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</si>
  <si>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</si>
  <si>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</si>
  <si>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</si>
  <si>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</si>
  <si>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</si>
  <si>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</si>
  <si>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</si>
  <si>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</si>
  <si>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</si>
  <si>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</si>
  <si>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</si>
  <si>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</si>
  <si>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</si>
  <si>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</si>
  <si>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</si>
  <si>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</si>
  <si>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</si>
  <si>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</si>
  <si>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</si>
  <si>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</si>
  <si>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</si>
  <si>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</si>
  <si>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</si>
  <si>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</si>
  <si>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</si>
  <si>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</si>
  <si>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</si>
  <si>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</si>
  <si>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</si>
  <si>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</si>
  <si>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</si>
  <si>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</si>
  <si>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</si>
  <si>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</si>
  <si>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</si>
  <si>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</si>
  <si>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</si>
  <si>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</si>
  <si>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</si>
  <si>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</si>
  <si>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</si>
  <si>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</si>
  <si>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</si>
  <si>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</si>
  <si>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</si>
  <si>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</si>
  <si>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</si>
  <si>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</si>
  <si>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</si>
  <si>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</si>
  <si>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</si>
  <si>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</si>
  <si>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</si>
  <si>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</si>
  <si>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</si>
  <si>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</si>
  <si>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</si>
  <si>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</si>
  <si>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</si>
  <si>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</si>
  <si>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</si>
  <si>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</si>
  <si>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</si>
  <si>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</si>
  <si>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</si>
  <si>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</si>
  <si>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</si>
  <si>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</si>
  <si>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</si>
  <si>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</si>
  <si>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</si>
  <si>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</si>
  <si>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</si>
  <si>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</si>
  <si>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</si>
  <si>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</si>
  <si>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</si>
  <si>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</si>
  <si>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</si>
  <si>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</si>
  <si>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</si>
  <si>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</si>
  <si>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</si>
  <si>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</si>
  <si>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</si>
  <si>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</si>
  <si>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</si>
  <si>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</si>
  <si>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</si>
  <si>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</si>
  <si>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</si>
  <si>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</si>
  <si>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</si>
  <si>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</si>
  <si>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</si>
  <si>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</si>
  <si>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</si>
  <si>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</si>
  <si>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</si>
  <si>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</si>
  <si>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</si>
  <si>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</si>
  <si>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</si>
  <si>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</si>
  <si>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</si>
  <si>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</si>
  <si>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</si>
  <si>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</si>
  <si>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</si>
  <si>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</si>
  <si>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</si>
  <si>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</si>
  <si>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</si>
  <si>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</si>
  <si>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</si>
  <si>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</si>
  <si>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</si>
  <si>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</si>
  <si>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</si>
  <si>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</si>
  <si>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</si>
  <si>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</si>
  <si>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</si>
  <si>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</si>
  <si>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</si>
  <si>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</si>
  <si>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</si>
  <si>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</si>
  <si>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</si>
  <si>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</si>
  <si>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</si>
  <si>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</si>
  <si>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</si>
  <si>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</si>
  <si>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</si>
  <si>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</si>
  <si>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</si>
  <si>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</si>
  <si>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</si>
  <si>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</si>
  <si>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</si>
  <si>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</si>
  <si>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</si>
  <si>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</si>
  <si>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</si>
  <si>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</si>
  <si>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</si>
  <si>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</si>
  <si>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</si>
  <si>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</si>
  <si>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</si>
  <si>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</si>
  <si>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</si>
  <si>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</si>
  <si>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</si>
  <si>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</si>
  <si>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</si>
  <si>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</si>
  <si>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</si>
  <si>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</si>
  <si>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</si>
  <si>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</si>
  <si>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</si>
  <si>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</si>
  <si>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</si>
  <si>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</si>
  <si>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</si>
  <si>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</si>
  <si>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</si>
  <si>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</si>
  <si>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</si>
  <si>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</si>
  <si>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</si>
  <si>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</si>
  <si>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</si>
  <si>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</si>
  <si>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</si>
  <si>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</si>
  <si>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</si>
  <si>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</si>
  <si>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</si>
  <si>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</si>
  <si>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</si>
  <si>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</si>
  <si>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</si>
  <si>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</si>
  <si>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</si>
  <si>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</si>
  <si>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</si>
  <si>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</si>
  <si>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</si>
  <si>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</si>
  <si>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</si>
  <si>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</si>
  <si>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</si>
  <si>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</si>
  <si>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</si>
  <si>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</si>
  <si>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</si>
  <si>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</si>
  <si>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</si>
  <si>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</si>
  <si>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</si>
  <si>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</si>
  <si>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</si>
  <si>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</si>
  <si>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</si>
  <si>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</si>
  <si>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</si>
  <si>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</si>
  <si>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</si>
  <si>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</si>
  <si>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</si>
  <si>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</si>
  <si>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</si>
  <si>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</si>
  <si>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</si>
  <si>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</si>
  <si>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</si>
  <si>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</si>
  <si>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</si>
  <si>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</si>
  <si>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</si>
  <si>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</si>
  <si>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</si>
  <si>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</si>
  <si>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</si>
  <si>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</si>
  <si>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</si>
  <si>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</si>
  <si>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</si>
  <si>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</si>
  <si>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</si>
  <si>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</si>
  <si>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</si>
  <si>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</si>
  <si>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</si>
  <si>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</si>
  <si>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</si>
  <si>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</si>
  <si>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</si>
  <si>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</si>
  <si>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</si>
  <si>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</si>
  <si>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</si>
  <si>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</si>
  <si>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</si>
  <si>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</si>
  <si>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</si>
  <si>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</si>
  <si>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</si>
  <si>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</si>
  <si>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</si>
  <si>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</si>
  <si>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</si>
  <si>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</si>
  <si>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</si>
  <si>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</si>
  <si>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</si>
  <si>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</si>
  <si>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</si>
  <si>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</si>
  <si>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</si>
  <si>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</si>
  <si>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</si>
  <si>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</si>
  <si>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</si>
  <si>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</si>
  <si>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</si>
  <si>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</si>
  <si>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</si>
  <si>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</si>
  <si>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</si>
  <si>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</si>
  <si>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</si>
  <si>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</si>
  <si>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</si>
  <si>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</si>
  <si>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</si>
  <si>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</si>
  <si>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</si>
  <si>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</si>
  <si>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</si>
  <si>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</si>
  <si>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</si>
  <si>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</si>
  <si>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</si>
  <si>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</si>
  <si>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</si>
  <si>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</si>
  <si>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</si>
  <si>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</si>
  <si>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</si>
  <si>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</si>
  <si>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</si>
  <si>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</si>
  <si>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</si>
  <si>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</si>
  <si>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</si>
  <si>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</si>
  <si>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</si>
  <si>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</si>
  <si>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</si>
  <si>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</si>
  <si>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</si>
  <si>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</si>
  <si>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</si>
  <si>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</si>
  <si>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</si>
  <si>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</si>
  <si>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</si>
  <si>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</si>
  <si>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</si>
  <si>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</si>
  <si>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</si>
  <si>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</si>
  <si>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</si>
  <si>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</si>
  <si>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</si>
  <si>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</si>
  <si>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</si>
  <si>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</si>
  <si>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</si>
  <si>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</si>
  <si>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</si>
  <si>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</si>
  <si>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</si>
  <si>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</si>
  <si>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</si>
  <si>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</si>
  <si>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</si>
  <si>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</si>
  <si>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</si>
  <si>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</si>
  <si>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</si>
  <si>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</si>
  <si>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</si>
  <si>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</si>
  <si>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</si>
  <si>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</si>
  <si>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</si>
  <si>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</si>
  <si>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</si>
  <si>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</si>
  <si>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</si>
  <si>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</si>
  <si>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</si>
  <si>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</si>
  <si>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</si>
  <si>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</si>
  <si>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</si>
  <si>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</si>
  <si>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</si>
  <si>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</si>
  <si>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</si>
  <si>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</si>
  <si>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</si>
  <si>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</si>
  <si>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</si>
  <si>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</si>
  <si>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</si>
  <si>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</si>
  <si>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</si>
  <si>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</si>
  <si>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</si>
  <si>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</si>
  <si>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</si>
  <si>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</si>
  <si>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</si>
  <si>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</si>
  <si>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</si>
  <si>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</si>
  <si>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</si>
  <si>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</si>
  <si>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</si>
  <si>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</si>
  <si>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</si>
  <si>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</si>
  <si>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</si>
  <si>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</si>
  <si>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</si>
  <si>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</si>
  <si>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</si>
  <si>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</si>
  <si>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</si>
  <si>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</si>
  <si>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</si>
  <si>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</si>
  <si>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</si>
  <si>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</si>
  <si>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</si>
  <si>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</si>
  <si>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</si>
  <si>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</si>
  <si>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</si>
  <si>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</si>
  <si>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</si>
  <si>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</si>
  <si>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</si>
  <si>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</si>
  <si>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</si>
  <si>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</si>
  <si>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</si>
  <si>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</si>
  <si>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</si>
  <si>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</si>
  <si>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</si>
  <si>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</si>
  <si>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</si>
  <si>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</si>
  <si>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</si>
  <si>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</si>
  <si>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</si>
  <si>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</si>
  <si>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</si>
  <si>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</si>
  <si>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</si>
  <si>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</si>
  <si>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</si>
  <si>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</si>
  <si>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</si>
  <si>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</si>
  <si>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</si>
  <si>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</si>
  <si>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</si>
  <si>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</si>
  <si>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</si>
  <si>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</si>
  <si>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</si>
  <si>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</si>
  <si>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</si>
  <si>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</si>
  <si>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</si>
  <si>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</si>
  <si>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</si>
  <si>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</si>
  <si>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</si>
  <si>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</si>
  <si>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</si>
  <si>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</si>
  <si>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</si>
  <si>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</si>
  <si>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</si>
  <si>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</si>
  <si>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</si>
  <si>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</si>
  <si>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</si>
  <si>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</si>
  <si>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</si>
  <si>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</si>
  <si>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</si>
  <si>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</si>
  <si>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</si>
  <si>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</si>
  <si>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</si>
  <si>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</si>
  <si>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</si>
  <si>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</si>
  <si>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</si>
  <si>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</si>
  <si>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</si>
  <si>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</si>
  <si>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</si>
  <si>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</si>
  <si>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</si>
  <si>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</si>
  <si>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</si>
  <si>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</si>
  <si>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</si>
  <si>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</si>
  <si>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</si>
  <si>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</si>
  <si>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</si>
  <si>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</si>
  <si>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</si>
  <si>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</si>
  <si>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</si>
  <si>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</si>
  <si>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</si>
  <si>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</si>
  <si>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</si>
  <si>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</si>
  <si>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</si>
  <si>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</si>
  <si>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</si>
  <si>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</si>
  <si>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</si>
  <si>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</si>
  <si>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</si>
  <si>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</si>
  <si>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</si>
  <si>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</si>
  <si>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</si>
  <si>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</si>
  <si>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</si>
  <si>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</si>
  <si>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</si>
  <si>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</si>
  <si>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</si>
  <si>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</si>
  <si>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</si>
  <si>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</si>
  <si>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</si>
  <si>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</si>
  <si>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</si>
  <si>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</si>
  <si>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</si>
  <si>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</si>
  <si>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</si>
  <si>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</si>
  <si>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</si>
  <si>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</si>
  <si>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</si>
  <si>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</si>
  <si>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</si>
  <si>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</si>
  <si>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</si>
  <si>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</si>
  <si>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</si>
  <si>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</si>
  <si>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</si>
  <si>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</si>
  <si>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</si>
  <si>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</si>
  <si>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</si>
  <si>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</si>
  <si>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</si>
  <si>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</si>
  <si>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</si>
  <si>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</si>
  <si>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</si>
  <si>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</si>
  <si>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</si>
  <si>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</si>
  <si>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</si>
  <si>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</si>
  <si>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</si>
  <si>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</si>
  <si>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</si>
  <si>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</si>
  <si>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</si>
  <si>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</si>
  <si>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</si>
  <si>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</si>
  <si>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</si>
  <si>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</si>
  <si>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</si>
  <si>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</si>
  <si>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</si>
  <si>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</si>
  <si>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</si>
  <si>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</si>
  <si>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</si>
  <si>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</si>
  <si>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</si>
  <si>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</si>
  <si>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</si>
  <si>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</si>
  <si>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</si>
  <si>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</si>
  <si>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</si>
  <si>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</si>
  <si>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</si>
  <si>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</si>
  <si>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</si>
  <si>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</si>
  <si>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</si>
  <si>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</si>
  <si>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</si>
  <si>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</si>
  <si>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</si>
  <si>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</si>
  <si>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</si>
  <si>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</si>
  <si>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</si>
  <si>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</si>
  <si>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</si>
  <si>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</si>
  <si>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</si>
  <si>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</si>
  <si>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</si>
  <si>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</si>
  <si>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</si>
  <si>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</si>
  <si>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</si>
  <si>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</si>
  <si>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</si>
  <si>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</si>
  <si>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</si>
  <si>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</si>
  <si>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</si>
  <si>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</si>
  <si>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</si>
  <si>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</si>
  <si>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</si>
  <si>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</si>
  <si>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</si>
  <si>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</si>
  <si>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</si>
  <si>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</si>
  <si>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</si>
  <si>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</si>
  <si>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</si>
  <si>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</si>
  <si>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</si>
  <si>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</si>
  <si>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</si>
  <si>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</si>
  <si>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</si>
  <si>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</si>
  <si>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</si>
  <si>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</si>
  <si>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</si>
  <si>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</si>
  <si>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</si>
  <si>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</si>
  <si>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</si>
  <si>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</si>
  <si>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</si>
  <si>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</si>
  <si>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</si>
  <si>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</si>
  <si>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</si>
  <si>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</si>
  <si>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</si>
  <si>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</si>
  <si>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</si>
  <si>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</si>
  <si>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</si>
  <si>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</si>
  <si>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</si>
  <si>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</si>
  <si>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</si>
  <si>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</si>
  <si>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</si>
  <si>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</si>
  <si>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</si>
  <si>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</si>
  <si>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</si>
  <si>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</si>
  <si>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</si>
  <si>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</si>
  <si>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</si>
  <si>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</si>
  <si>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</si>
  <si>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</si>
  <si>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</si>
  <si>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</si>
  <si>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</si>
  <si>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</si>
  <si>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</si>
  <si>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</si>
  <si>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</si>
  <si>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</si>
  <si>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</si>
  <si>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</si>
  <si>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</si>
  <si>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</si>
  <si>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</si>
  <si>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</si>
  <si>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</si>
  <si>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</si>
  <si>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</si>
  <si>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</si>
  <si>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</si>
  <si>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</si>
  <si>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</si>
  <si>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</si>
  <si>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</si>
  <si>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</si>
  <si>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</si>
  <si>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</si>
  <si>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</si>
  <si>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</si>
  <si>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</si>
  <si>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</si>
  <si>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</si>
  <si>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</si>
  <si>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</si>
  <si>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</si>
  <si>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</si>
  <si>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</si>
  <si>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</si>
  <si>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</si>
  <si>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</si>
  <si>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</si>
  <si>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</si>
  <si>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</si>
  <si>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</si>
  <si>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</si>
  <si>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</si>
  <si>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</si>
  <si>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</si>
  <si>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</si>
  <si>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</si>
  <si>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</si>
  <si>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</si>
  <si>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</si>
  <si>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</si>
  <si>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</si>
  <si>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</si>
  <si>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</si>
  <si>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</si>
  <si>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</si>
  <si>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</si>
  <si>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</si>
  <si>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</si>
  <si>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</si>
  <si>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</si>
  <si>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</si>
  <si>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</si>
  <si>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</si>
  <si>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</si>
  <si>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</si>
  <si>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</si>
  <si>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</si>
  <si>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</si>
  <si>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</si>
  <si>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</si>
  <si>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</si>
  <si>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</si>
  <si>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</si>
  <si>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</si>
  <si>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</si>
  <si>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</si>
  <si>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</si>
  <si>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</si>
  <si>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</si>
  <si>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</si>
  <si>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</si>
  <si>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</si>
  <si>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</si>
  <si>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</si>
  <si>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</si>
  <si>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</si>
  <si>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</si>
  <si>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</si>
  <si>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</si>
  <si>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</si>
  <si>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</si>
  <si>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</si>
  <si>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</si>
  <si>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</si>
  <si>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</si>
  <si>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</si>
  <si>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</si>
  <si>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</si>
  <si>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</si>
  <si>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</si>
  <si>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</si>
  <si>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</si>
  <si>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</si>
  <si>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</si>
  <si>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</si>
  <si>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</si>
  <si>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</si>
  <si>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</si>
  <si>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</si>
  <si>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</si>
  <si>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</si>
  <si>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</si>
  <si>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</si>
  <si>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</si>
  <si>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</si>
  <si>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</si>
  <si>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</si>
  <si>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</si>
  <si>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</si>
  <si>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</si>
  <si>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</si>
  <si>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</si>
  <si>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</si>
  <si>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</si>
  <si>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</si>
  <si>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</si>
  <si>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</si>
  <si>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</si>
  <si>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</si>
  <si>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</si>
  <si>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</si>
  <si>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</si>
  <si>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</si>
  <si>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</si>
  <si>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</si>
  <si>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</si>
  <si>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</si>
  <si>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</si>
  <si>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</si>
  <si>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</si>
  <si>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</si>
  <si>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</si>
  <si>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</si>
  <si>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</si>
  <si>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</si>
  <si>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</si>
  <si>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</si>
  <si>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</si>
  <si>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</si>
  <si>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</si>
  <si>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</si>
  <si>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</si>
  <si>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</si>
  <si>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</si>
  <si>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</si>
  <si>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</si>
  <si>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</si>
  <si>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</si>
  <si>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</si>
  <si>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</si>
  <si>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</si>
  <si>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</si>
  <si>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</si>
  <si>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</si>
  <si>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</si>
  <si>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</si>
  <si>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</si>
  <si>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</si>
  <si>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</si>
  <si>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</si>
  <si>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</si>
  <si>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</si>
  <si>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</si>
  <si>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</si>
  <si>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</si>
  <si>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</si>
  <si>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</si>
  <si>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</si>
  <si>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</si>
  <si>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</si>
  <si>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</si>
  <si>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</si>
  <si>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</si>
  <si>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</si>
  <si>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</si>
  <si>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</si>
  <si>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</si>
  <si>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</si>
  <si>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</si>
  <si>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</si>
  <si>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</si>
  <si>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</si>
  <si>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</si>
  <si>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</si>
  <si>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</si>
  <si>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</si>
  <si>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</si>
  <si>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</si>
  <si>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</si>
  <si>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</si>
  <si>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</si>
  <si>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</si>
  <si>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</si>
  <si>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</si>
  <si>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</si>
  <si>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</si>
  <si>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</si>
  <si>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</si>
  <si>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</si>
  <si>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</si>
  <si>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</si>
  <si>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</si>
  <si>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</si>
  <si>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</si>
  <si>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</si>
  <si>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</si>
  <si>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</si>
  <si>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</si>
  <si>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</si>
  <si>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</si>
  <si>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</si>
  <si>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</si>
  <si>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</si>
  <si>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</si>
  <si>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</si>
  <si>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</si>
  <si>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</si>
  <si>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</si>
  <si>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</si>
  <si>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</si>
  <si>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</si>
  <si>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</si>
  <si>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</si>
  <si>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</si>
  <si>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</si>
  <si>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</si>
  <si>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</si>
  <si>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</si>
  <si>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</si>
  <si>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</si>
  <si>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</si>
  <si>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</si>
  <si>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</si>
  <si>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</si>
  <si>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</si>
  <si>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</si>
  <si>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</si>
  <si>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</si>
  <si>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</si>
  <si>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</si>
  <si>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</si>
  <si>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</si>
  <si>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</si>
  <si>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</si>
  <si>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</si>
  <si>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</si>
  <si>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</si>
  <si>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</si>
  <si>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</si>
  <si>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</si>
  <si>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</si>
  <si>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</si>
  <si>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</si>
  <si>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</si>
  <si>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</si>
  <si>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</si>
  <si>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</si>
  <si>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</si>
  <si>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</si>
  <si>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</si>
  <si>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</si>
  <si>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</si>
  <si>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</si>
  <si>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</si>
  <si>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</si>
  <si>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</si>
  <si>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</si>
  <si>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</si>
  <si>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</si>
  <si>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</si>
  <si>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</si>
  <si>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</si>
  <si>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</si>
  <si>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</si>
  <si>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</si>
  <si>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</si>
  <si>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</si>
  <si>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</si>
  <si>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</si>
  <si>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</si>
  <si>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</si>
  <si>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</si>
  <si>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</si>
  <si>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</si>
  <si>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</si>
  <si>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</si>
  <si>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</si>
  <si>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</si>
  <si>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</si>
  <si>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</si>
  <si>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</si>
  <si>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</si>
  <si>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</si>
  <si>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</si>
  <si>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</si>
  <si>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</si>
  <si>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</si>
  <si>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</si>
  <si>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</si>
  <si>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</si>
  <si>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</si>
  <si>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</si>
  <si>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</si>
  <si>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</si>
  <si>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</si>
  <si>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</si>
  <si>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</si>
  <si>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</si>
  <si>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</si>
  <si>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</si>
  <si>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</si>
  <si>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</si>
  <si>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</si>
  <si>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</si>
  <si>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</si>
  <si>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</si>
  <si>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</si>
  <si>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</si>
  <si>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</si>
  <si>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</si>
  <si>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</si>
  <si>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</si>
  <si>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</si>
  <si>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</si>
  <si>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</si>
  <si>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</si>
  <si>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</si>
  <si>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</si>
  <si>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</si>
  <si>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</si>
  <si>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</si>
  <si>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</si>
  <si>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</si>
  <si>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</si>
  <si>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</si>
  <si>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</si>
  <si>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</si>
  <si>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</si>
  <si>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</si>
  <si>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</si>
  <si>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</si>
  <si>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</si>
  <si>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</si>
  <si>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</si>
  <si>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</si>
  <si>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</si>
  <si>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</si>
  <si>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</si>
  <si>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</si>
  <si>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</si>
  <si>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</si>
  <si>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</si>
  <si>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</si>
  <si>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</si>
  <si>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</si>
  <si>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</si>
  <si>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</si>
  <si>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</si>
  <si>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</si>
  <si>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</si>
  <si>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</si>
  <si>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</si>
  <si>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</si>
  <si>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</si>
  <si>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</si>
  <si>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</si>
  <si>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</si>
  <si>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</si>
  <si>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</si>
  <si>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</si>
  <si>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</si>
  <si>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</si>
  <si>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</si>
  <si>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</si>
  <si>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</si>
  <si>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</si>
  <si>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</si>
  <si>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</si>
  <si>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</si>
  <si>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</si>
  <si>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</si>
  <si>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</si>
  <si>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</si>
  <si>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</si>
  <si>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</si>
  <si>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</si>
  <si>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</si>
  <si>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</si>
  <si>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</si>
  <si>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</si>
  <si>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</si>
  <si>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</si>
  <si>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</si>
  <si>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</si>
  <si>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</si>
  <si>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</si>
  <si>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</si>
  <si>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</si>
  <si>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</si>
  <si>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</si>
  <si>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</si>
  <si>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</si>
  <si>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</si>
  <si>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</si>
  <si>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</si>
  <si>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</si>
  <si>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</si>
  <si>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</si>
  <si>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</si>
  <si>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</si>
  <si>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</si>
  <si>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</si>
  <si>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</si>
  <si>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</si>
  <si>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</si>
  <si>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</si>
  <si>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</si>
  <si>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</si>
  <si>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</si>
  <si>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</si>
  <si>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</si>
  <si>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</si>
  <si>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</si>
  <si>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</si>
  <si>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</si>
  <si>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</si>
  <si>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</si>
  <si>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</si>
  <si>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</si>
  <si>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</si>
  <si>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</si>
  <si>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</si>
  <si>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</si>
  <si>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</si>
  <si>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</si>
  <si>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</si>
  <si>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</si>
  <si>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</si>
  <si>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</si>
  <si>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</si>
  <si>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</si>
  <si>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</si>
  <si>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</si>
  <si>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</si>
  <si>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</si>
  <si>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</si>
  <si>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</si>
  <si>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</si>
  <si>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</si>
  <si>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</si>
  <si>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</si>
  <si>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</si>
  <si>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</si>
  <si>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</si>
  <si>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</si>
  <si>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</si>
  <si>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</si>
  <si>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</si>
  <si>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</si>
  <si>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</si>
  <si>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</si>
  <si>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</si>
  <si>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</si>
  <si>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</si>
  <si>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</si>
  <si>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</si>
  <si>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</si>
  <si>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</si>
  <si>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</si>
  <si>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</si>
  <si>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</si>
  <si>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</si>
  <si>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</si>
  <si>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</si>
  <si>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</si>
  <si>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</si>
  <si>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</si>
  <si>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</si>
  <si>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</si>
  <si>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</si>
  <si>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</si>
  <si>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</si>
  <si>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</si>
  <si>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</si>
  <si>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</si>
  <si>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</si>
  <si>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</si>
  <si>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</si>
  <si>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</si>
  <si>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</si>
  <si>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</si>
  <si>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</si>
  <si>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</si>
  <si>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</si>
  <si>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</si>
  <si>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</si>
  <si>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</si>
  <si>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</si>
  <si>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</si>
  <si>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</si>
  <si>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</si>
  <si>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</si>
  <si>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</si>
  <si>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</si>
  <si>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</si>
  <si>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</si>
  <si>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</si>
  <si>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</si>
  <si>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</si>
  <si>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</si>
  <si>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</si>
  <si>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</si>
  <si>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</si>
  <si>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</si>
  <si>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</si>
  <si>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</si>
  <si>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</si>
  <si>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</si>
  <si>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</si>
  <si>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</si>
  <si>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</si>
  <si>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</si>
  <si>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</si>
  <si>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</si>
  <si>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</si>
  <si>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</si>
  <si>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</si>
  <si>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</si>
  <si>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</si>
  <si>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</si>
  <si>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</si>
  <si>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</si>
  <si>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</si>
  <si>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</si>
  <si>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</si>
  <si>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</si>
  <si>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</si>
  <si>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</si>
  <si>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</si>
  <si>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</si>
  <si>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</si>
  <si>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</si>
  <si>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</si>
  <si>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</si>
  <si>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</si>
  <si>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</si>
  <si>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</si>
  <si>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</si>
  <si>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</si>
  <si>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</si>
  <si>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</si>
  <si>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</si>
  <si>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</si>
  <si>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</si>
  <si>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</si>
  <si>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</si>
  <si>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</si>
  <si>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</si>
  <si>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</si>
  <si>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</si>
  <si>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</si>
  <si>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</si>
  <si>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</si>
  <si>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</si>
  <si>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</si>
  <si>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</si>
  <si>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</si>
  <si>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</si>
  <si>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</si>
  <si>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</si>
  <si>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</si>
  <si>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</si>
  <si>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</si>
  <si>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</si>
  <si>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</si>
  <si>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</si>
  <si>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</si>
  <si>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</si>
  <si>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</si>
  <si>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</si>
  <si>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</si>
  <si>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</si>
  <si>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</si>
  <si>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</si>
  <si>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</si>
  <si>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</si>
  <si>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</si>
  <si>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</si>
  <si>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</si>
  <si>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</si>
  <si>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</si>
  <si>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</si>
  <si>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</si>
  <si>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</si>
  <si>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</si>
  <si>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</si>
  <si>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</si>
  <si>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</si>
  <si>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</si>
  <si>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</si>
  <si>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</si>
  <si>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</si>
  <si>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</si>
  <si>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</si>
  <si>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</si>
  <si>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</si>
  <si>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</si>
  <si>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</si>
  <si>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</si>
  <si>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</si>
  <si>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</si>
  <si>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</si>
  <si>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</si>
  <si>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</si>
  <si>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</si>
  <si>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</si>
  <si>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</si>
  <si>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</si>
  <si>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</si>
  <si>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</si>
  <si>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</si>
  <si>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</si>
  <si>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</si>
  <si>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</si>
  <si>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</si>
  <si>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</si>
  <si>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</si>
  <si>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</si>
  <si>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</si>
  <si>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</si>
  <si>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</si>
  <si>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</si>
  <si>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</si>
  <si>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</si>
  <si>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</si>
  <si>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</si>
  <si>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</si>
  <si>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</si>
  <si>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</si>
  <si>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</si>
  <si>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</si>
  <si>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</si>
  <si>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</si>
  <si>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</si>
  <si>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</si>
  <si>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</si>
  <si>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</si>
  <si>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</si>
  <si>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</si>
  <si>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</si>
  <si>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</si>
  <si>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</si>
  <si>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</si>
  <si>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</si>
  <si>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</si>
  <si>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</si>
  <si>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</si>
  <si>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</si>
  <si>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</si>
  <si>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</si>
  <si>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</si>
  <si>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</si>
  <si>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</si>
  <si>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</si>
  <si>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</si>
  <si>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</si>
  <si>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</si>
  <si>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</si>
  <si>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</si>
  <si>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</si>
  <si>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</si>
  <si>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</si>
  <si>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</si>
  <si>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</si>
  <si>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</si>
  <si>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</si>
  <si>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</si>
  <si>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</si>
  <si>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</si>
  <si>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</si>
  <si>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</si>
  <si>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</si>
  <si>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</si>
  <si>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</si>
  <si>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</si>
  <si>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</si>
  <si>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</si>
  <si>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</si>
  <si>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</si>
  <si>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</si>
  <si>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</si>
  <si>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</si>
  <si>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</si>
  <si>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</si>
  <si>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</si>
  <si>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</si>
  <si>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</si>
  <si>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</si>
  <si>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</si>
  <si>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</si>
  <si>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</si>
  <si>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</si>
  <si>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</si>
  <si>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</si>
  <si>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</si>
  <si>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</si>
  <si>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</si>
  <si>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</si>
  <si>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</si>
  <si>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</si>
  <si>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</si>
  <si>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</si>
  <si>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</si>
  <si>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</si>
  <si>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</si>
  <si>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</si>
  <si>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</si>
  <si>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</si>
  <si>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</si>
  <si>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</si>
  <si>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</si>
  <si>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</si>
  <si>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</si>
  <si>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</si>
  <si>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</si>
  <si>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</si>
  <si>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</si>
  <si>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</si>
  <si>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</si>
  <si>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</si>
  <si>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</si>
  <si>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</si>
  <si>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</si>
  <si>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</si>
  <si>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</si>
  <si>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</si>
  <si>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</si>
  <si>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</si>
  <si>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</si>
  <si>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</si>
  <si>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</si>
  <si>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</si>
  <si>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</si>
  <si>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</si>
  <si>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</si>
  <si>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</si>
  <si>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</si>
  <si>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</si>
  <si>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</si>
  <si>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</si>
  <si>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</si>
  <si>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</si>
  <si>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</si>
  <si>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</si>
  <si>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</si>
  <si>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</si>
  <si>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</si>
  <si>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</si>
  <si>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</si>
  <si>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</si>
  <si>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</si>
  <si>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</si>
  <si>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</si>
  <si>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</si>
  <si>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</si>
  <si>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</si>
  <si>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</si>
  <si>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</si>
  <si>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</si>
  <si>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</si>
  <si>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</si>
  <si>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</si>
  <si>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</si>
  <si>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</si>
  <si>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</si>
  <si>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</si>
  <si>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</si>
  <si>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</si>
  <si>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</si>
  <si>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</si>
  <si>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</si>
  <si>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</si>
  <si>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</si>
  <si>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</si>
  <si>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</si>
  <si>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</si>
  <si>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</si>
  <si>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</si>
  <si>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</si>
  <si>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</si>
  <si>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</si>
  <si>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</si>
  <si>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</si>
  <si>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</si>
  <si>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</si>
  <si>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</si>
  <si>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</si>
  <si>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</si>
  <si>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</si>
  <si>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</si>
  <si>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</si>
  <si>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</si>
  <si>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</si>
  <si>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</si>
  <si>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</si>
  <si>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</si>
  <si>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</si>
  <si>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</si>
  <si>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</si>
  <si>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</si>
  <si>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</si>
  <si>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</si>
  <si>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</si>
  <si>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</si>
  <si>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</si>
  <si>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</si>
  <si>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</si>
  <si>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</si>
  <si>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</si>
  <si>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</si>
  <si>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</si>
  <si>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</si>
  <si>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</si>
  <si>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</si>
  <si>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</si>
  <si>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</si>
  <si>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</si>
  <si>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</si>
  <si>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</si>
  <si>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</si>
  <si>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</si>
  <si>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</si>
  <si>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</si>
  <si>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</si>
  <si>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</si>
  <si>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</si>
  <si>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</si>
  <si>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</si>
  <si>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</si>
  <si>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</si>
  <si>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</si>
  <si>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</si>
  <si>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</si>
  <si>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</si>
  <si>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</si>
  <si>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</si>
  <si>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</si>
  <si>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</si>
  <si>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</si>
  <si>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</si>
  <si>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</si>
  <si>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</si>
  <si>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</si>
  <si>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</si>
  <si>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</si>
  <si>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</si>
  <si>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</si>
  <si>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</si>
  <si>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</si>
  <si>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</si>
  <si>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</si>
  <si>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</si>
  <si>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</si>
  <si>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</si>
  <si>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</si>
  <si>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</si>
  <si>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</si>
  <si>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</si>
  <si>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</si>
  <si>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</si>
  <si>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</si>
  <si>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</si>
  <si>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</si>
  <si>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</si>
  <si>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</si>
  <si>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</si>
  <si>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</si>
  <si>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</si>
  <si>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</si>
  <si>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</si>
  <si>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</si>
  <si>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</si>
  <si>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</si>
  <si>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</si>
  <si>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</si>
  <si>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</si>
  <si>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</si>
  <si>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</si>
  <si>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</si>
  <si>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</si>
  <si>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</si>
  <si>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</si>
  <si>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</si>
  <si>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</si>
  <si>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</si>
  <si>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</si>
  <si>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</si>
  <si>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</si>
  <si>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</si>
  <si>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</si>
  <si>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</si>
  <si>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</si>
  <si>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</si>
  <si>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</si>
  <si>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</si>
  <si>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</si>
  <si>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</si>
  <si>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</si>
  <si>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</si>
  <si>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</si>
  <si>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</si>
  <si>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</si>
  <si>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</si>
  <si>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</si>
  <si>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</si>
  <si>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</si>
  <si>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</si>
  <si>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</si>
  <si>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</si>
  <si>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</si>
  <si>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</si>
  <si>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</si>
  <si>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</si>
  <si>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</si>
  <si>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</si>
  <si>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</si>
  <si>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</si>
  <si>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</si>
  <si>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</si>
  <si>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</si>
  <si>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</si>
  <si>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</si>
  <si>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</si>
  <si>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</si>
  <si>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</si>
  <si>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</si>
  <si>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</si>
  <si>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</si>
  <si>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</si>
  <si>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</si>
  <si>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</si>
  <si>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</si>
  <si>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</si>
  <si>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</si>
  <si>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</si>
  <si>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</si>
  <si>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</si>
  <si>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</si>
  <si>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</si>
  <si>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</si>
  <si>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</si>
  <si>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</si>
  <si>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</si>
  <si>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</si>
  <si>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</si>
  <si>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</si>
  <si>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</si>
  <si>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</si>
  <si>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</si>
  <si>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</si>
  <si>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</si>
  <si>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</si>
  <si>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</si>
  <si>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</si>
  <si>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</si>
  <si>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</si>
  <si>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</si>
  <si>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</si>
  <si>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</si>
  <si>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</si>
  <si>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</si>
  <si>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</si>
  <si>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</si>
  <si>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</si>
  <si>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</si>
  <si>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</si>
  <si>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</si>
  <si>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</si>
  <si>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</si>
  <si>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</si>
  <si>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</si>
  <si>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</si>
  <si>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</si>
  <si>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</si>
  <si>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</si>
  <si>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</si>
  <si>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</si>
  <si>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</si>
  <si>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</si>
  <si>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</si>
  <si>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</si>
  <si>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</si>
  <si>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</si>
  <si>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</si>
  <si>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</si>
  <si>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</si>
  <si>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</si>
  <si>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</si>
  <si>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</si>
  <si>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</si>
  <si>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</si>
  <si>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</si>
  <si>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</si>
  <si>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</si>
  <si>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</si>
  <si>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</si>
  <si>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</si>
  <si>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</si>
  <si>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</si>
  <si>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</si>
  <si>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</si>
  <si>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</si>
  <si>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</si>
  <si>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</si>
  <si>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</si>
  <si>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</si>
  <si>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</si>
  <si>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</si>
  <si>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</si>
  <si>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</si>
  <si>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</si>
  <si>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</si>
  <si>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</si>
  <si>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</si>
  <si>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</si>
  <si>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</si>
  <si>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</si>
  <si>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</si>
  <si>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</si>
  <si>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</si>
  <si>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</si>
  <si>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</si>
  <si>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</si>
  <si>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</si>
  <si>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</si>
  <si>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</si>
  <si>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</si>
  <si>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</si>
  <si>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</si>
  <si>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</si>
  <si>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</si>
  <si>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</si>
  <si>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</si>
  <si>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</si>
  <si>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</si>
  <si>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</si>
  <si>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</si>
  <si>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</si>
  <si>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</si>
  <si>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</si>
  <si>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</si>
  <si>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</si>
  <si>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</si>
  <si>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</si>
  <si>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</si>
  <si>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</si>
  <si>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</si>
  <si>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</si>
  <si>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</si>
  <si>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</si>
  <si>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</si>
  <si>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</si>
  <si>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</si>
  <si>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</si>
  <si>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</si>
  <si>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</si>
  <si>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</si>
  <si>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</si>
  <si>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</si>
  <si>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</si>
  <si>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</si>
  <si>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</si>
  <si>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</si>
  <si>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</si>
  <si>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</si>
  <si>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</si>
  <si>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</si>
  <si>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</si>
  <si>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</si>
  <si>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</si>
  <si>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</si>
  <si>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</si>
  <si>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</si>
  <si>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</si>
  <si>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</si>
  <si>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</si>
  <si>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</si>
  <si>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</si>
  <si>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</si>
  <si>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</si>
  <si>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</si>
  <si>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</si>
  <si>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</si>
  <si>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</si>
  <si>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</si>
  <si>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</si>
  <si>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</si>
  <si>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</si>
  <si>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</si>
  <si>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</si>
  <si>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</si>
  <si>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</si>
  <si>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</si>
  <si>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</si>
  <si>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</si>
  <si>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</si>
  <si>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</si>
  <si>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</si>
  <si>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</si>
  <si>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</si>
  <si>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</si>
  <si>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</si>
  <si>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</si>
  <si>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</si>
  <si>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</si>
  <si>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</si>
  <si>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</si>
  <si>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</si>
  <si>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</si>
  <si>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</si>
  <si>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</si>
  <si>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</si>
  <si>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</si>
  <si>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</si>
  <si>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</si>
  <si>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</si>
  <si>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</si>
  <si>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</si>
  <si>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</si>
  <si>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</si>
  <si>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</si>
  <si>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</si>
  <si>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</si>
  <si>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</si>
  <si>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</si>
  <si>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</si>
  <si>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</si>
  <si>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</si>
  <si>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</si>
  <si>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</si>
  <si>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</si>
  <si>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</si>
  <si>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</si>
  <si>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</si>
  <si>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</si>
  <si>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</si>
  <si>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</si>
  <si>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</si>
  <si>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</si>
  <si>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</si>
  <si>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</si>
  <si>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</si>
  <si>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</si>
  <si>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</si>
  <si>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</si>
  <si>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</si>
  <si>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</si>
  <si>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</si>
  <si>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</si>
  <si>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</si>
  <si>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</si>
  <si>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</si>
  <si>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</si>
  <si>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</si>
  <si>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</si>
  <si>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</si>
  <si>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</si>
  <si>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</si>
  <si>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</si>
  <si>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</si>
  <si>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</si>
  <si>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</si>
  <si>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</si>
  <si>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</si>
  <si>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</si>
  <si>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</si>
  <si>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</si>
  <si>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</si>
  <si>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</si>
  <si>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</si>
  <si>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</si>
  <si>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</si>
  <si>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</si>
  <si>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</si>
  <si>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</si>
  <si>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</si>
  <si>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</si>
  <si>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</si>
  <si>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</si>
  <si>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</si>
  <si>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</si>
  <si>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</si>
  <si>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</si>
  <si>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</si>
  <si>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</si>
  <si>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</si>
  <si>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</si>
  <si>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</si>
  <si>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</si>
  <si>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</si>
  <si>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</si>
  <si>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</si>
  <si>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</si>
  <si>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</si>
  <si>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</si>
  <si>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</si>
  <si>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</si>
  <si>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</si>
  <si>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</si>
  <si>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</si>
  <si>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</si>
  <si>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</si>
  <si>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</si>
  <si>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</si>
  <si>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</si>
  <si>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</si>
  <si>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</si>
  <si>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</si>
  <si>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</si>
  <si>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</si>
  <si>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</si>
  <si>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</si>
  <si>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</si>
  <si>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</si>
  <si>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</si>
  <si>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</si>
  <si>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</si>
  <si>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</si>
  <si>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</si>
  <si>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</si>
  <si>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</si>
  <si>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</si>
  <si>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</si>
  <si>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</si>
  <si>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</si>
  <si>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</si>
  <si>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</si>
  <si>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</si>
  <si>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</si>
  <si>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</si>
  <si>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</si>
  <si>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</si>
  <si>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</si>
  <si>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</si>
  <si>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</si>
  <si>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</si>
  <si>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</si>
  <si>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</si>
  <si>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</si>
  <si>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</si>
  <si>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</si>
  <si>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</si>
  <si>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</si>
  <si>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</si>
  <si>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</si>
  <si>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</si>
  <si>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</si>
  <si>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</si>
  <si>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</si>
  <si>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</si>
  <si>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</si>
  <si>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</si>
  <si>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</si>
  <si>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</si>
  <si>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</si>
  <si>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</si>
  <si>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</si>
  <si>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</si>
  <si>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</si>
  <si>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</si>
  <si>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</si>
  <si>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</si>
  <si>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</si>
  <si>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</si>
  <si>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</si>
  <si>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</si>
  <si>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</si>
  <si>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</si>
  <si>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</si>
  <si>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</si>
  <si>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</si>
  <si>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</si>
  <si>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</si>
  <si>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</si>
  <si>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</si>
  <si>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</si>
  <si>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</si>
  <si>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</si>
  <si>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</si>
  <si>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</si>
  <si>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</si>
  <si>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</si>
  <si>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</si>
  <si>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</si>
  <si>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</si>
  <si>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</si>
  <si>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</si>
  <si>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</si>
  <si>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</si>
  <si>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</si>
  <si>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</si>
  <si>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</si>
  <si>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</si>
  <si>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</si>
  <si>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</si>
  <si>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</si>
  <si>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</si>
  <si>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</si>
  <si>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</si>
  <si>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</si>
  <si>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</si>
  <si>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</si>
  <si>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</si>
  <si>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</si>
  <si>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</si>
  <si>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</si>
  <si>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</si>
  <si>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</si>
  <si>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</si>
  <si>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</si>
  <si>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</si>
  <si>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</si>
  <si>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</si>
  <si>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</si>
  <si>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</si>
  <si>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</si>
  <si>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</si>
  <si>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</si>
  <si>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</si>
  <si>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</si>
  <si>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</si>
  <si>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</si>
  <si>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</si>
  <si>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</si>
  <si>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</si>
  <si>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</si>
  <si>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</si>
  <si>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</si>
  <si>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</si>
  <si>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</si>
  <si>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</si>
  <si>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</si>
  <si>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</si>
  <si>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</si>
  <si>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</si>
  <si>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</si>
  <si>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</si>
  <si>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</si>
  <si>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</si>
  <si>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</si>
  <si>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</si>
  <si>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</si>
  <si>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</si>
  <si>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</si>
  <si>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</si>
  <si>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</si>
  <si>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</si>
  <si>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</si>
  <si>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</si>
  <si>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</si>
  <si>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</si>
  <si>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</si>
  <si>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</si>
  <si>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</si>
  <si>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</si>
  <si>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</si>
  <si>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</si>
  <si>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</si>
  <si>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</si>
  <si>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</si>
  <si>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</si>
  <si>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</si>
  <si>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</si>
  <si>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</si>
  <si>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</si>
  <si>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</si>
  <si>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</si>
  <si>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</si>
  <si>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</si>
  <si>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</si>
  <si>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</si>
  <si>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</si>
  <si>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</si>
  <si>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</si>
  <si>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</si>
  <si>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</si>
  <si>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</si>
  <si>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</si>
  <si>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</si>
  <si>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</si>
  <si>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</si>
  <si>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</si>
  <si>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</si>
  <si>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</si>
  <si>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</si>
  <si>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</si>
  <si>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</si>
  <si>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</si>
  <si>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</si>
  <si>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</si>
  <si>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</si>
  <si>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</si>
  <si>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</si>
  <si>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</si>
  <si>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</si>
  <si>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</si>
  <si>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</si>
  <si>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</si>
  <si>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</si>
  <si>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</si>
  <si>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</si>
  <si>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</si>
  <si>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</si>
  <si>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</si>
  <si>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</si>
  <si>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</si>
  <si>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</si>
  <si>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</si>
  <si>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</si>
  <si>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</si>
  <si>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</si>
  <si>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</si>
  <si>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</si>
  <si>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</si>
  <si>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</si>
  <si>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</si>
  <si>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</si>
  <si>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</si>
  <si>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</si>
  <si>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</si>
  <si>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</si>
  <si>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</si>
  <si>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</si>
  <si>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</si>
  <si>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</si>
  <si>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</si>
  <si>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</si>
  <si>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</si>
  <si>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</si>
  <si>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</si>
  <si>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</si>
  <si>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</si>
  <si>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</si>
  <si>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</si>
  <si>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</si>
  <si>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</si>
  <si>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</si>
  <si>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</si>
  <si>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</si>
  <si>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</si>
  <si>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</si>
  <si>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</si>
  <si>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</si>
  <si>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</si>
  <si>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</si>
  <si>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</si>
  <si>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</si>
  <si>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</si>
  <si>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</si>
  <si>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</si>
  <si>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</si>
  <si>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</si>
  <si>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</si>
  <si>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</si>
  <si>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</si>
  <si>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</si>
  <si>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</si>
  <si>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</si>
  <si>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</si>
  <si>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</si>
  <si>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</si>
  <si>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</si>
  <si>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</si>
  <si>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</si>
  <si>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</si>
  <si>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</si>
  <si>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</si>
  <si>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</si>
  <si>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</si>
  <si>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</si>
  <si>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</si>
  <si>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</si>
  <si>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</si>
  <si>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</si>
  <si>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</si>
  <si>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</si>
  <si>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</si>
  <si>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</si>
  <si>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</si>
  <si>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</si>
  <si>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</si>
  <si>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</si>
  <si>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</si>
  <si>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</si>
  <si>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</si>
  <si>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</si>
  <si>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</si>
  <si>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</si>
  <si>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</si>
  <si>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</si>
  <si>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</si>
  <si>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</si>
  <si>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</si>
  <si>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</si>
  <si>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</si>
  <si>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</si>
  <si>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</si>
  <si>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</si>
  <si>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</si>
  <si>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</si>
  <si>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</si>
  <si>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</si>
  <si>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</si>
  <si>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</si>
  <si>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</si>
  <si>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</si>
  <si>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</si>
  <si>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</si>
  <si>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</si>
  <si>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</si>
  <si>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</si>
  <si>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</si>
  <si>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</si>
  <si>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</si>
  <si>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</si>
  <si>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</si>
  <si>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</si>
  <si>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</si>
  <si>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</si>
  <si>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</si>
  <si>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</si>
  <si>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</si>
  <si>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</si>
  <si>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</si>
  <si>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</si>
  <si>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</si>
  <si>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</si>
  <si>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</si>
  <si>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</si>
  <si>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</si>
  <si>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</si>
  <si>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</si>
  <si>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</si>
  <si>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</si>
  <si>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</si>
  <si>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</si>
  <si>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</si>
  <si>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</si>
  <si>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</si>
  <si>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</si>
  <si>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</si>
  <si>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</si>
  <si>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</si>
  <si>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</si>
  <si>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</si>
  <si>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</si>
  <si>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</si>
  <si>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</si>
  <si>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</si>
  <si>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</si>
  <si>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</si>
  <si>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</si>
  <si>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</si>
  <si>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</si>
  <si>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</si>
  <si>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</si>
  <si>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</si>
  <si>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</si>
  <si>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</si>
  <si>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</si>
  <si>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</si>
  <si>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</si>
  <si>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</si>
  <si>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</si>
  <si>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</si>
  <si>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</si>
  <si>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</si>
  <si>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</si>
  <si>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</si>
  <si>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</si>
  <si>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</si>
  <si>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</si>
  <si>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</si>
  <si>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</si>
  <si>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</si>
  <si>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</si>
  <si>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</si>
  <si>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</si>
  <si>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</si>
  <si>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</si>
  <si>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</si>
  <si>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</si>
  <si>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</si>
  <si>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</si>
  <si>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</si>
  <si>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</si>
  <si>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</si>
  <si>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</si>
  <si>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</si>
  <si>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</si>
  <si>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</si>
  <si>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</si>
  <si>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</si>
  <si>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</si>
  <si>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</si>
  <si>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</si>
  <si>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</si>
  <si>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</si>
  <si>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</si>
  <si>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</si>
  <si>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</si>
  <si>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</si>
  <si>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</si>
  <si>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</si>
  <si>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</si>
  <si>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</si>
  <si>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</si>
  <si>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</si>
  <si>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</si>
  <si>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</si>
  <si>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</si>
  <si>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</si>
  <si>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</si>
  <si>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</si>
  <si>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</si>
  <si>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</si>
  <si>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</si>
  <si>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</si>
  <si>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</si>
  <si>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</si>
  <si>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</si>
  <si>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</si>
  <si>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</si>
  <si>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</si>
  <si>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</si>
  <si>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</si>
  <si>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</si>
  <si>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</si>
  <si>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</si>
  <si>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</si>
  <si>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</si>
  <si>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</si>
  <si>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</si>
  <si>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</si>
  <si>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</si>
  <si>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</si>
  <si>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</si>
  <si>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</si>
  <si>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</si>
  <si>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</si>
  <si>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</si>
  <si>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</si>
  <si>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</si>
  <si>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</si>
  <si>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</si>
  <si>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</si>
  <si>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</si>
  <si>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</si>
  <si>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</si>
  <si>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</si>
  <si>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</si>
  <si>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</si>
  <si>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</si>
  <si>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</si>
  <si>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</si>
  <si>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</si>
  <si>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</si>
  <si>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</si>
  <si>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</si>
  <si>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</si>
  <si>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</si>
  <si>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</si>
  <si>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</si>
  <si>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</si>
  <si>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</si>
  <si>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</si>
  <si>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</si>
  <si>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</si>
  <si>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</si>
  <si>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</si>
  <si>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</si>
  <si>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</si>
  <si>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</si>
  <si>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</si>
  <si>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</si>
  <si>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</si>
  <si>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</si>
  <si>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</si>
  <si>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</si>
  <si>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</si>
  <si>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</si>
  <si>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</si>
  <si>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</si>
  <si>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</si>
  <si>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</si>
  <si>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</si>
  <si>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</si>
  <si>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</si>
  <si>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</si>
  <si>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</si>
  <si>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</si>
  <si>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</si>
  <si>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</si>
  <si>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</si>
  <si>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</si>
  <si>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</si>
  <si>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</si>
  <si>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</si>
  <si>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</si>
  <si>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</si>
  <si>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</si>
  <si>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</si>
  <si>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</si>
  <si>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</si>
  <si>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</si>
  <si>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</si>
  <si>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</si>
  <si>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</si>
  <si>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</si>
  <si>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</si>
  <si>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</si>
  <si>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</si>
  <si>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</si>
  <si>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</si>
  <si>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</si>
  <si>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</si>
  <si>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</si>
  <si>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</si>
  <si>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</si>
  <si>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</si>
  <si>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</si>
  <si>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</si>
  <si>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</si>
  <si>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</si>
  <si>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</si>
  <si>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</si>
  <si>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</si>
  <si>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</si>
  <si>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</si>
  <si>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</si>
  <si>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</si>
  <si>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</si>
  <si>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</si>
  <si>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</si>
  <si>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</si>
  <si>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</si>
  <si>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</si>
  <si>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</si>
  <si>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</si>
  <si>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</si>
  <si>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</si>
  <si>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</si>
  <si>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</si>
  <si>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</si>
  <si>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</si>
  <si>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</si>
  <si>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</si>
  <si>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</si>
  <si>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</si>
  <si>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</si>
  <si>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</si>
  <si>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</si>
  <si>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</si>
  <si>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</si>
  <si>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</si>
  <si>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</si>
  <si>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</si>
  <si>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</si>
  <si>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</si>
  <si>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</si>
  <si>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</si>
  <si>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</si>
  <si>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</si>
  <si>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</si>
  <si>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</si>
  <si>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</si>
  <si>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</si>
  <si>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</si>
  <si>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</si>
  <si>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</si>
  <si>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</si>
  <si>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</si>
  <si>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</si>
  <si>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</si>
  <si>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</si>
  <si>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</si>
  <si>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</si>
  <si>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</si>
  <si>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</si>
  <si>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</si>
  <si>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</si>
  <si>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</si>
  <si>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</si>
  <si>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</si>
  <si>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</si>
  <si>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</si>
  <si>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</si>
  <si>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</si>
  <si>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</si>
  <si>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</si>
  <si>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</si>
  <si>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</si>
  <si>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</si>
  <si>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</si>
  <si>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</si>
  <si>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</si>
  <si>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</si>
  <si>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</si>
  <si>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</si>
  <si>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</si>
  <si>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</si>
  <si>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</si>
  <si>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</si>
  <si>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</si>
  <si>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</si>
  <si>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</si>
  <si>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</si>
  <si>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</si>
  <si>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</si>
  <si>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</si>
  <si>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</si>
  <si>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</si>
  <si>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</si>
  <si>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</si>
  <si>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</si>
  <si>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</si>
  <si>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</si>
  <si>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</si>
  <si>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</si>
  <si>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</si>
  <si>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</si>
  <si>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</si>
  <si>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</si>
  <si>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</si>
  <si>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</si>
  <si>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</si>
  <si>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</si>
  <si>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</si>
  <si>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</si>
  <si>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</si>
  <si>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</si>
  <si>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</si>
  <si>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</si>
  <si>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</si>
  <si>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</si>
  <si>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</si>
  <si>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</si>
  <si>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</si>
  <si>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</si>
  <si>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</si>
  <si>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</si>
  <si>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</si>
  <si>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</si>
  <si>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</si>
  <si>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</si>
  <si>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</si>
  <si>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</si>
  <si>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</si>
  <si>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</si>
  <si>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</si>
  <si>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</si>
  <si>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</si>
  <si>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</si>
  <si>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</si>
  <si>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</si>
  <si>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</si>
  <si>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</si>
  <si>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</si>
  <si>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</si>
  <si>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</si>
  <si>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</si>
  <si>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</si>
  <si>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</si>
  <si>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</si>
  <si>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</si>
  <si>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</si>
  <si>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</si>
  <si>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</si>
  <si>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</si>
  <si>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</si>
  <si>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</si>
  <si>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</si>
  <si>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</si>
  <si>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</si>
  <si>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</si>
  <si>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</si>
  <si>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</si>
  <si>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</si>
  <si>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</si>
  <si>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</si>
  <si>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</si>
  <si>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</si>
  <si>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</si>
  <si>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</si>
  <si>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</si>
  <si>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</si>
  <si>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</si>
  <si>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</si>
  <si>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</si>
  <si>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</si>
  <si>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</si>
  <si>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</si>
  <si>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</si>
  <si>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</si>
  <si>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</si>
  <si>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</si>
  <si>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</si>
  <si>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</si>
  <si>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</si>
  <si>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</si>
  <si>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</si>
  <si>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</si>
  <si>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</si>
  <si>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</si>
  <si>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</si>
  <si>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</si>
  <si>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</si>
  <si>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</si>
  <si>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</si>
  <si>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</si>
  <si>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</si>
  <si>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</si>
  <si>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</si>
  <si>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</si>
  <si>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</si>
  <si>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</si>
  <si>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</si>
  <si>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</si>
  <si>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</si>
  <si>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</si>
  <si>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</si>
  <si>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</si>
  <si>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</si>
  <si>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</si>
  <si>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</si>
  <si>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</si>
  <si>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</si>
  <si>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</si>
  <si>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</si>
  <si>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</si>
  <si>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</si>
  <si>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</si>
  <si>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</si>
  <si>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</si>
  <si>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</si>
  <si>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</si>
  <si>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</si>
  <si>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</si>
  <si>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</si>
  <si>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</si>
  <si>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</si>
  <si>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</si>
  <si>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</si>
  <si>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</si>
  <si>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</si>
  <si>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</si>
  <si>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</si>
  <si>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</si>
  <si>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</si>
  <si>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</si>
  <si>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</si>
  <si>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</si>
  <si>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</si>
  <si>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</si>
  <si>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</si>
  <si>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</si>
  <si>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</si>
  <si>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</si>
  <si>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</si>
  <si>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</si>
  <si>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</si>
  <si>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</si>
  <si>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</si>
  <si>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</si>
  <si>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</si>
  <si>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</si>
  <si>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</si>
  <si>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</si>
  <si>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</si>
  <si>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</si>
  <si>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</si>
  <si>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</si>
  <si>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</si>
  <si>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</si>
  <si>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</si>
  <si>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</si>
  <si>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</si>
  <si>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</si>
  <si>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</si>
  <si>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</si>
  <si>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</si>
  <si>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</si>
  <si>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</si>
  <si>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</si>
  <si>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</si>
  <si>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</si>
  <si>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</si>
  <si>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</si>
  <si>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</si>
  <si>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</si>
  <si>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</si>
  <si>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</si>
  <si>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</si>
  <si>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</si>
  <si>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</si>
  <si>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</si>
  <si>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</si>
  <si>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</si>
  <si>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</si>
  <si>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</si>
  <si>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</si>
  <si>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</si>
  <si>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</si>
  <si>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</si>
  <si>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</si>
  <si>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</si>
  <si>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</si>
  <si>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</si>
  <si>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</si>
  <si>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</si>
  <si>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</si>
  <si>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</si>
  <si>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</si>
  <si>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</si>
  <si>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</si>
  <si>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</si>
  <si>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</si>
  <si>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</si>
  <si>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</si>
  <si>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</si>
  <si>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</si>
  <si>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</si>
  <si>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</si>
  <si>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</si>
  <si>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</si>
  <si>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</si>
  <si>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</si>
  <si>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</si>
  <si>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</si>
  <si>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</si>
  <si>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</si>
  <si>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</si>
  <si>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</si>
  <si>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</si>
  <si>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</si>
  <si>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</si>
  <si>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</si>
  <si>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</si>
  <si>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</si>
  <si>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</si>
  <si>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</si>
  <si>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</si>
  <si>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</si>
  <si>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</si>
  <si>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</si>
  <si>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</si>
  <si>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</si>
  <si>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</si>
  <si>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</si>
  <si>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</si>
  <si>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</si>
  <si>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</si>
  <si>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</si>
  <si>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</si>
  <si>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</si>
  <si>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</si>
  <si>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</si>
  <si>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</si>
  <si>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</si>
  <si>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</si>
  <si>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</si>
  <si>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</si>
  <si>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</si>
  <si>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</si>
  <si>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</si>
  <si>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</si>
  <si>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</si>
  <si>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</si>
  <si>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</si>
  <si>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</si>
  <si>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</si>
  <si>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</si>
  <si>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</si>
  <si>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</si>
  <si>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</si>
  <si>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</si>
  <si>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</si>
  <si>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</si>
  <si>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</si>
  <si>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</si>
  <si>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</si>
  <si>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</si>
  <si>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</si>
  <si>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</si>
  <si>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</si>
  <si>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</si>
  <si>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</si>
  <si>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</si>
  <si>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</si>
  <si>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</si>
  <si>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</si>
  <si>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</si>
  <si>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</si>
  <si>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</si>
  <si>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</si>
  <si>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</si>
  <si>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</si>
  <si>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</si>
  <si>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</si>
  <si>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</si>
  <si>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</si>
  <si>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</si>
  <si>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</si>
  <si>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</si>
  <si>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</si>
  <si>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</si>
  <si>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</si>
  <si>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</si>
  <si>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</si>
  <si>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</si>
  <si>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</si>
  <si>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</si>
  <si>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</si>
  <si>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</si>
  <si>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</si>
  <si>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</si>
  <si>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</si>
  <si>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</si>
  <si>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</si>
  <si>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</si>
  <si>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</si>
  <si>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</si>
  <si>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</si>
  <si>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</si>
  <si>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</si>
  <si>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</si>
  <si>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</si>
  <si>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</si>
  <si>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</si>
  <si>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</si>
  <si>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</si>
  <si>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</si>
  <si>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</si>
  <si>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</si>
  <si>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</si>
  <si>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</si>
  <si>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</si>
  <si>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</si>
  <si>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</si>
  <si>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</si>
  <si>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</si>
  <si>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</si>
  <si>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</si>
  <si>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</si>
  <si>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</si>
  <si>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</si>
  <si>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</si>
  <si>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</si>
  <si>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</si>
  <si>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</si>
  <si>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</si>
  <si>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</si>
  <si>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</si>
  <si>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</si>
  <si>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</si>
  <si>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</si>
  <si>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</si>
  <si>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</si>
  <si>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</si>
  <si>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</si>
  <si>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</si>
  <si>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</si>
  <si>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</si>
  <si>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</si>
  <si>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</si>
  <si>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</si>
  <si>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</si>
  <si>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</si>
  <si>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</si>
  <si>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</si>
  <si>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</si>
  <si>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</si>
  <si>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</si>
  <si>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</si>
  <si>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</si>
  <si>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</si>
  <si>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</si>
  <si>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</si>
  <si>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</si>
  <si>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</si>
  <si>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</si>
  <si>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</si>
  <si>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</si>
  <si>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</si>
  <si>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</si>
  <si>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</si>
  <si>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</si>
  <si>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</si>
  <si>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</si>
  <si>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</si>
  <si>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</si>
  <si>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</si>
  <si>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</si>
  <si>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</si>
  <si>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</si>
  <si>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</si>
  <si>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</si>
  <si>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</si>
  <si>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</si>
  <si>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</si>
  <si>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</si>
  <si>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</si>
  <si>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</si>
  <si>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</si>
  <si>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</si>
  <si>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</si>
  <si>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</si>
  <si>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</si>
  <si>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</si>
  <si>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</si>
  <si>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</si>
  <si>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</si>
  <si>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</si>
  <si>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</si>
  <si>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</si>
  <si>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</si>
  <si>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</si>
  <si>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</si>
  <si>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</si>
  <si>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</si>
  <si>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</si>
  <si>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</si>
  <si>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</si>
  <si>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</si>
  <si>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</si>
  <si>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</si>
  <si>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</si>
  <si>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</si>
  <si>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</si>
  <si>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</si>
  <si>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</si>
  <si>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</si>
  <si>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</si>
  <si>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</si>
  <si>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</si>
  <si>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</si>
  <si>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</si>
  <si>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</si>
  <si>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</si>
  <si>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</si>
  <si>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</si>
  <si>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</si>
  <si>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</si>
  <si>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</si>
  <si>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</si>
  <si>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</si>
  <si>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</si>
  <si>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</si>
  <si>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</si>
  <si>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</si>
  <si>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</si>
  <si>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</si>
  <si>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</si>
  <si>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</si>
  <si>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</si>
  <si>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</si>
  <si>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</si>
  <si>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</si>
  <si>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</si>
  <si>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</si>
  <si>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</si>
  <si>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</si>
  <si>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</si>
  <si>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</si>
  <si>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</si>
  <si>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</si>
  <si>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</si>
  <si>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</si>
  <si>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</si>
  <si>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</si>
  <si>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</si>
  <si>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</si>
  <si>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</si>
  <si>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</si>
  <si>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</si>
  <si>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</si>
  <si>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</si>
  <si>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</si>
  <si>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</si>
  <si>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</si>
  <si>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</si>
  <si>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</si>
  <si>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</si>
  <si>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</si>
  <si>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</si>
  <si>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</si>
  <si>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</si>
  <si>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</si>
  <si>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</si>
  <si>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</si>
  <si>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</si>
  <si>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</si>
  <si>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</si>
  <si>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</si>
  <si>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</si>
  <si>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</si>
  <si>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</si>
  <si>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</si>
  <si>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</si>
  <si>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</si>
  <si>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</si>
  <si>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</si>
  <si>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</si>
  <si>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</si>
  <si>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</si>
  <si>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</si>
  <si>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</si>
  <si>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</si>
  <si>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</si>
  <si>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</si>
  <si>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</si>
  <si>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</si>
  <si>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</si>
  <si>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</si>
  <si>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</si>
  <si>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</si>
  <si>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</si>
  <si>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</si>
  <si>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</si>
  <si>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</si>
  <si>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</si>
  <si>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</si>
  <si>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</si>
  <si>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</si>
  <si>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</si>
  <si>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</si>
  <si>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</si>
  <si>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</si>
  <si>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</si>
  <si>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</si>
  <si>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</si>
  <si>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</si>
  <si>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</si>
  <si>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</si>
  <si>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</si>
  <si>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</si>
  <si>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</si>
  <si>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</si>
  <si>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</si>
  <si>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</si>
  <si>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</si>
  <si>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</si>
  <si>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</si>
  <si>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</si>
  <si>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</si>
  <si>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</si>
  <si>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</si>
  <si>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</si>
  <si>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</si>
  <si>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</si>
  <si>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</si>
  <si>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</si>
  <si>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</si>
  <si>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</si>
  <si>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</si>
  <si>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</si>
  <si>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</si>
  <si>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</si>
  <si>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</si>
  <si>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</si>
  <si>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</si>
  <si>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</si>
  <si>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</si>
  <si>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</si>
  <si>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</si>
  <si>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</si>
  <si>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</si>
  <si>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</si>
  <si>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</si>
  <si>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</si>
  <si>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</si>
  <si>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</si>
  <si>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</si>
  <si>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</si>
  <si>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</si>
  <si>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</si>
  <si>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</si>
  <si>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</si>
  <si>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</si>
  <si>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</si>
  <si>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</si>
  <si>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</si>
  <si>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</si>
  <si>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</si>
  <si>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</si>
  <si>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</si>
  <si>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</si>
  <si>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</si>
  <si>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</si>
  <si>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</si>
  <si>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</si>
  <si>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</si>
  <si>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</si>
  <si>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</si>
  <si>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</si>
  <si>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</si>
  <si>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</si>
  <si>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</si>
  <si>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</si>
  <si>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</si>
  <si>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</si>
  <si>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</si>
  <si>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</si>
  <si>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</si>
  <si>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</si>
  <si>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</si>
  <si>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</si>
  <si>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</si>
  <si>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</si>
  <si>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</si>
  <si>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</si>
  <si>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</si>
  <si>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</si>
  <si>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</si>
  <si>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</si>
  <si>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</si>
  <si>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</si>
  <si>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</si>
  <si>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</si>
  <si>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</si>
  <si>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</si>
  <si>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</si>
  <si>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</si>
  <si>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</si>
  <si>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</si>
  <si>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</si>
  <si>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</si>
  <si>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</si>
  <si>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</si>
  <si>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</si>
  <si>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</si>
  <si>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</si>
  <si>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</si>
  <si>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</si>
  <si>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</si>
  <si>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</si>
  <si>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</si>
  <si>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</si>
  <si>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</si>
  <si>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</si>
  <si>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</si>
  <si>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</si>
  <si>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</si>
  <si>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</si>
  <si>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</si>
  <si>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</si>
  <si>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</si>
  <si>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</si>
  <si>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</si>
  <si>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</si>
  <si>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</si>
  <si>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</si>
  <si>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</si>
  <si>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</si>
  <si>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</si>
  <si>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</si>
  <si>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</si>
  <si>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</si>
  <si>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</si>
  <si>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</si>
  <si>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</si>
  <si>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</si>
  <si>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</si>
  <si>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</si>
  <si>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</si>
  <si>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</si>
  <si>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</si>
  <si>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</si>
  <si>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</si>
  <si>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</si>
  <si>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</si>
  <si>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</si>
  <si>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</si>
  <si>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</si>
  <si>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</si>
  <si>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</si>
  <si>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</si>
  <si>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</si>
  <si>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</si>
  <si>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</si>
  <si>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</si>
  <si>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</si>
  <si>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</si>
  <si>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</si>
  <si>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</si>
  <si>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</si>
  <si>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</si>
  <si>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</si>
  <si>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</si>
  <si>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</si>
  <si>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</si>
  <si>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</si>
  <si>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</si>
  <si>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</si>
  <si>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</si>
  <si>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</si>
  <si>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</si>
  <si>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</si>
  <si>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</si>
  <si>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</si>
  <si>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</si>
  <si>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</si>
  <si>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</si>
  <si>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</si>
  <si>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</si>
  <si>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</si>
  <si>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</si>
  <si>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</si>
  <si>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</si>
  <si>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</si>
  <si>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</si>
  <si>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</si>
  <si>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</si>
  <si>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</si>
  <si>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</si>
  <si>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</si>
  <si>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</si>
  <si>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</si>
  <si>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</si>
  <si>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</si>
  <si>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</si>
  <si>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</si>
  <si>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</si>
  <si>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</si>
  <si>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</si>
  <si>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</si>
  <si>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</si>
  <si>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</si>
  <si>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</si>
  <si>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</si>
  <si>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</si>
  <si>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</si>
  <si>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</si>
  <si>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</si>
  <si>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</si>
  <si>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</si>
  <si>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</si>
  <si>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</si>
  <si>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</si>
  <si>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</si>
  <si>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</si>
  <si>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</si>
  <si>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</si>
  <si>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</si>
  <si>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</si>
  <si>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</si>
  <si>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</si>
  <si>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</si>
  <si>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</si>
  <si>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</si>
  <si>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</si>
  <si>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</si>
  <si>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</si>
  <si>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</si>
  <si>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</si>
  <si>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</si>
  <si>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</si>
  <si>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</si>
  <si>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</si>
  <si>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</si>
  <si>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</si>
  <si>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</si>
  <si>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</si>
  <si>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</si>
  <si>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</si>
  <si>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</si>
  <si>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</si>
  <si>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</si>
  <si>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</si>
  <si>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</si>
  <si>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</si>
  <si>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</si>
  <si>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</si>
  <si>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</si>
  <si>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</si>
  <si>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</si>
  <si>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</si>
  <si>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</si>
  <si>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</si>
  <si>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</si>
  <si>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</si>
  <si>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</si>
  <si>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</si>
  <si>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</si>
  <si>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</si>
  <si>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</si>
  <si>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</si>
  <si>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</si>
  <si>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</si>
  <si>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</si>
  <si>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</si>
  <si>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</si>
  <si>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</si>
  <si>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</si>
  <si>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</si>
  <si>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</si>
  <si>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</si>
  <si>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</si>
  <si>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</si>
  <si>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</si>
  <si>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</si>
  <si>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</si>
  <si>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</si>
  <si>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</si>
  <si>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</si>
  <si>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</si>
  <si>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</si>
  <si>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</si>
  <si>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</si>
  <si>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</si>
  <si>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</si>
  <si>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</si>
  <si>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</si>
  <si>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</si>
  <si>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</si>
  <si>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</si>
  <si>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</si>
  <si>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</si>
  <si>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</si>
  <si>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</si>
  <si>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</si>
  <si>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</si>
  <si>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</si>
  <si>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</si>
  <si>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</si>
  <si>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</si>
  <si>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</si>
  <si>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</si>
  <si>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</si>
  <si>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</si>
  <si>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</si>
  <si>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</si>
  <si>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</si>
  <si>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</si>
  <si>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</si>
  <si>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</si>
  <si>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</si>
  <si>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</si>
  <si>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</si>
  <si>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</si>
  <si>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</si>
  <si>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</si>
  <si>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</si>
  <si>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</si>
  <si>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</si>
  <si>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</si>
  <si>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</si>
  <si>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</si>
  <si>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</si>
  <si>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</si>
  <si>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</si>
  <si>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</si>
  <si>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</si>
  <si>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</si>
  <si>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</si>
  <si>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</si>
  <si>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</si>
  <si>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</si>
  <si>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</si>
  <si>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</si>
  <si>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</si>
  <si>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</si>
  <si>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</si>
  <si>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</si>
  <si>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</si>
  <si>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</si>
  <si>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</si>
  <si>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</si>
  <si>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</si>
  <si>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</si>
  <si>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</si>
  <si>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</si>
  <si>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</si>
  <si>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</si>
  <si>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</si>
  <si>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</si>
  <si>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</si>
  <si>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</si>
  <si>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</si>
  <si>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</si>
  <si>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</si>
  <si>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</si>
  <si>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</si>
  <si>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</si>
  <si>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</si>
  <si>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</si>
  <si>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</si>
  <si>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</si>
  <si>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</si>
  <si>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</si>
  <si>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</si>
  <si>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</si>
  <si>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</si>
  <si>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</si>
  <si>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</si>
  <si>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</si>
  <si>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</si>
  <si>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</si>
  <si>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</si>
  <si>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</si>
  <si>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</si>
  <si>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</si>
  <si>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</si>
  <si>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</si>
  <si>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</si>
  <si>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</si>
  <si>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</si>
  <si>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</si>
  <si>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</si>
  <si>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</si>
  <si>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</si>
  <si>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</si>
  <si>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</si>
  <si>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</si>
  <si>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</si>
  <si>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</si>
  <si>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</si>
  <si>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</si>
  <si>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</si>
  <si>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</si>
  <si>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</si>
  <si>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</si>
  <si>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</si>
  <si>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</si>
  <si>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</si>
  <si>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</si>
  <si>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</si>
  <si>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</si>
  <si>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</si>
  <si>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</si>
  <si>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</si>
  <si>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</si>
  <si>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</si>
  <si>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</si>
  <si>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</si>
  <si>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</si>
  <si>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</si>
  <si>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</si>
  <si>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</si>
  <si>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</si>
  <si>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</si>
  <si>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</si>
  <si>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</si>
  <si>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</si>
  <si>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</si>
  <si>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</si>
  <si>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</si>
  <si>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</si>
  <si>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</si>
  <si>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</si>
  <si>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</si>
  <si>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</si>
  <si>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</si>
  <si>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</si>
  <si>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</si>
  <si>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</si>
  <si>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</si>
  <si>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</si>
  <si>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</si>
  <si>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</si>
  <si>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</si>
  <si>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</si>
  <si>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</si>
  <si>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</si>
  <si>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</si>
  <si>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</si>
  <si>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</si>
  <si>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</si>
  <si>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</si>
  <si>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</si>
  <si>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</si>
  <si>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</si>
  <si>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</si>
  <si>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</si>
  <si>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</si>
  <si>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</si>
  <si>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</si>
  <si>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</si>
  <si>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</si>
  <si>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</si>
  <si>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</si>
  <si>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</si>
  <si>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</si>
  <si>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</si>
  <si>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</si>
  <si>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</si>
  <si>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</si>
  <si>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</si>
  <si>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</si>
  <si>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</si>
  <si>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</si>
  <si>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</si>
  <si>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</si>
  <si>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</si>
  <si>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</si>
  <si>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</si>
  <si>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</si>
  <si>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</si>
  <si>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</si>
  <si>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</si>
  <si>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</si>
  <si>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</si>
  <si>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</si>
  <si>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</si>
  <si>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</si>
  <si>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</si>
  <si>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</si>
  <si>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</si>
  <si>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</si>
  <si>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</si>
  <si>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</si>
  <si>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</si>
  <si>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</si>
  <si>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</si>
  <si>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</si>
  <si>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</si>
  <si>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</si>
  <si>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</si>
  <si>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</si>
  <si>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</si>
  <si>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</si>
  <si>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</si>
  <si>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</si>
  <si>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</si>
  <si>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</si>
  <si>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</si>
  <si>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</si>
  <si>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</si>
  <si>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</si>
  <si>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</si>
  <si>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</si>
  <si>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</si>
  <si>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</si>
  <si>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</si>
  <si>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</si>
  <si>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</si>
  <si>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</si>
  <si>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</si>
  <si>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</si>
  <si>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</si>
  <si>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</si>
  <si>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</si>
  <si>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</si>
  <si>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</si>
  <si>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</si>
  <si>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</si>
  <si>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</si>
  <si>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</si>
  <si>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</si>
  <si>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</si>
  <si>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</si>
  <si>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</si>
  <si>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</si>
  <si>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</si>
  <si>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</si>
  <si>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</si>
  <si>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</si>
  <si>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</si>
  <si>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</si>
  <si>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</si>
  <si>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</si>
  <si>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</si>
  <si>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</si>
  <si>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</si>
  <si>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</si>
  <si>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</si>
  <si>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</si>
  <si>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</si>
  <si>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</si>
  <si>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</si>
  <si>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</si>
  <si>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</si>
  <si>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</si>
  <si>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</si>
  <si>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</si>
  <si>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</si>
  <si>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</si>
  <si>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</si>
  <si>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</si>
  <si>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</si>
  <si>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</si>
  <si>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</si>
  <si>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</si>
  <si>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</si>
  <si>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</si>
  <si>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</si>
  <si>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</si>
  <si>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</si>
  <si>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</si>
  <si>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</si>
  <si>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</si>
  <si>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</si>
  <si>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</si>
  <si>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</si>
  <si>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</si>
  <si>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</si>
  <si>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</si>
  <si>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</si>
  <si>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</si>
  <si>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</si>
  <si>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</si>
  <si>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</si>
  <si>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</si>
  <si>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</si>
  <si>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</si>
  <si>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</si>
  <si>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</si>
  <si>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</si>
  <si>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</si>
  <si>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</si>
  <si>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</si>
  <si>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</si>
  <si>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</si>
  <si>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</si>
  <si>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</si>
  <si>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</si>
  <si>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</si>
  <si>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</si>
  <si>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</si>
  <si>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</si>
  <si>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</si>
  <si>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</si>
  <si>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</si>
  <si>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</si>
  <si>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</si>
  <si>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</si>
  <si>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</si>
  <si>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</si>
  <si>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</si>
  <si>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</si>
  <si>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</si>
  <si>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</si>
  <si>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</si>
  <si>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</si>
  <si>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</si>
  <si>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</si>
  <si>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</si>
  <si>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</si>
  <si>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</si>
  <si>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</si>
  <si>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</si>
  <si>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</si>
  <si>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</si>
  <si>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</si>
  <si>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</si>
  <si>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</si>
  <si>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</si>
  <si>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</si>
  <si>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</si>
  <si>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</si>
  <si>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</si>
  <si>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</si>
  <si>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</si>
  <si>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</si>
  <si>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</si>
  <si>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</si>
  <si>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</si>
  <si>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</si>
  <si>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</si>
  <si>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</si>
  <si>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</si>
  <si>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</si>
  <si>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</si>
  <si>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</si>
  <si>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</si>
  <si>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</si>
  <si>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</si>
  <si>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</si>
  <si>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</si>
  <si>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</si>
  <si>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</si>
  <si>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</si>
  <si>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</si>
  <si>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</si>
  <si>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</si>
  <si>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</si>
  <si>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</si>
  <si>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</si>
  <si>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</si>
  <si>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</si>
  <si>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</si>
  <si>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</si>
  <si>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</si>
  <si>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</si>
  <si>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</si>
  <si>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</si>
  <si>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</si>
  <si>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</si>
  <si>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</si>
  <si>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</si>
  <si>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</si>
  <si>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</si>
  <si>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</si>
  <si>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</si>
  <si>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</si>
  <si>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</si>
  <si>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</si>
  <si>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</si>
  <si>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</si>
  <si>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</si>
  <si>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</si>
  <si>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</si>
  <si>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</si>
  <si>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</si>
  <si>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</si>
  <si>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</si>
  <si>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</si>
  <si>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</si>
  <si>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</si>
  <si>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</si>
  <si>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</si>
  <si>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</si>
  <si>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</si>
  <si>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</si>
  <si>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</si>
  <si>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</si>
  <si>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</si>
  <si>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</si>
  <si>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</si>
  <si>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</si>
  <si>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</si>
  <si>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</si>
  <si>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</si>
  <si>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</si>
  <si>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</si>
  <si>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</si>
  <si>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</si>
  <si>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</si>
  <si>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</si>
  <si>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</si>
  <si>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</si>
  <si>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</si>
  <si>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</si>
  <si>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</si>
  <si>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</si>
  <si>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</si>
  <si>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</si>
  <si>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</si>
  <si>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</si>
  <si>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</si>
  <si>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</si>
  <si>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</si>
  <si>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</si>
  <si>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</si>
  <si>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</si>
  <si>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</si>
  <si>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</si>
  <si>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</si>
  <si>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</si>
  <si>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</si>
  <si>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</si>
  <si>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</si>
  <si>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</si>
  <si>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</si>
  <si>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</si>
  <si>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</si>
  <si>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</si>
  <si>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</si>
  <si>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</si>
  <si>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</si>
  <si>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</si>
  <si>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</si>
  <si>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</si>
  <si>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</si>
  <si>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</si>
  <si>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</si>
  <si>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</si>
  <si>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</si>
  <si>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</si>
  <si>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</si>
  <si>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</si>
  <si>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</si>
  <si>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</si>
  <si>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</si>
  <si>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</si>
  <si>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</si>
  <si>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</si>
  <si>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</si>
  <si>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</si>
  <si>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</si>
  <si>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</si>
  <si>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</si>
  <si>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</si>
  <si>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</si>
  <si>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</si>
  <si>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</si>
  <si>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</si>
  <si>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</si>
  <si>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</si>
  <si>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</si>
  <si>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</si>
  <si>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</si>
  <si>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</si>
  <si>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</si>
  <si>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</si>
  <si>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</si>
  <si>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</si>
  <si>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</si>
  <si>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</si>
  <si>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</si>
  <si>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</si>
  <si>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</si>
  <si>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</si>
  <si>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</si>
  <si>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</si>
  <si>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</si>
  <si>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</si>
  <si>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</si>
  <si>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</si>
  <si>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</si>
  <si>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</si>
  <si>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</si>
  <si>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</si>
  <si>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</si>
  <si>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</si>
  <si>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</si>
  <si>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</si>
  <si>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</si>
  <si>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</si>
  <si>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</si>
  <si>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</si>
  <si>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</si>
  <si>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</si>
  <si>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</si>
  <si>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</si>
  <si>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</si>
  <si>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</si>
  <si>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</si>
  <si>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</si>
  <si>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</si>
  <si>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</si>
  <si>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</si>
  <si>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</si>
  <si>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</si>
  <si>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</si>
  <si>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</si>
  <si>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</si>
  <si>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</si>
  <si>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</si>
  <si>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</si>
  <si>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</si>
  <si>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</si>
  <si>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</si>
  <si>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</si>
  <si>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</si>
  <si>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</si>
  <si>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</si>
  <si>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</si>
  <si>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</si>
  <si>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</si>
  <si>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</si>
  <si>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</si>
  <si>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</si>
  <si>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</si>
  <si>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</si>
  <si>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</si>
  <si>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</si>
  <si>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</si>
  <si>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</si>
  <si>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</si>
  <si>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</si>
  <si>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</si>
  <si>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</si>
  <si>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</si>
  <si>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</si>
  <si>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</si>
  <si>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</si>
  <si>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</si>
  <si>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</si>
  <si>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</si>
  <si>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</si>
  <si>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</si>
  <si>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</si>
  <si>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</si>
  <si>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</si>
  <si>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</si>
  <si>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</si>
  <si>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</si>
  <si>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</si>
  <si>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</si>
  <si>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</si>
  <si>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</si>
  <si>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</si>
  <si>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</si>
  <si>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</si>
  <si>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</si>
  <si>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</si>
  <si>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</si>
  <si>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</si>
  <si>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</si>
  <si>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</si>
  <si>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</si>
  <si>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</si>
  <si>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</si>
  <si>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</si>
  <si>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</si>
  <si>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</si>
  <si>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</si>
  <si>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</si>
  <si>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</si>
  <si>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</si>
  <si>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</si>
  <si>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</si>
  <si>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</si>
  <si>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</si>
  <si>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</si>
  <si>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</si>
  <si>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</si>
  <si>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</si>
  <si>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</si>
  <si>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</si>
  <si>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</si>
  <si>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</si>
  <si>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</si>
  <si>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</si>
  <si>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</si>
  <si>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</si>
  <si>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</si>
  <si>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</si>
  <si>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</si>
  <si>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</si>
  <si>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</si>
  <si>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</si>
  <si>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</si>
  <si>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</si>
  <si>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</si>
  <si>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</si>
  <si>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</si>
  <si>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</si>
  <si>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</si>
  <si>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</si>
  <si>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</si>
  <si>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</si>
  <si>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</si>
  <si>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</si>
  <si>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</si>
  <si>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</si>
  <si>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</si>
  <si>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</si>
  <si>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</si>
  <si>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</si>
  <si>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</si>
  <si>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</si>
  <si>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</si>
  <si>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</si>
  <si>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</si>
  <si>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</si>
  <si>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</si>
  <si>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</si>
  <si>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</si>
  <si>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</si>
  <si>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</si>
  <si>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</si>
  <si>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</si>
  <si>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</si>
  <si>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</si>
  <si>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</si>
  <si>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</si>
  <si>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</si>
  <si>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</si>
  <si>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</si>
  <si>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</si>
  <si>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</si>
  <si>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</si>
  <si>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</si>
  <si>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</si>
  <si>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</si>
  <si>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</si>
  <si>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</si>
  <si>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</si>
  <si>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</si>
  <si>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</si>
  <si>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</si>
  <si>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</si>
  <si>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</si>
  <si>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</si>
  <si>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</si>
  <si>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</si>
  <si>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</si>
  <si>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</si>
  <si>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</si>
  <si>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</si>
  <si>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</si>
  <si>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</si>
  <si>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</si>
  <si>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</si>
  <si>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</si>
  <si>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</si>
  <si>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</si>
  <si>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</si>
  <si>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</si>
  <si>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</si>
  <si>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</si>
  <si>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</si>
  <si>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</si>
  <si>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</si>
  <si>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</si>
  <si>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</si>
  <si>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</si>
  <si>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</si>
  <si>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</si>
  <si>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</si>
  <si>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</si>
  <si>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</si>
  <si>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</si>
  <si>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</si>
  <si>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</si>
  <si>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</si>
  <si>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</si>
  <si>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</si>
  <si>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</si>
  <si>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</si>
  <si>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</si>
  <si>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</si>
  <si>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</si>
  <si>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</si>
  <si>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</si>
  <si>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</si>
  <si>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</si>
  <si>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</si>
  <si>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</si>
  <si>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</si>
  <si>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</si>
  <si>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</si>
  <si>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</si>
  <si>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</si>
  <si>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</si>
  <si>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</si>
  <si>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</si>
  <si>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</si>
  <si>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</si>
  <si>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</si>
  <si>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</si>
  <si>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</si>
  <si>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</si>
  <si>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</si>
  <si>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</si>
  <si>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</si>
  <si>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</si>
  <si>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</si>
  <si>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</si>
  <si>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</si>
  <si>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</si>
  <si>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</si>
  <si>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</si>
  <si>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</si>
  <si>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</si>
  <si>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</si>
  <si>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</si>
  <si>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</si>
  <si>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</si>
  <si>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</si>
  <si>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</si>
  <si>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</si>
  <si>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</si>
  <si>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</si>
  <si>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</si>
  <si>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</si>
  <si>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</si>
  <si>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</si>
  <si>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</si>
  <si>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</si>
  <si>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</si>
  <si>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</si>
  <si>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</si>
  <si>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</si>
  <si>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</si>
  <si>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</si>
  <si>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</si>
  <si>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</si>
  <si>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</si>
  <si>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</si>
  <si>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</si>
  <si>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</si>
  <si>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</si>
  <si>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</si>
  <si>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</si>
  <si>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</si>
  <si>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</si>
  <si>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</si>
  <si>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</si>
  <si>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</si>
  <si>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</si>
  <si>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</si>
  <si>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</si>
  <si>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</si>
  <si>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</si>
  <si>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</si>
  <si>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</si>
  <si>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</si>
  <si>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</si>
  <si>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</si>
  <si>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</si>
  <si>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</si>
  <si>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</si>
  <si>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</si>
  <si>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</si>
  <si>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</si>
  <si>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</si>
  <si>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</si>
  <si>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</si>
  <si>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</si>
  <si>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</si>
  <si>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</si>
  <si>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</si>
  <si>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</si>
  <si>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</si>
  <si>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</si>
  <si>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</si>
  <si>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</si>
  <si>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</si>
  <si>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</si>
  <si>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</si>
  <si>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</si>
  <si>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</si>
  <si>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</si>
  <si>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</si>
  <si>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</si>
  <si>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</si>
  <si>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</si>
  <si>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</si>
  <si>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</si>
  <si>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</si>
  <si>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</si>
  <si>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</si>
  <si>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</si>
  <si>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</si>
  <si>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</si>
  <si>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</si>
  <si>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</si>
  <si>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</si>
  <si>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</si>
  <si>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</si>
  <si>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</si>
  <si>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</si>
  <si>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</si>
  <si>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</si>
  <si>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</si>
  <si>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</si>
  <si>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</si>
  <si>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</si>
  <si>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</si>
  <si>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</si>
  <si>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</si>
  <si>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</si>
  <si>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</si>
  <si>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</si>
  <si>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</si>
  <si>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</si>
  <si>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</si>
  <si>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</si>
  <si>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</si>
  <si>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</si>
  <si>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</si>
  <si>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</si>
  <si>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</si>
  <si>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</si>
  <si>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</si>
  <si>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</si>
  <si>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</si>
  <si>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</si>
  <si>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</si>
  <si>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</si>
  <si>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</si>
  <si>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</si>
  <si>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</si>
  <si>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</si>
  <si>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</si>
  <si>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</si>
  <si>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</si>
  <si>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</si>
  <si>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</si>
  <si>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</si>
  <si>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</si>
  <si>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</si>
  <si>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</si>
  <si>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</si>
  <si>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</si>
  <si>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</si>
  <si>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</si>
  <si>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</si>
  <si>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</si>
  <si>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</si>
  <si>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</si>
  <si>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</si>
  <si>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</si>
  <si>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</si>
  <si>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</si>
  <si>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</si>
  <si>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</si>
  <si>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</si>
  <si>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</si>
  <si>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</si>
  <si>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</si>
  <si>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</si>
  <si>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</si>
  <si>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</si>
  <si>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</si>
  <si>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</si>
  <si>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</si>
  <si>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</si>
  <si>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</si>
  <si>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</si>
  <si>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</si>
  <si>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</si>
  <si>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</si>
  <si>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</si>
  <si>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</si>
  <si>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</si>
  <si>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</si>
  <si>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</si>
  <si>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</si>
  <si>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</si>
  <si>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</si>
  <si>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</si>
  <si>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</si>
  <si>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</si>
  <si>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</si>
  <si>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</si>
  <si>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</si>
  <si>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</si>
  <si>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</si>
  <si>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</si>
  <si>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</si>
  <si>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</si>
  <si>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</si>
  <si>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</si>
  <si>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</si>
  <si>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</si>
  <si>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</si>
  <si>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</si>
  <si>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</si>
  <si>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</si>
  <si>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</si>
  <si>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</si>
  <si>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</si>
  <si>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</si>
  <si>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</si>
  <si>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</si>
  <si>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</si>
  <si>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</si>
  <si>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</si>
  <si>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</si>
  <si>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</si>
  <si>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</si>
  <si>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</si>
  <si>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</si>
  <si>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</si>
  <si>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</si>
  <si>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</si>
  <si>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</si>
  <si>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</si>
  <si>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</si>
  <si>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</si>
  <si>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</si>
  <si>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</si>
  <si>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</si>
  <si>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</si>
  <si>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</si>
  <si>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</si>
  <si>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</si>
  <si>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</si>
  <si>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</si>
  <si>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</si>
  <si>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</si>
  <si>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</si>
  <si>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</si>
  <si>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</si>
  <si>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</si>
  <si>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</si>
  <si>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</si>
  <si>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</si>
  <si>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</si>
  <si>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</si>
  <si>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</si>
  <si>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</si>
  <si>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</si>
  <si>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</si>
  <si>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</si>
  <si>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</si>
  <si>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</si>
  <si>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</si>
  <si>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</si>
  <si>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</si>
  <si>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</si>
  <si>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</si>
  <si>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</si>
  <si>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</si>
  <si>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</si>
  <si>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</si>
  <si>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</si>
  <si>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</si>
  <si>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</si>
  <si>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</si>
  <si>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</si>
  <si>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</si>
  <si>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</si>
  <si>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</si>
  <si>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</si>
  <si>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</si>
  <si>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</si>
  <si>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</si>
  <si>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</si>
  <si>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</si>
  <si>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</si>
  <si>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</si>
  <si>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</si>
  <si>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</si>
  <si>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</si>
  <si>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</si>
  <si>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</si>
  <si>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</si>
  <si>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</si>
  <si>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</si>
  <si>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</si>
  <si>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</si>
  <si>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</si>
  <si>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</si>
  <si>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</si>
  <si>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</si>
  <si>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</si>
  <si>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</si>
  <si>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</si>
  <si>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</si>
  <si>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</si>
  <si>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</si>
  <si>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</si>
  <si>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</si>
  <si>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</si>
  <si>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</si>
  <si>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</si>
  <si>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</si>
  <si>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</si>
  <si>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</si>
  <si>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</si>
  <si>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</si>
  <si>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</si>
  <si>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</si>
  <si>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</si>
  <si>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</si>
  <si>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</si>
  <si>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</si>
  <si>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</si>
  <si>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</si>
  <si>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</si>
  <si>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</si>
  <si>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</si>
  <si>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</si>
  <si>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</si>
  <si>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</si>
  <si>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</si>
  <si>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</si>
  <si>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</si>
  <si>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</si>
  <si>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</si>
  <si>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</si>
  <si>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</si>
  <si>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</si>
  <si>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</si>
  <si>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</si>
  <si>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</si>
  <si>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</si>
  <si>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</si>
  <si>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</si>
  <si>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</si>
  <si>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</si>
  <si>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</si>
  <si>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</si>
  <si>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</si>
  <si>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</si>
  <si>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</si>
  <si>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</si>
  <si>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</si>
  <si>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</si>
  <si>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</si>
  <si>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</si>
  <si>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</si>
  <si>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</si>
  <si>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</si>
  <si>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</si>
  <si>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</si>
  <si>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</si>
  <si>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</si>
  <si>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</si>
  <si>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</si>
  <si>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</si>
  <si>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</si>
  <si>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</si>
  <si>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</si>
  <si>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</si>
  <si>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</si>
  <si>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</si>
  <si>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</si>
  <si>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</si>
  <si>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</si>
  <si>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</si>
  <si>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</si>
  <si>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</si>
  <si>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</si>
  <si>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</si>
  <si>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</si>
  <si>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</si>
  <si>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</si>
  <si>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</si>
  <si>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</si>
  <si>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</si>
  <si>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</si>
  <si>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</si>
  <si>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</si>
  <si>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</si>
  <si>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</si>
  <si>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</si>
  <si>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</si>
  <si>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</si>
  <si>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</si>
  <si>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</si>
  <si>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</si>
  <si>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</si>
  <si>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</si>
  <si>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</si>
  <si>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</si>
  <si>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</si>
  <si>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</si>
  <si>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</si>
  <si>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</si>
  <si>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</si>
  <si>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</si>
  <si>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</si>
  <si>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</si>
  <si>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</si>
  <si>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</si>
  <si>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</si>
  <si>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</si>
  <si>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</si>
  <si>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</si>
  <si>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</si>
  <si>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</si>
  <si>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</si>
  <si>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</si>
  <si>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</si>
  <si>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</si>
  <si>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</si>
  <si>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</si>
  <si>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</si>
  <si>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</si>
  <si>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</si>
  <si>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</si>
  <si>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</si>
  <si>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</si>
  <si>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</si>
  <si>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</si>
  <si>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</si>
  <si>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</si>
  <si>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</si>
  <si>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</si>
  <si>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</si>
  <si>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</si>
  <si>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</si>
  <si>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</si>
  <si>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</si>
  <si>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</si>
  <si>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</si>
  <si>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</si>
  <si>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</si>
  <si>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</si>
  <si>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</si>
  <si>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</si>
  <si>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</si>
  <si>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</si>
  <si>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</si>
  <si>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</si>
  <si>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</si>
  <si>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</si>
  <si>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</si>
  <si>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</si>
  <si>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</si>
  <si>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</si>
  <si>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</si>
  <si>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</si>
  <si>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</si>
  <si>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</si>
  <si>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</si>
  <si>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</si>
  <si>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</si>
  <si>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</si>
  <si>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</si>
  <si>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</si>
  <si>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</si>
  <si>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</si>
  <si>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</si>
  <si>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</si>
  <si>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</si>
  <si>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</si>
  <si>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</si>
  <si>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</si>
  <si>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</si>
  <si>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</si>
  <si>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</si>
  <si>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</si>
  <si>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</si>
  <si>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</si>
  <si>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</si>
  <si>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</si>
  <si>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</si>
  <si>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</si>
  <si>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</si>
  <si>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</si>
  <si>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</si>
  <si>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</si>
  <si>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</si>
  <si>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</si>
  <si>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</si>
  <si>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</si>
  <si>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</si>
  <si>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</si>
  <si>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</si>
  <si>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</si>
  <si>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</si>
  <si>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</si>
  <si>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</si>
  <si>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</si>
  <si>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</si>
  <si>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</si>
  <si>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</si>
  <si>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</si>
  <si>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</si>
  <si>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</si>
  <si>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</si>
  <si>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</si>
  <si>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</si>
  <si>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</si>
  <si>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</si>
  <si>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</si>
  <si>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</si>
  <si>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</si>
  <si>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</si>
  <si>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</si>
  <si>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</si>
  <si>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</si>
  <si>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</si>
  <si>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</si>
  <si>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</si>
  <si>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</si>
  <si>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</si>
  <si>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</si>
  <si>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</si>
  <si>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</si>
  <si>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</si>
  <si>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</si>
  <si>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</si>
  <si>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</si>
  <si>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</si>
  <si>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</si>
  <si>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</si>
  <si>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</si>
  <si>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</si>
  <si>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</si>
  <si>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</si>
  <si>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</si>
  <si>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</si>
  <si>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</si>
  <si>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</si>
  <si>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</si>
  <si>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</si>
  <si>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</si>
  <si>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</si>
  <si>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</si>
  <si>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</si>
  <si>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</si>
  <si>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</si>
  <si>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</si>
  <si>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</si>
  <si>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</si>
  <si>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</si>
  <si>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</si>
  <si>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</si>
  <si>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</si>
  <si>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</si>
  <si>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</si>
  <si>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</si>
  <si>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</si>
  <si>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</si>
  <si>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</si>
  <si>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</si>
  <si>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</si>
  <si>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</si>
  <si>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</si>
  <si>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</si>
  <si>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</si>
  <si>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</si>
  <si>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</si>
  <si>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</si>
  <si>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</si>
  <si>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</si>
  <si>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</si>
  <si>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</si>
  <si>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</si>
  <si>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</si>
  <si>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</si>
  <si>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</si>
  <si>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</si>
  <si>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</si>
  <si>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</si>
  <si>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</si>
  <si>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</si>
  <si>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</si>
  <si>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</si>
  <si>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</si>
  <si>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</si>
  <si>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</si>
  <si>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</si>
  <si>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</si>
  <si>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</si>
  <si>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</si>
  <si>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</si>
  <si>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</si>
  <si>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</si>
  <si>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</si>
  <si>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</si>
  <si>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</si>
  <si>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</si>
  <si>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</si>
  <si>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</si>
  <si>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</si>
  <si>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</si>
  <si>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</si>
  <si>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</si>
  <si>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</si>
  <si>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</si>
  <si>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</si>
  <si>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</si>
  <si>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</si>
  <si>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</si>
  <si>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</si>
  <si>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</si>
  <si>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</si>
  <si>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</si>
  <si>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</si>
  <si>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</si>
  <si>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</si>
  <si>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</si>
  <si>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</si>
  <si>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</si>
  <si>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</si>
  <si>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</si>
  <si>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</si>
  <si>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</si>
  <si>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</si>
  <si>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</si>
  <si>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</si>
  <si>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</si>
  <si>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</si>
  <si>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</si>
  <si>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</si>
  <si>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</si>
  <si>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</si>
  <si>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</si>
  <si>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</si>
  <si>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</si>
  <si>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</si>
  <si>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</si>
  <si>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</si>
  <si>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</si>
  <si>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</si>
  <si>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</si>
  <si>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</si>
  <si>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</si>
  <si>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</si>
  <si>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</si>
  <si>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</si>
  <si>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</si>
  <si>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</si>
  <si>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</si>
  <si>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</si>
  <si>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</si>
  <si>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</si>
  <si>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</si>
  <si>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</si>
  <si>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</si>
  <si>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</si>
  <si>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</si>
  <si>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</si>
  <si>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</si>
  <si>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</si>
  <si>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</si>
  <si>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</si>
  <si>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</si>
  <si>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</si>
  <si>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</si>
  <si>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</si>
  <si>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</si>
  <si>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</si>
  <si>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</si>
  <si>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</si>
  <si>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</si>
  <si>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</si>
  <si>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</si>
  <si>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</si>
  <si>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</si>
  <si>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</si>
  <si>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</si>
  <si>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</si>
  <si>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</si>
  <si>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</si>
  <si>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</si>
  <si>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</si>
  <si>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</si>
  <si>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</si>
  <si>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</si>
  <si>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</si>
  <si>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</si>
  <si>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</si>
  <si>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</si>
  <si>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</si>
  <si>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</si>
  <si>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</si>
  <si>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</si>
  <si>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</si>
  <si>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</si>
  <si>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</si>
  <si>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</si>
  <si>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</si>
  <si>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</si>
  <si>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</si>
  <si>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</si>
  <si>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</si>
  <si>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</si>
  <si>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</si>
  <si>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</si>
  <si>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</si>
  <si>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</si>
  <si>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</si>
  <si>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</si>
  <si>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</si>
  <si>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</si>
  <si>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</si>
  <si>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</si>
  <si>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</si>
  <si>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</si>
  <si>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</si>
  <si>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</si>
  <si>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</si>
  <si>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</si>
  <si>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</si>
  <si>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</si>
  <si>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</si>
  <si>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</si>
  <si>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</si>
  <si>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</si>
  <si>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</si>
  <si>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</si>
  <si>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</si>
  <si>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</si>
  <si>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</si>
  <si>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</si>
  <si>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</si>
  <si>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</si>
  <si>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</si>
  <si>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</si>
  <si>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</si>
  <si>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</si>
  <si>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</si>
  <si>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</si>
  <si>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</si>
  <si>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</si>
  <si>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</si>
  <si>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</si>
  <si>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</si>
  <si>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</si>
  <si>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</si>
  <si>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</si>
  <si>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</si>
  <si>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</si>
  <si>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</si>
  <si>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</si>
  <si>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</si>
  <si>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</si>
  <si>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</si>
  <si>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</si>
  <si>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</si>
  <si>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</si>
  <si>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</si>
  <si>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</si>
  <si>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</si>
  <si>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</si>
  <si>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</si>
  <si>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</si>
  <si>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</si>
  <si>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</si>
  <si>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</si>
  <si>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</si>
  <si>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</si>
  <si>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</si>
  <si>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</si>
  <si>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</si>
  <si>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</si>
  <si>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</si>
  <si>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</si>
  <si>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</si>
  <si>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</si>
  <si>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</si>
  <si>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</si>
  <si>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</si>
  <si>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</si>
  <si>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</si>
  <si>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</si>
  <si>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</si>
  <si>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</si>
  <si>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</si>
  <si>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</si>
  <si>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</si>
  <si>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</si>
  <si>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</si>
  <si>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</si>
  <si>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</si>
  <si>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</si>
  <si>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</si>
  <si>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</si>
  <si>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</si>
  <si>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</si>
  <si>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</si>
  <si>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</si>
  <si>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</si>
  <si>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</si>
  <si>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</si>
  <si>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</si>
  <si>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</si>
  <si>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</si>
  <si>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</si>
  <si>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</si>
  <si>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</si>
  <si>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</si>
  <si>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</si>
  <si>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</si>
  <si>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</si>
  <si>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</si>
  <si>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</si>
  <si>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</si>
  <si>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</si>
  <si>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</si>
  <si>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</si>
  <si>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</si>
  <si>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</si>
  <si>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</si>
  <si>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</si>
  <si>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</si>
  <si>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</si>
  <si>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</si>
  <si>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</si>
  <si>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</si>
  <si>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</si>
  <si>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</si>
  <si>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</si>
  <si>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</si>
  <si>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</si>
  <si>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</si>
  <si>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</si>
  <si>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</si>
  <si>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</si>
  <si>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</si>
  <si>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</si>
  <si>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</si>
  <si>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</si>
  <si>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</si>
  <si>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</si>
  <si>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</si>
  <si>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</si>
  <si>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</si>
  <si>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</si>
  <si>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</si>
  <si>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</si>
  <si>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</si>
  <si>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</si>
  <si>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</si>
  <si>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</si>
  <si>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</si>
  <si>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</si>
  <si>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</si>
  <si>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</si>
  <si>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</si>
  <si>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</si>
  <si>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</si>
  <si>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</si>
  <si>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</si>
  <si>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</si>
  <si>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</si>
  <si>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</si>
  <si>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</si>
  <si>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</si>
  <si>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</si>
  <si>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</si>
  <si>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</si>
  <si>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</si>
  <si>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</si>
  <si>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</si>
  <si>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</si>
  <si>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</si>
  <si>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</si>
  <si>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</si>
  <si>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</si>
  <si>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</si>
  <si>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</si>
  <si>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</si>
  <si>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</si>
  <si>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</si>
  <si>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</si>
  <si>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</si>
  <si>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</si>
  <si>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</si>
  <si>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</si>
  <si>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</si>
  <si>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</si>
  <si>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</si>
  <si>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</si>
  <si>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</si>
  <si>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</si>
  <si>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</si>
  <si>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</si>
  <si>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</si>
  <si>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</si>
  <si>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</si>
  <si>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</si>
  <si>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</si>
  <si>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</si>
  <si>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</si>
  <si>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</si>
  <si>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</si>
  <si>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</si>
  <si>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</si>
  <si>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</si>
  <si>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</si>
  <si>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</si>
  <si>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</si>
  <si>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</si>
  <si>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</si>
  <si>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</si>
  <si>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</si>
  <si>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</si>
  <si>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</si>
  <si>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</si>
  <si>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</si>
  <si>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</si>
  <si>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</si>
  <si>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</si>
  <si>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</si>
  <si>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</si>
  <si>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</si>
  <si>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</si>
  <si>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</si>
  <si>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</si>
  <si>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</si>
  <si>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</si>
  <si>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</si>
  <si>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</si>
  <si>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</si>
  <si>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</si>
  <si>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</si>
  <si>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</si>
  <si>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</si>
  <si>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</si>
  <si>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</si>
  <si>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</si>
  <si>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</si>
  <si>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</si>
  <si>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</si>
  <si>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</si>
  <si>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</si>
  <si>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</si>
  <si>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</si>
  <si>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</si>
  <si>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</si>
  <si>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</si>
  <si>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</si>
  <si>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</si>
  <si>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</si>
  <si>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</si>
  <si>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</si>
  <si>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</si>
  <si>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</si>
  <si>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</si>
  <si>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</si>
  <si>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</si>
  <si>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</si>
  <si>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</si>
  <si>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</si>
  <si>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</si>
  <si>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</si>
  <si>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</si>
  <si>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</si>
  <si>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</si>
  <si>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</si>
  <si>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</si>
  <si>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</si>
  <si>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</si>
  <si>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</si>
  <si>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</si>
  <si>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</si>
  <si>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</si>
  <si>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</si>
  <si>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</si>
  <si>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</si>
  <si>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</si>
  <si>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</si>
  <si>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</si>
  <si>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</si>
  <si>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</si>
  <si>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</si>
  <si>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</si>
  <si>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</si>
  <si>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</si>
  <si>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</si>
  <si>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</si>
  <si>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</si>
  <si>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</si>
  <si>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</si>
  <si>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</si>
  <si>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</si>
  <si>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</si>
  <si>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</si>
  <si>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</si>
  <si>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</si>
  <si>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</si>
  <si>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</si>
  <si>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</si>
  <si>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</si>
  <si>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</si>
  <si>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</si>
  <si>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</si>
  <si>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</si>
  <si>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</si>
  <si>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</si>
  <si>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</si>
  <si>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</si>
  <si>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</si>
  <si>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</si>
  <si>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</si>
  <si>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</si>
  <si>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</si>
  <si>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</si>
  <si>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</si>
  <si>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</si>
  <si>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</si>
  <si>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</si>
  <si>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</si>
  <si>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</si>
  <si>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</si>
  <si>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</si>
  <si>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</si>
  <si>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</si>
  <si>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</si>
  <si>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</si>
  <si>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</si>
  <si>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</si>
  <si>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</si>
  <si>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</si>
  <si>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</si>
  <si>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</si>
  <si>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</si>
  <si>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</si>
  <si>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</si>
  <si>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</si>
  <si>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</si>
  <si>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</si>
  <si>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</si>
  <si>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</si>
  <si>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</si>
  <si>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</si>
  <si>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</si>
  <si>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</si>
  <si>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</si>
  <si>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</si>
  <si>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</si>
  <si>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</si>
  <si>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</si>
  <si>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</si>
  <si>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</si>
  <si>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</si>
  <si>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</si>
  <si>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</si>
  <si>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</si>
  <si>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</si>
  <si>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</si>
  <si>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</si>
  <si>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</si>
  <si>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</si>
  <si>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</si>
  <si>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</si>
  <si>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</si>
  <si>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</si>
  <si>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</si>
  <si>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</si>
  <si>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</si>
  <si>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</si>
  <si>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</si>
  <si>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</si>
  <si>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</si>
  <si>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</si>
  <si>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</si>
  <si>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</si>
  <si>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</si>
  <si>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</si>
  <si>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</si>
  <si>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</si>
  <si>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</si>
  <si>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</si>
  <si>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</si>
  <si>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</si>
  <si>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</si>
  <si>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</si>
  <si>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</si>
  <si>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</si>
  <si>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</si>
  <si>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</si>
  <si>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</si>
  <si>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</si>
  <si>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</si>
  <si>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</si>
  <si>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</si>
  <si>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</si>
  <si>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</si>
  <si>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</si>
  <si>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</si>
  <si>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</si>
  <si>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</si>
  <si>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</si>
  <si>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</si>
  <si>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</si>
  <si>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</si>
  <si>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</si>
  <si>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</si>
  <si>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</si>
  <si>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</si>
  <si>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</si>
  <si>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</si>
  <si>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</si>
  <si>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</si>
  <si>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</si>
  <si>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</si>
  <si>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</si>
  <si>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</si>
  <si>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</si>
  <si>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</si>
  <si>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</si>
  <si>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</si>
  <si>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</si>
  <si>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</si>
  <si>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</si>
  <si>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</si>
  <si>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</si>
  <si>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</si>
  <si>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</si>
  <si>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</si>
  <si>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</si>
  <si>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</si>
  <si>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</si>
  <si>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</si>
  <si>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</si>
  <si>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</si>
  <si>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</si>
  <si>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</si>
  <si>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</si>
  <si>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</si>
  <si>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</si>
  <si>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</si>
  <si>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</si>
  <si>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</si>
  <si>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</si>
  <si>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</si>
  <si>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</si>
  <si>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</si>
  <si>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</si>
  <si>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</si>
  <si>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</si>
  <si>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</si>
  <si>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</si>
  <si>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</si>
  <si>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</si>
  <si>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</si>
  <si>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</si>
  <si>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</si>
  <si>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</si>
  <si>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</si>
  <si>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</si>
  <si>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</si>
  <si>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</si>
  <si>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</si>
  <si>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</si>
  <si>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</si>
  <si>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</si>
  <si>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</si>
  <si>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</si>
  <si>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</si>
  <si>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</si>
  <si>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</si>
  <si>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</si>
  <si>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</si>
  <si>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</si>
  <si>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</si>
  <si>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</si>
  <si>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</si>
  <si>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</si>
  <si>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</si>
  <si>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</si>
  <si>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</si>
  <si>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</si>
  <si>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</si>
  <si>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</si>
  <si>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</si>
  <si>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</si>
  <si>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</si>
  <si>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</si>
  <si>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</si>
  <si>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</si>
  <si>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</si>
  <si>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</si>
  <si>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</si>
  <si>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</si>
  <si>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</si>
  <si>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</si>
  <si>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</si>
  <si>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</si>
  <si>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</si>
  <si>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</si>
  <si>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</si>
  <si>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</si>
  <si>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</si>
  <si>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</si>
  <si>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</si>
  <si>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</si>
  <si>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</si>
  <si>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</si>
  <si>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</si>
  <si>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</si>
  <si>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</si>
  <si>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</si>
  <si>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</si>
  <si>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</si>
  <si>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</si>
  <si>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</si>
  <si>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</si>
  <si>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</si>
  <si>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</si>
  <si>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</si>
  <si>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</si>
  <si>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</si>
  <si>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</si>
  <si>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</si>
  <si>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</si>
  <si>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</si>
  <si>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</si>
  <si>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</si>
  <si>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</si>
  <si>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</si>
  <si>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</si>
  <si>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</si>
  <si>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</si>
  <si>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</si>
  <si>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</si>
  <si>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</si>
  <si>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</si>
  <si>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</si>
  <si>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</si>
  <si>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</si>
  <si>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</si>
  <si>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</si>
  <si>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</si>
  <si>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</si>
  <si>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</si>
  <si>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</si>
  <si>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</si>
  <si>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</si>
  <si>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</si>
  <si>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</si>
  <si>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</si>
  <si>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</si>
  <si>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</si>
  <si>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</si>
  <si>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</si>
  <si>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</si>
  <si>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</si>
  <si>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</si>
  <si>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</si>
  <si>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</si>
  <si>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</si>
  <si>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</si>
  <si>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</si>
  <si>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</si>
  <si>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</si>
  <si>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</si>
  <si>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</si>
  <si>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</si>
  <si>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</si>
  <si>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</si>
  <si>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</si>
  <si>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</si>
  <si>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</si>
  <si>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</si>
  <si>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</si>
  <si>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</si>
  <si>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</si>
  <si>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</si>
  <si>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</si>
  <si>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</si>
  <si>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</si>
  <si>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</si>
  <si>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</si>
  <si>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</si>
  <si>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</si>
  <si>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</si>
  <si>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</si>
  <si>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</si>
  <si>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</si>
  <si>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</si>
  <si>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</si>
  <si>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</si>
  <si>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</si>
  <si>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</si>
  <si>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</si>
  <si>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</si>
  <si>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</si>
  <si>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</si>
  <si>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</si>
  <si>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</si>
  <si>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</si>
  <si>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</si>
  <si>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</si>
  <si>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</si>
  <si>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</si>
  <si>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</si>
  <si>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</si>
  <si>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</si>
  <si>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</si>
  <si>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</si>
  <si>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</si>
  <si>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</si>
  <si>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</si>
  <si>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</si>
  <si>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</si>
  <si>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</si>
  <si>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</si>
  <si>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</si>
  <si>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</si>
  <si>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</si>
  <si>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</si>
  <si>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</si>
  <si>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</si>
  <si>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</si>
  <si>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</si>
  <si>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</si>
  <si>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</si>
  <si>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</si>
  <si>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</si>
  <si>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</si>
  <si>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</si>
  <si>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</si>
  <si>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</si>
  <si>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</si>
  <si>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</si>
  <si>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</si>
  <si>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</si>
  <si>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</si>
  <si>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</si>
  <si>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</si>
  <si>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</si>
  <si>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</si>
  <si>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</si>
  <si>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</si>
  <si>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</si>
  <si>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</si>
  <si>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</si>
  <si>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</si>
  <si>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</si>
  <si>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</si>
  <si>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</si>
  <si>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</si>
  <si>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</si>
  <si>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</si>
  <si>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</si>
  <si>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</si>
  <si>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</si>
  <si>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</si>
  <si>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</si>
  <si>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</si>
  <si>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</si>
  <si>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</si>
  <si>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</si>
  <si>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</si>
  <si>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</si>
  <si>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</si>
  <si>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</si>
  <si>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</si>
  <si>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</si>
  <si>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</si>
  <si>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</si>
  <si>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</si>
  <si>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</si>
  <si>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</si>
  <si>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</si>
  <si>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</si>
  <si>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</si>
  <si>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</si>
  <si>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</si>
  <si>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</si>
  <si>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</si>
  <si>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</si>
  <si>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</si>
  <si>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</si>
  <si>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</si>
  <si>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</si>
  <si>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</si>
  <si>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</si>
  <si>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</si>
  <si>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</si>
  <si>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</si>
  <si>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</si>
  <si>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</si>
  <si>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</si>
  <si>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</si>
  <si>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</si>
  <si>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</si>
  <si>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</si>
  <si>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</si>
  <si>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</si>
  <si>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</si>
  <si>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</si>
  <si>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</si>
  <si>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</si>
  <si>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</si>
  <si>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</si>
  <si>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</si>
  <si>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</si>
  <si>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</si>
  <si>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</si>
  <si>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</si>
  <si>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</si>
  <si>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</si>
  <si>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</si>
  <si>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</si>
  <si>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</si>
  <si>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</si>
  <si>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</si>
  <si>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</si>
  <si>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</si>
  <si>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</si>
  <si>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</si>
  <si>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</si>
  <si>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</si>
  <si>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</si>
  <si>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</si>
  <si>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</si>
  <si>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</si>
  <si>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</si>
  <si>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</si>
  <si>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</si>
  <si>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</si>
  <si>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</si>
  <si>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</si>
  <si>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</si>
  <si>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</si>
  <si>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</si>
  <si>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</si>
  <si>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</si>
  <si>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</si>
  <si>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</si>
  <si>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</si>
  <si>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</si>
  <si>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</si>
  <si>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</si>
  <si>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</si>
  <si>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</si>
  <si>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</si>
  <si>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</si>
  <si>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</si>
  <si>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</si>
  <si>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</si>
  <si>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</si>
  <si>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</si>
  <si>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</si>
  <si>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</si>
  <si>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</si>
  <si>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</si>
  <si>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</si>
  <si>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</si>
  <si>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</si>
  <si>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</si>
  <si>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</si>
  <si>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</si>
  <si>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</si>
  <si>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</si>
  <si>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</si>
  <si>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</si>
  <si>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</si>
  <si>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</si>
  <si>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</si>
  <si>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</si>
  <si>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</si>
  <si>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</si>
  <si>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</si>
  <si>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</si>
  <si>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</si>
  <si>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</si>
  <si>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</si>
  <si>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</si>
  <si>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</si>
  <si>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</si>
  <si>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</si>
  <si>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</si>
  <si>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</si>
  <si>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</si>
  <si>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</si>
  <si>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</si>
  <si>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</si>
  <si>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</si>
  <si>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</si>
  <si>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</si>
  <si>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</si>
  <si>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</si>
  <si>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</si>
  <si>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</si>
  <si>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</si>
  <si>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</si>
  <si>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</si>
  <si>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</si>
  <si>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</si>
  <si>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</si>
  <si>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</si>
  <si>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</si>
  <si>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</si>
  <si>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</si>
  <si>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</si>
  <si>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</si>
  <si>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</si>
  <si>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</si>
  <si>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</si>
  <si>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</si>
  <si>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</si>
  <si>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</si>
  <si>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</si>
  <si>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</si>
  <si>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</si>
  <si>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</si>
  <si>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</si>
  <si>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</si>
  <si>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</si>
  <si>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</si>
  <si>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</si>
  <si>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</si>
  <si>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</si>
  <si>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</si>
  <si>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</si>
  <si>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</si>
  <si>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</si>
  <si>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</si>
  <si>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</si>
  <si>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</si>
  <si>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</si>
  <si>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</si>
  <si>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</si>
  <si>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</si>
  <si>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</si>
  <si>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</si>
  <si>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</si>
  <si>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</si>
  <si>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</si>
  <si>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</si>
  <si>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</si>
  <si>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</si>
  <si>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</si>
  <si>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</si>
  <si>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</si>
  <si>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</si>
  <si>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</si>
  <si>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</si>
  <si>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</si>
  <si>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</si>
  <si>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</si>
  <si>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</si>
  <si>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</si>
  <si>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</si>
  <si>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</si>
  <si>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</si>
  <si>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</si>
  <si>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</si>
  <si>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</si>
  <si>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</si>
  <si>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</si>
  <si>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</si>
  <si>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</si>
  <si>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</si>
  <si>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</si>
  <si>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</si>
  <si>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</si>
  <si>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</si>
  <si>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</si>
  <si>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</si>
  <si>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</si>
  <si>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</si>
  <si>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</si>
  <si>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</si>
  <si>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</si>
  <si>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</si>
  <si>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</si>
  <si>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</si>
  <si>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</si>
  <si>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</si>
  <si>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</si>
  <si>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</si>
  <si>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</si>
  <si>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</si>
  <si>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</si>
  <si>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</si>
  <si>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</si>
  <si>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</si>
  <si>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</si>
  <si>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</si>
  <si>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</si>
  <si>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</si>
  <si>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</si>
  <si>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</si>
  <si>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</si>
  <si>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</si>
  <si>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</si>
  <si>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</si>
  <si>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</si>
  <si>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</si>
  <si>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</si>
  <si>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</si>
  <si>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</si>
  <si>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</si>
  <si>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</si>
  <si>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</si>
  <si>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</si>
  <si>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</si>
  <si>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</si>
  <si>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</si>
  <si>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</si>
  <si>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</si>
  <si>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</si>
  <si>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</si>
  <si>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</si>
  <si>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</si>
  <si>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</si>
  <si>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</si>
  <si>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</si>
  <si>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</si>
  <si>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</si>
  <si>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</si>
  <si>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</si>
  <si>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</si>
  <si>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</si>
  <si>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</si>
  <si>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</si>
  <si>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</si>
  <si>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</si>
  <si>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</si>
  <si>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</si>
  <si>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</si>
  <si>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</si>
  <si>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</si>
  <si>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</si>
  <si>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</si>
  <si>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</si>
  <si>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</si>
  <si>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</si>
  <si>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</si>
  <si>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</si>
  <si>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</si>
  <si>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</si>
  <si>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</si>
  <si>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</si>
  <si>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</si>
  <si>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</si>
  <si>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</si>
  <si>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</si>
  <si>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</si>
  <si>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</si>
  <si>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</si>
  <si>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</si>
  <si>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</si>
  <si>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</si>
  <si>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</si>
  <si>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</si>
  <si>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</si>
  <si>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</si>
  <si>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</si>
  <si>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</si>
  <si>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</si>
  <si>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</si>
  <si>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</si>
  <si>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</si>
  <si>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</si>
  <si>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</si>
  <si>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</si>
  <si>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</si>
  <si>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</si>
  <si>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</si>
  <si>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</si>
  <si>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</si>
  <si>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</si>
  <si>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</si>
  <si>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</si>
  <si>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</si>
  <si>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</si>
  <si>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</si>
  <si>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</si>
  <si>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</si>
  <si>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</si>
  <si>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</si>
  <si>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</si>
  <si>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</si>
  <si>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</si>
  <si>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</si>
  <si>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</si>
  <si>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</si>
  <si>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</si>
  <si>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</si>
  <si>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</si>
  <si>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</si>
  <si>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</si>
  <si>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</si>
  <si>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</si>
  <si>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</si>
  <si>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</si>
  <si>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</si>
  <si>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</si>
  <si>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</si>
  <si>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</si>
  <si>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</si>
  <si>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</si>
  <si>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</si>
  <si>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</si>
  <si>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</si>
  <si>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</si>
  <si>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</si>
  <si>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</si>
  <si>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</si>
  <si>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</si>
  <si>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</si>
  <si>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</si>
  <si>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</si>
  <si>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</si>
  <si>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</si>
  <si>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</si>
  <si>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</si>
  <si>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</si>
  <si>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</si>
  <si>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</si>
  <si>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</si>
  <si>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</si>
  <si>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</si>
  <si>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</si>
  <si>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</si>
  <si>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</si>
  <si>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</si>
  <si>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</si>
  <si>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</si>
  <si>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</si>
  <si>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</si>
  <si>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</si>
  <si>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</si>
  <si>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</si>
  <si>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</si>
  <si>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</si>
  <si>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</si>
  <si>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</si>
  <si>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</si>
  <si>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</si>
  <si>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</si>
  <si>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</si>
  <si>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</si>
  <si>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</si>
  <si>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</si>
  <si>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</si>
  <si>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</si>
  <si>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</si>
  <si>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</si>
  <si>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</si>
  <si>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</si>
  <si>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</si>
  <si>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</si>
  <si>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</si>
  <si>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</si>
  <si>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</si>
  <si>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</si>
  <si>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</si>
  <si>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</si>
  <si>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</si>
  <si>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</si>
  <si>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</si>
  <si>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</si>
  <si>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</si>
  <si>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</si>
  <si>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</si>
  <si>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</si>
  <si>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</si>
  <si>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</si>
  <si>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</si>
  <si>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</si>
  <si>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</si>
  <si>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</si>
  <si>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</si>
  <si>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</si>
  <si>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</si>
  <si>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</si>
  <si>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</si>
  <si>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</si>
  <si>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</si>
  <si>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</si>
  <si>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</si>
  <si>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</si>
  <si>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</si>
  <si>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</si>
  <si>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</si>
  <si>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</si>
  <si>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</si>
  <si>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</si>
  <si>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</si>
  <si>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</si>
  <si>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</si>
  <si>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</si>
  <si>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</si>
  <si>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</si>
  <si>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</si>
  <si>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</si>
  <si>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</si>
  <si>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</si>
  <si>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</si>
  <si>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</si>
  <si>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</si>
  <si>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</si>
  <si>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</si>
  <si>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</si>
  <si>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</si>
  <si>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</si>
  <si>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</si>
  <si>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</si>
  <si>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</si>
  <si>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</si>
  <si>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</si>
  <si>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</si>
  <si>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</si>
  <si>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</si>
  <si>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</si>
  <si>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</si>
  <si>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</si>
  <si>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</si>
  <si>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</si>
  <si>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</si>
  <si>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</si>
  <si>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</si>
  <si>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</si>
  <si>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</si>
  <si>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</si>
  <si>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</si>
  <si>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</si>
  <si>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</si>
  <si>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</si>
  <si>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</si>
  <si>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</si>
  <si>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</si>
  <si>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</si>
  <si>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</si>
  <si>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</si>
  <si>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</si>
  <si>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</si>
  <si>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</si>
  <si>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</si>
  <si>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</si>
  <si>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</si>
  <si>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</si>
  <si>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</si>
  <si>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</si>
  <si>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</si>
  <si>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</si>
  <si>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</si>
  <si>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</si>
  <si>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</si>
  <si>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</si>
  <si>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</si>
  <si>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</si>
  <si>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</si>
  <si>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</si>
  <si>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</si>
  <si>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</si>
  <si>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</si>
  <si>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</si>
  <si>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</si>
  <si>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</si>
  <si>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</si>
  <si>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</si>
  <si>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</si>
  <si>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</si>
  <si>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</si>
  <si>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</si>
  <si>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</si>
  <si>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</si>
  <si>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</si>
  <si>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</si>
  <si>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</si>
  <si>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</si>
  <si>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</si>
  <si>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</si>
  <si>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</si>
  <si>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</si>
  <si>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</si>
  <si>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</si>
  <si>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</si>
  <si>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</si>
  <si>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</si>
  <si>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</si>
  <si>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</si>
  <si>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</si>
  <si>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</si>
  <si>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</si>
  <si>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</si>
  <si>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</si>
  <si>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</si>
  <si>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</si>
  <si>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</si>
  <si>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</si>
  <si>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</si>
  <si>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</si>
  <si>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</si>
  <si>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</si>
  <si>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</si>
  <si>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</si>
  <si>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</si>
  <si>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</si>
  <si>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</si>
  <si>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</si>
  <si>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</si>
  <si>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</si>
  <si>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</si>
  <si>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</si>
  <si>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</si>
  <si>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</si>
  <si>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</si>
  <si>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</si>
  <si>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</si>
  <si>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</si>
  <si>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</si>
  <si>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</si>
  <si>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</si>
  <si>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</si>
  <si>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</si>
  <si>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</si>
  <si>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</si>
  <si>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</si>
  <si>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</si>
  <si>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</si>
  <si>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</si>
  <si>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</si>
  <si>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</si>
  <si>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</si>
  <si>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</si>
  <si>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</si>
  <si>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</si>
  <si>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</si>
  <si>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</si>
  <si>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</si>
  <si>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</si>
  <si>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</si>
  <si>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</si>
  <si>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</si>
  <si>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</si>
  <si>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</si>
  <si>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</si>
  <si>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</si>
  <si>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</si>
  <si>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</si>
  <si>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</si>
  <si>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</si>
  <si>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</si>
  <si>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</si>
  <si>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</si>
  <si>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</si>
  <si>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</si>
  <si>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</si>
  <si>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</si>
  <si>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</si>
  <si>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</si>
  <si>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</si>
  <si>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</si>
  <si>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</si>
  <si>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</si>
  <si>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</si>
  <si>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</si>
  <si>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</si>
  <si>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</si>
  <si>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</si>
  <si>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</si>
  <si>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</si>
  <si>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</si>
  <si>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</si>
  <si>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</si>
  <si>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</si>
  <si>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</si>
  <si>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</si>
  <si>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</si>
  <si>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</si>
  <si>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</si>
  <si>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</si>
  <si>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</si>
  <si>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</si>
  <si>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</si>
  <si>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</si>
  <si>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</si>
  <si>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</si>
  <si>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</si>
  <si>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</si>
  <si>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</si>
  <si>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</si>
  <si>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</si>
  <si>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</si>
  <si>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</si>
  <si>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</si>
  <si>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</si>
  <si>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</si>
  <si>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</si>
  <si>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</si>
  <si>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</si>
  <si>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</si>
  <si>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</si>
  <si>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</si>
  <si>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</si>
  <si>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</si>
  <si>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</si>
  <si>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</si>
  <si>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</si>
  <si>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</si>
  <si>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</si>
  <si>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</si>
  <si>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</si>
  <si>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</si>
  <si>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</si>
  <si>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</si>
  <si>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</si>
  <si>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</si>
  <si>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</si>
  <si>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</si>
  <si>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</si>
  <si>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</si>
  <si>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</si>
  <si>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</si>
  <si>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</si>
  <si>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</si>
  <si>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</si>
  <si>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</si>
  <si>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</si>
  <si>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</si>
  <si>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</si>
  <si>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</si>
  <si>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</si>
  <si>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</si>
  <si>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</si>
  <si>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</si>
  <si>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</si>
  <si>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</si>
  <si>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</si>
  <si>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</si>
  <si>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</si>
  <si>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</si>
  <si>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</si>
  <si>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</si>
  <si>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</si>
  <si>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</si>
  <si>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</si>
  <si>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</si>
  <si>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</si>
  <si>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</si>
  <si>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</si>
  <si>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</si>
  <si>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</si>
  <si>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</si>
  <si>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</si>
  <si>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</si>
  <si>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</si>
  <si>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</si>
  <si>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</si>
  <si>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</si>
  <si>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</si>
  <si>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</si>
  <si>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</si>
  <si>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</si>
  <si>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</si>
  <si>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</si>
  <si>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</si>
  <si>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</si>
  <si>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</si>
  <si>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</si>
  <si>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</si>
  <si>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</si>
  <si>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</si>
  <si>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</si>
  <si>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</si>
  <si>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</si>
  <si>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</si>
  <si>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</si>
  <si>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</si>
  <si>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</si>
  <si>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</si>
  <si>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</si>
  <si>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</si>
  <si>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</si>
  <si>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</si>
  <si>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</si>
  <si>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</si>
  <si>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</si>
  <si>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</si>
  <si>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</si>
  <si>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</si>
  <si>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</si>
  <si>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</si>
  <si>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</si>
  <si>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</si>
  <si>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</si>
  <si>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</si>
  <si>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</si>
  <si>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</si>
  <si>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</si>
  <si>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</si>
  <si>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</si>
  <si>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</si>
  <si>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</si>
  <si>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</si>
  <si>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</si>
  <si>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</si>
  <si>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</si>
  <si>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</si>
  <si>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</si>
  <si>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</si>
  <si>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</si>
  <si>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</si>
  <si>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</si>
  <si>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</si>
  <si>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</si>
  <si>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</si>
  <si>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</si>
  <si>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</si>
  <si>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</si>
  <si>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</si>
  <si>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</si>
  <si>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</si>
  <si>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</si>
  <si>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</si>
  <si>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</si>
  <si>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</si>
  <si>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</si>
  <si>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</si>
  <si>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</si>
  <si>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</si>
  <si>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</si>
  <si>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</si>
  <si>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</si>
  <si>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</si>
  <si>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</si>
  <si>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</si>
  <si>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</si>
  <si>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</si>
  <si>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</si>
  <si>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</si>
  <si>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</si>
  <si>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</si>
  <si>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</si>
  <si>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</si>
  <si>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</si>
  <si>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</si>
  <si>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</si>
  <si>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</si>
  <si>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</si>
  <si>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</si>
  <si>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</si>
  <si>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</si>
  <si>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</si>
  <si>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</si>
  <si>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</si>
  <si>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</si>
  <si>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</si>
  <si>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</si>
  <si>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</si>
  <si>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</si>
  <si>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</si>
  <si>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</si>
  <si>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</si>
  <si>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</si>
  <si>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</si>
  <si>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</si>
  <si>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</si>
  <si>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</si>
  <si>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</si>
  <si>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</si>
  <si>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</si>
  <si>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</si>
  <si>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</si>
  <si>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</si>
  <si>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</si>
  <si>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</si>
  <si>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</si>
  <si>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</si>
  <si>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</si>
  <si>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</si>
  <si>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</si>
  <si>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</si>
  <si>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</si>
  <si>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</si>
  <si>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</si>
  <si>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</si>
  <si>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</si>
  <si>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</si>
  <si>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Successful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</si>
</sst>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65" fontId="0" fillId="0" borderId="0" xfId="0" applyNumberForma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0">
    <dxf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F47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F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F-414D-BAE7-DFD418832B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FF1-BD4A-B4EE-D944897B55F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FF1-BD4A-B4EE-D944897B5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968015"/>
        <c:axId val="454223600"/>
      </c:lineChart>
      <c:catAx>
        <c:axId val="107196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3600"/>
        <c:crosses val="autoZero"/>
        <c:auto val="1"/>
        <c:lblAlgn val="ctr"/>
        <c:lblOffset val="100"/>
        <c:noMultiLvlLbl val="0"/>
      </c:catAx>
      <c:valAx>
        <c:axId val="4542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6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0-904C-8669-789F5F656DB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0-904C-8669-789F5F656DB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0-904C-8669-789F5F6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956992"/>
        <c:axId val="832958640"/>
      </c:lineChart>
      <c:catAx>
        <c:axId val="8329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58640"/>
        <c:crosses val="autoZero"/>
        <c:auto val="1"/>
        <c:lblAlgn val="ctr"/>
        <c:lblOffset val="100"/>
        <c:noMultiLvlLbl val="0"/>
      </c:catAx>
      <c:valAx>
        <c:axId val="83295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5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0-704A-91F3-CCD5C46BB6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D0-704A-91F3-CCD5C46BB6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D0-704A-91F3-CCD5C46BB6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D0-704A-91F3-CCD5C46B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680092304"/>
        <c:axId val="680106176"/>
        <c:axId val="0"/>
      </c:bar3DChart>
      <c:catAx>
        <c:axId val="68009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06176"/>
        <c:crosses val="autoZero"/>
        <c:auto val="1"/>
        <c:lblAlgn val="ctr"/>
        <c:lblOffset val="100"/>
        <c:noMultiLvlLbl val="0"/>
      </c:catAx>
      <c:valAx>
        <c:axId val="680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09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 Statistic!PivotTable3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 Statistic'!$B$6:$B$7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C-2349-8F07-51A1A1E087DB}"/>
            </c:ext>
          </c:extLst>
        </c:ser>
        <c:ser>
          <c:idx val="1"/>
          <c:order val="1"/>
          <c:tx>
            <c:strRef>
              <c:f>'Subcategor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 Statistic'!$C$6:$C$7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2CC-2349-8F07-51A1A1E087DB}"/>
            </c:ext>
          </c:extLst>
        </c:ser>
        <c:ser>
          <c:idx val="2"/>
          <c:order val="2"/>
          <c:tx>
            <c:strRef>
              <c:f>'Subcategor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 Statistic'!$D$6:$D$7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2CC-2349-8F07-51A1A1E0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1379600"/>
        <c:axId val="681402240"/>
      </c:barChart>
      <c:catAx>
        <c:axId val="68137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402240"/>
        <c:crosses val="autoZero"/>
        <c:auto val="1"/>
        <c:lblAlgn val="ctr"/>
        <c:lblOffset val="100"/>
        <c:noMultiLvlLbl val="0"/>
      </c:catAx>
      <c:valAx>
        <c:axId val="68140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3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2-4240-B959-82880D329052}"/>
            </c:ext>
          </c:extLst>
        </c:ser>
        <c:ser>
          <c:idx val="1"/>
          <c:order val="1"/>
          <c:tx>
            <c:strRef>
              <c:f>'Outcomes Based on Launched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52-4240-B959-82880D329052}"/>
            </c:ext>
          </c:extLst>
        </c:ser>
        <c:ser>
          <c:idx val="2"/>
          <c:order val="2"/>
          <c:tx>
            <c:strRef>
              <c:f>'Outcomes Based on Launched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52-4240-B959-82880D329052}"/>
            </c:ext>
          </c:extLst>
        </c:ser>
        <c:ser>
          <c:idx val="3"/>
          <c:order val="3"/>
          <c:tx>
            <c:strRef>
              <c:f>'Outcomes Based on Launched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52-4240-B959-82880D32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918320"/>
        <c:axId val="678920624"/>
      </c:lineChart>
      <c:catAx>
        <c:axId val="6789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20624"/>
        <c:crosses val="autoZero"/>
        <c:auto val="1"/>
        <c:lblAlgn val="ctr"/>
        <c:lblOffset val="100"/>
        <c:noMultiLvlLbl val="0"/>
      </c:catAx>
      <c:valAx>
        <c:axId val="6789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912895</xdr:colOff>
      <xdr:row>18</xdr:row>
      <xdr:rowOff>103817</xdr:rowOff>
    </xdr:from>
    <xdr:to>
      <xdr:col>7</xdr:col>
      <xdr:colOff>141112</xdr:colOff>
      <xdr:row>33</xdr:row>
      <xdr:rowOff>112887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45293-0583-7B4D-A1C2-C5618FB0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512591</xdr:colOff>
      <xdr:row>1</xdr:row>
      <xdr:rowOff>76506</xdr:rowOff>
    </xdr:from>
    <xdr:to>
      <xdr:col>15</xdr:col>
      <xdr:colOff>260119</xdr:colOff>
      <xdr:row>16</xdr:row>
      <xdr:rowOff>45903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5EAF6B-3ED2-A64C-AA97-F6360396A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270711</xdr:colOff>
      <xdr:row>1</xdr:row>
      <xdr:rowOff>192505</xdr:rowOff>
    </xdr:from>
    <xdr:to>
      <xdr:col>13</xdr:col>
      <xdr:colOff>578184</xdr:colOff>
      <xdr:row>16</xdr:row>
      <xdr:rowOff>28073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49963B-F0EE-E147-BC20-53124734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607784</xdr:colOff>
      <xdr:row>3</xdr:row>
      <xdr:rowOff>129721</xdr:rowOff>
    </xdr:from>
    <xdr:to>
      <xdr:col>17</xdr:col>
      <xdr:colOff>680357</xdr:colOff>
      <xdr:row>32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5F50-7B61-6541-B900-0367E8CC8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9768</xdr:colOff>
      <xdr:row>2</xdr:row>
      <xdr:rowOff>2</xdr:rowOff>
    </xdr:from>
    <xdr:to>
      <xdr:col>16</xdr:col>
      <xdr:colOff>693616</xdr:colOff>
      <xdr:row>20</xdr:row>
      <xdr:rowOff>9771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D6926-7947-6C4C-A192-A7AF3BDD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ZHOU" refreshedDate="44487.51309270833" createdVersion="7" refreshedVersion="7" minRefreshableVersion="3" recordCount="4115" xr:uid="{051F44BA-CFA3-D343-9F54-A0E8245B5730}">
  <cacheSource type="worksheet">
    <worksheetSource ref="A1:R4116" sheet="Kickstarter_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ZHOU" refreshedDate="44487.519143287034" createdVersion="7" refreshedVersion="7" minRefreshableVersion="3" recordCount="4115" xr:uid="{5F8619D7-6CDE-A04C-AC71-85B823DFE0E5}">
  <cacheSource type="worksheet">
    <worksheetSource ref="A1:T4116" sheet="Kickstarter_Challenge.xlsx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ZHOU" refreshedDate="44488.635771296293" createdVersion="7" refreshedVersion="7" minRefreshableVersion="3" recordCount="4115" xr:uid="{3C31E8D5-2D35-F84E-AF97-5BA771971579}">
  <cacheSource type="worksheet">
    <worksheetSource ref="A1:U4116" sheet="Kickstarter_Challenge.xlsx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DC9BD-A1AC-B045-BB23-6DA41FFD111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5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6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7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8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9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1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97055-48BE-4C43-B622-822E5DBB055E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2DEFB-7EDA-3C4B-9A9F-C3D254DAF5FA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8A9BD-D373-4A48-9CD6-0E4F8627C1C6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:F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6"/>
  <sheetViews>
    <sheetView zoomScale="149" zoomScaleNormal="149" workbookViewId="0">
      <selection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customWidth="1"/>
    <col min="16" max="16" width="32" customWidth="1"/>
    <col min="17" max="17" width="41.1640625" customWidth="1"/>
    <col min="18" max="18" width="17.5" customWidth="1"/>
    <col min="19" max="19" width="33.5" style="16" customWidth="1"/>
    <col min="20" max="20" width="33.33203125" style="16" customWidth="1"/>
    <col min="21" max="21" width="20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0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6" si="321">IFERROR(ROUND(E4098/L4098,2),0)</f>
        <v>80</v>
      </c>
      <c r="Q4098" s="11" t="s">
        <v>8315</v>
      </c>
      <c r="R4098" t="s">
        <v>8316</v>
      </c>
      <c r="S4098" s="16">
        <f t="shared" ref="S4098:S4116" si="322">(((J4098/60)/60)/24)+DATE(1970,1,1)</f>
        <v>42750.530312499999</v>
      </c>
      <c r="T4098" s="16">
        <f t="shared" ref="T4098:T4116" si="323">(((I4098/60)/60)/24)+DATE(1970,1,1)</f>
        <v>42794.368749999994</v>
      </c>
      <c r="U4098">
        <f t="shared" ref="U4098:U4116" si="324">YEAR(S4098)</f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00000000-0001-0000-0000-000000000000}"/>
  <conditionalFormatting sqref="F1:F1048576">
    <cfRule type="containsText" dxfId="9" priority="3" operator="containsText" text="canceled">
      <formula>NOT(ISERROR(SEARCH("canceled",F1)))</formula>
    </cfRule>
    <cfRule type="containsText" dxfId="8" priority="4" operator="containsText" text="failed">
      <formula>NOT(ISERROR(SEARCH("failed",F1)))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failed">
      <formula>NOT(ISERROR(SEARCH("failed",F1)))</formula>
    </cfRule>
    <cfRule type="containsText" dxfId="4" priority="11" operator="containsText" text="successful">
      <formula>NOT(ISERROR(SEARCH("successful",F1)))</formula>
    </cfRule>
    <cfRule type="containsText" dxfId="3" priority="12" operator="containsText" text="live">
      <formula>NOT(ISERROR(SEARCH("live",F1)))</formula>
    </cfRule>
  </conditionalFormatting>
  <conditionalFormatting sqref="F1">
    <cfRule type="containsText" dxfId="2" priority="9" operator="containsText" text="failed">
      <formula>NOT(ISERROR(SEARCH("failed",F1)))</formula>
    </cfRule>
    <cfRule type="containsText" dxfId="1" priority="10" operator="containsText" text="failed">
      <formula>NOT(ISERROR(SEARCH("failed",F1)))</formula>
    </cfRule>
  </conditionalFormatting>
  <conditionalFormatting sqref="F181">
    <cfRule type="containsText" dxfId="0" priority="5" operator="containsText" text="failed">
      <formula>NOT(ISERROR(SEARCH("failed",F181)))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8C59B-7660-434F-99AD-7510077BE0D6}">
  <sheetPr codeName="Sheet3"/>
  <dimension ref="A1:G18"/>
  <sheetViews>
    <sheetView tabSelected="1" topLeftCell="A14" zoomScale="180" zoomScaleNormal="180" workbookViewId="0">
      <selection activeCell="J22" sqref="J22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8.83203125" bestFit="1" customWidth="1"/>
    <col min="7" max="7" width="19.6640625" customWidth="1"/>
    <col min="8" max="9" width="8.1640625" bestFit="1" customWidth="1"/>
    <col min="10" max="10" width="8.83203125" bestFit="1" customWidth="1"/>
    <col min="11" max="11" width="5.5" bestFit="1" customWidth="1"/>
    <col min="12" max="12" width="8.1640625" bestFit="1" customWidth="1"/>
    <col min="13" max="13" width="8.5" bestFit="1" customWidth="1"/>
    <col min="14" max="14" width="8.83203125" bestFit="1" customWidth="1"/>
    <col min="15" max="15" width="5.5" bestFit="1" customWidth="1"/>
    <col min="16" max="17" width="8.1640625" bestFit="1" customWidth="1"/>
    <col min="18" max="18" width="8.83203125" bestFit="1" customWidth="1"/>
    <col min="19" max="19" width="5.5" bestFit="1" customWidth="1"/>
    <col min="20" max="20" width="8.1640625" bestFit="1" customWidth="1"/>
    <col min="21" max="21" width="8.6640625" bestFit="1" customWidth="1"/>
    <col min="22" max="22" width="8.83203125" bestFit="1" customWidth="1"/>
    <col min="23" max="23" width="5.5" bestFit="1" customWidth="1"/>
    <col min="24" max="24" width="8.1640625" bestFit="1" customWidth="1"/>
    <col min="25" max="25" width="8" bestFit="1" customWidth="1"/>
    <col min="26" max="26" width="8.83203125" bestFit="1" customWidth="1"/>
    <col min="27" max="27" width="5.5" bestFit="1" customWidth="1"/>
    <col min="28" max="28" width="8.1640625" bestFit="1" customWidth="1"/>
    <col min="29" max="29" width="7.5" bestFit="1" customWidth="1"/>
    <col min="30" max="30" width="8.83203125" bestFit="1" customWidth="1"/>
    <col min="31" max="31" width="5.5" bestFit="1" customWidth="1"/>
    <col min="32" max="32" width="8.1640625" bestFit="1" customWidth="1"/>
    <col min="33" max="33" width="8.33203125" bestFit="1" customWidth="1"/>
    <col min="34" max="34" width="8.83203125" bestFit="1" customWidth="1"/>
    <col min="35" max="35" width="5.5" bestFit="1" customWidth="1"/>
    <col min="36" max="37" width="8.1640625" bestFit="1" customWidth="1"/>
    <col min="38" max="38" width="8.83203125" bestFit="1" customWidth="1"/>
    <col min="39" max="39" width="5.5" bestFit="1" customWidth="1"/>
    <col min="40" max="40" width="8" bestFit="1" customWidth="1"/>
    <col min="41" max="41" width="8.83203125" bestFit="1" customWidth="1"/>
    <col min="42" max="42" width="5.5" bestFit="1" customWidth="1"/>
    <col min="43" max="43" width="8.1640625" bestFit="1" customWidth="1"/>
    <col min="44" max="44" width="8.33203125" bestFit="1" customWidth="1"/>
    <col min="45" max="45" width="8.83203125" bestFit="1" customWidth="1"/>
    <col min="46" max="46" width="5.5" bestFit="1" customWidth="1"/>
    <col min="47" max="47" width="8.1640625" bestFit="1" customWidth="1"/>
    <col min="48" max="48" width="8.33203125" bestFit="1" customWidth="1"/>
    <col min="49" max="49" width="10.1640625" bestFit="1" customWidth="1"/>
  </cols>
  <sheetData>
    <row r="1" spans="1:7" x14ac:dyDescent="0.2">
      <c r="A1" s="12" t="s">
        <v>8358</v>
      </c>
      <c r="B1" t="s">
        <v>8315</v>
      </c>
    </row>
    <row r="2" spans="1:7" x14ac:dyDescent="0.2">
      <c r="A2" s="12" t="s">
        <v>8379</v>
      </c>
      <c r="B2" t="s">
        <v>8364</v>
      </c>
    </row>
    <row r="4" spans="1:7" x14ac:dyDescent="0.2">
      <c r="A4" s="12" t="s">
        <v>8363</v>
      </c>
      <c r="B4" s="12" t="s">
        <v>8360</v>
      </c>
    </row>
    <row r="5" spans="1:7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  <c r="G5" t="s">
        <v>8417</v>
      </c>
    </row>
    <row r="6" spans="1:7" x14ac:dyDescent="0.2">
      <c r="A6" s="17" t="s">
        <v>8367</v>
      </c>
      <c r="B6" s="14">
        <v>56</v>
      </c>
      <c r="C6" s="14">
        <v>33</v>
      </c>
      <c r="D6" s="14">
        <v>7</v>
      </c>
      <c r="E6" s="14">
        <v>96</v>
      </c>
      <c r="G6" s="21">
        <f>GETPIVOTDATA("outcomes",$A$4,"outcomes","successful","Date Created Conversion",1)/GETPIVOTDATA("outcomes",$A$4,"Date Created Conversion",1)</f>
        <v>0.58333333333333337</v>
      </c>
    </row>
    <row r="7" spans="1:7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  <c r="G7" s="21">
        <f>GETPIVOTDATA("outcomes",$A$4,"outcomes","successful","Date Created Conversion",2)/GETPIVOTDATA("outcomes",$A$4,"Date Created Conversion",2)</f>
        <v>0.62831858407079644</v>
      </c>
    </row>
    <row r="8" spans="1:7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  <c r="G8" s="21">
        <f>GETPIVOTDATA("outcomes",$A$4,"outcomes","successful","Date Created Conversion",3)/GETPIVOTDATA("outcomes",$A$4,"Date Created Conversion",3)</f>
        <v>0.60869565217391308</v>
      </c>
    </row>
    <row r="9" spans="1:7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  <c r="G9" s="21">
        <f>GETPIVOTDATA("outcomes",$A$4,"outcomes","successful","Date Created Conversion",4)/GETPIVOTDATA("outcomes",$A$4,"Date Created Conversion",4)</f>
        <v>0.62831858407079644</v>
      </c>
    </row>
    <row r="10" spans="1:7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  <c r="G10" s="21">
        <f>GETPIVOTDATA("outcomes",$A$4,"outcomes","successful","Date Created Conversion",5)/GETPIVOTDATA("outcomes",$A$4,"Date Created Conversion",5)</f>
        <v>0.66867469879518071</v>
      </c>
    </row>
    <row r="11" spans="1:7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  <c r="G11" s="21">
        <f>GETPIVOTDATA("outcomes",$A$4,"outcomes","successful","Date Created Conversion",6)/GETPIVOTDATA("outcomes",$A$4,"Date Created Conversion",6)</f>
        <v>0.65359477124183007</v>
      </c>
    </row>
    <row r="12" spans="1:7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  <c r="G12" s="21">
        <f>GETPIVOTDATA("outcomes",$A$4,"outcomes","successful","Date Created Conversion",7)/GETPIVOTDATA("outcomes",$A$4,"Date Created Conversion",7)</f>
        <v>0.63043478260869568</v>
      </c>
    </row>
    <row r="13" spans="1:7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  <c r="G13" s="21">
        <f>GETPIVOTDATA("outcomes",$A$4,"outcomes","successful","Date Created Conversion",8)/GETPIVOTDATA("outcomes",$A$4,"Date Created Conversion",8)</f>
        <v>0.58536585365853655</v>
      </c>
    </row>
    <row r="14" spans="1:7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  <c r="G14" s="21">
        <f>GETPIVOTDATA("outcomes",$A$4,"outcomes","successful","Date Created Conversion",9)/GETPIVOTDATA("outcomes",$A$4,"Date Created Conversion",9)</f>
        <v>0.60824742268041232</v>
      </c>
    </row>
    <row r="15" spans="1:7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  <c r="G15" s="21">
        <f>GETPIVOTDATA("outcomes",$A$4,"outcomes","successful","Date Created Conversion",10)/GETPIVOTDATA("outcomes",$A$4,"Date Created Conversion",10)</f>
        <v>0.56521739130434778</v>
      </c>
    </row>
    <row r="16" spans="1:7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  <c r="G16" s="21">
        <f>GETPIVOTDATA("outcomes",$A$4,"outcomes","successful","Date Created Conversion",11)/GETPIVOTDATA("outcomes",$A$4,"Date Created Conversion",11)</f>
        <v>0.61363636363636365</v>
      </c>
    </row>
    <row r="17" spans="1:7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  <c r="G17" s="21">
        <f>GETPIVOTDATA("outcomes",$A$4,"outcomes","successful","Date Created Conversion",12)/GETPIVOTDATA("outcomes",$A$4,"Date Created Conversion",12)</f>
        <v>0.49333333333333335</v>
      </c>
    </row>
    <row r="18" spans="1:7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AE3D-CF20-0C43-9E2C-A43D5E29BB2E}">
  <sheetPr codeName="Sheet4"/>
  <dimension ref="A1:H22"/>
  <sheetViews>
    <sheetView topLeftCell="D1" zoomScale="166" workbookViewId="0">
      <selection activeCell="A5" sqref="A5:XFD5"/>
    </sheetView>
  </sheetViews>
  <sheetFormatPr baseColWidth="10" defaultRowHeight="15" x14ac:dyDescent="0.2"/>
  <cols>
    <col min="1" max="1" width="16.83203125" style="5" customWidth="1"/>
    <col min="2" max="2" width="18.1640625" customWidth="1"/>
    <col min="3" max="3" width="14" customWidth="1"/>
    <col min="4" max="4" width="19.1640625" customWidth="1"/>
    <col min="5" max="5" width="12.83203125" customWidth="1"/>
    <col min="6" max="6" width="22.83203125" customWidth="1"/>
    <col min="7" max="7" width="15.33203125" customWidth="1"/>
    <col min="8" max="8" width="20.1640625" customWidth="1"/>
  </cols>
  <sheetData>
    <row r="1" spans="1:8" x14ac:dyDescent="0.2">
      <c r="A1" s="5" t="s">
        <v>8397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s="5" t="s">
        <v>8416</v>
      </c>
      <c r="B2">
        <f>COUNTIFS(Kickstarter_Challenge.xlsx!$D:$D,"&lt;1000",Kickstarter_Challenge.xlsx!$F:$F,"successful",Kickstarter_Challenge.xlsx!$R:$R,"plays")</f>
        <v>141</v>
      </c>
      <c r="C2">
        <f>COUNTIFS(Kickstarter_Challenge.xlsx!$D:$D,"&lt;1000",Kickstarter_Challenge.xlsx!$F:$F,"failed",Kickstarter_Challenge.xlsx!$R:$R,"plays")</f>
        <v>45</v>
      </c>
      <c r="D2">
        <f>COUNTIFS(Kickstarter_Challenge.xlsx!$D:$D,"&lt;1000",Kickstarter_Challenge.xlsx!$F:$F,"canceled",Kickstarter_Challenge.xlsx!$R:$R,"plays")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s="5" t="s">
        <v>8405</v>
      </c>
      <c r="B3">
        <f>COUNTIFS(Kickstarter_Challenge.xlsx!$D:$D,"&gt;=1000",Kickstarter_Challenge.xlsx!$F:$F,"successful",Kickstarter_Challenge.xlsx!$D:$D,"&lt;=4999",Kickstarter_Challenge.xlsx!$R:$R,"plays")</f>
        <v>388</v>
      </c>
      <c r="C3">
        <f>COUNTIFS(Kickstarter_Challenge.xlsx!$D:$D,"&gt;=1000",Kickstarter_Challenge.xlsx!$F:$F,"failed",Kickstarter_Challenge.xlsx!$D:$D,"&lt;=4999",Kickstarter_Challenge.xlsx!$R:$R,"plays")</f>
        <v>146</v>
      </c>
      <c r="D3">
        <f>COUNTIFS(Kickstarter_Challenge.xlsx!$D:$D,"&gt;=1000",Kickstarter_Challenge.xlsx!$F:$F,"canceled",Kickstarter_Challenge.xlsx!$D:$D,"&lt;=4999",Kickstarter_Challenge.xlsx!$R:$R,"plays")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s="5" t="s">
        <v>8406</v>
      </c>
      <c r="B4">
        <f>COUNTIFS(Kickstarter_Challenge.xlsx!$D:$D,"&gt;=5000",Kickstarter_Challenge.xlsx!$F:$F,"successful",Kickstarter_Challenge.xlsx!$D:$D,"&lt;=9999",Kickstarter_Challenge.xlsx!$R:$R,"plays")</f>
        <v>93</v>
      </c>
      <c r="C4">
        <f>COUNTIFS(Kickstarter_Challenge.xlsx!$D:$D,"&gt;=5000",Kickstarter_Challenge.xlsx!$F:$F,"failed",Kickstarter_Challenge.xlsx!$D:$D,"&lt;=9999",Kickstarter_Challenge.xlsx!$R:$R,"plays")</f>
        <v>76</v>
      </c>
      <c r="D4">
        <f>COUNTIFS(Kickstarter_Challenge.xlsx!$D:$D,"&gt;=5000",Kickstarter_Challenge.xlsx!$F:$F,"canceled",Kickstarter_Challenge.xlsx!$D:$D,"&lt;=9999",Kickstarter_Challenge.xlsx!$R:$R,"plays")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s="5" t="s">
        <v>8407</v>
      </c>
      <c r="B5">
        <f>COUNTIFS(Kickstarter_Challenge.xlsx!$D:$D,"&gt;=10000",Kickstarter_Challenge.xlsx!$F:$F,"successful",Kickstarter_Challenge.xlsx!$D:$D,"&lt;=14999",Kickstarter_Challenge.xlsx!$R:$R,"plays")</f>
        <v>39</v>
      </c>
      <c r="C5">
        <f>COUNTIFS(Kickstarter_Challenge.xlsx!$D:$D,"&gt;=10000",Kickstarter_Challenge.xlsx!$F:$F,"failed",Kickstarter_Challenge.xlsx!$D:$D,"&lt;=14999",Kickstarter_Challenge.xlsx!$R:$R,"plays")</f>
        <v>33</v>
      </c>
      <c r="D5">
        <f>COUNTIFS(Kickstarter_Challenge.xlsx!$D:$D,"&gt;=10000",Kickstarter_Challenge.xlsx!$F:$F,"canceled",Kickstarter_Challenge.xlsx!$D:$D,"&lt;=14999",Kickstarter_Challenge.xlsx!$R:$R,"plays")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s="5" t="s">
        <v>8408</v>
      </c>
      <c r="B6">
        <f>COUNTIFS(Kickstarter_Challenge.xlsx!$D:$D,"&gt;=15000",Kickstarter_Challenge.xlsx!$F:$F,"successful",Kickstarter_Challenge.xlsx!$D:$D,"&lt;=19999",Kickstarter_Challenge.xlsx!$R:$R,"plays")</f>
        <v>12</v>
      </c>
      <c r="C6">
        <f>COUNTIFS(Kickstarter_Challenge.xlsx!$D:$D,"&gt;=15000",Kickstarter_Challenge.xlsx!$F:$F,"failed",Kickstarter_Challenge.xlsx!$D:$D,"&lt;=19999",Kickstarter_Challenge.xlsx!$R:$R,"plays")</f>
        <v>12</v>
      </c>
      <c r="D6">
        <f>COUNTIFS(Kickstarter_Challenge.xlsx!$D:$D,"&gt;=15000",Kickstarter_Challenge.xlsx!$F:$F,"canceled",Kickstarter_Challenge.xlsx!$D:$D,"&lt;=19999",Kickstarter_Challenge.xlsx!$R:$R,"plays")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s="5" t="s">
        <v>8409</v>
      </c>
      <c r="B7">
        <f>COUNTIFS(Kickstarter_Challenge.xlsx!$D:$D,"&gt;=20000",Kickstarter_Challenge.xlsx!$F:$F,"successful",Kickstarter_Challenge.xlsx!$D:$D,"&lt;=24999",Kickstarter_Challenge.xlsx!$R:$R,"plays")</f>
        <v>9</v>
      </c>
      <c r="C7">
        <f>COUNTIFS(Kickstarter_Challenge.xlsx!$D:$D,"&gt;=20000",Kickstarter_Challenge.xlsx!$F:$F,"failed",Kickstarter_Challenge.xlsx!$D:$D,"&lt;=24999",Kickstarter_Challenge.xlsx!$R:$R,"plays")</f>
        <v>11</v>
      </c>
      <c r="D7">
        <f>COUNTIFS(Kickstarter_Challenge.xlsx!$D:$D,"&gt;=20000",Kickstarter_Challenge.xlsx!$F:$F,"canceled",Kickstarter_Challenge.xlsx!$D:$D,"&lt;=24999",Kickstarter_Challenge.xlsx!$R:$R,"plays")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s="5" t="s">
        <v>8410</v>
      </c>
      <c r="B8">
        <f>COUNTIFS(Kickstarter_Challenge.xlsx!$D:$D,"&gt;=25000",Kickstarter_Challenge.xlsx!$F:$F,"successful",Kickstarter_Challenge.xlsx!$D:$D,"&lt;=29999",Kickstarter_Challenge.xlsx!$R:$R,"plays")</f>
        <v>1</v>
      </c>
      <c r="C8">
        <f>COUNTIFS(Kickstarter_Challenge.xlsx!$D:$D,"&gt;=25000",Kickstarter_Challenge.xlsx!$F:$F,"failed",Kickstarter_Challenge.xlsx!$D:$D,"&lt;=29999",Kickstarter_Challenge.xlsx!$R:$R,"plays")</f>
        <v>4</v>
      </c>
      <c r="D8">
        <f>COUNTIFS(Kickstarter_Challenge.xlsx!$D:$D,"&gt;=25000",Kickstarter_Challenge.xlsx!$F:$F,"canceled",Kickstarter_Challenge.xlsx!$D:$D,"&lt;=29999",Kickstarter_Challenge.xlsx!$R:$R,"plays")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s="5" t="s">
        <v>8411</v>
      </c>
      <c r="B9">
        <f>COUNTIFS(Kickstarter_Challenge.xlsx!$D:$D,"&gt;=30000",Kickstarter_Challenge.xlsx!$F:$F,"successful",Kickstarter_Challenge.xlsx!$D:$D,"&lt;=34999",Kickstarter_Challenge.xlsx!$R:$R,"plays")</f>
        <v>3</v>
      </c>
      <c r="C9">
        <f>COUNTIFS(Kickstarter_Challenge.xlsx!$D:$D,"&gt;=30000",Kickstarter_Challenge.xlsx!$F:$F,"failed",Kickstarter_Challenge.xlsx!$D:$D,"&lt;=34999",Kickstarter_Challenge.xlsx!$R:$R,"plays")</f>
        <v>8</v>
      </c>
      <c r="D9">
        <f>COUNTIFS(Kickstarter_Challenge.xlsx!$D:$D,"&gt;=30000",Kickstarter_Challenge.xlsx!$F:$F,"canceled",Kickstarter_Challenge.xlsx!$D:$D,"&lt;=34999",Kickstarter_Challenge.xlsx!$R:$R,"plays")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s="5" t="s">
        <v>8412</v>
      </c>
      <c r="B10">
        <f>COUNTIFS(Kickstarter_Challenge.xlsx!$D:$D,"&gt;=35000",Kickstarter_Challenge.xlsx!$F:$F,"successful",Kickstarter_Challenge.xlsx!$D:$D,"&lt;=39999",Kickstarter_Challenge.xlsx!$R:$R,"plays")</f>
        <v>4</v>
      </c>
      <c r="C10">
        <f>COUNTIFS(Kickstarter_Challenge.xlsx!$D:$D,"&gt;=35000",Kickstarter_Challenge.xlsx!$F:$F,"failed",Kickstarter_Challenge.xlsx!$D:$D,"&lt;=39999",Kickstarter_Challenge.xlsx!$R:$R,"plays")</f>
        <v>2</v>
      </c>
      <c r="D10">
        <f>COUNTIFS(Kickstarter_Challenge.xlsx!$D:$D,"&gt;=35000",Kickstarter_Challenge.xlsx!$F:$F,"canceled",Kickstarter_Challenge.xlsx!$D:$D,"&lt;=39999",Kickstarter_Challenge.xlsx!$R:$R,"plays")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s="5" t="s">
        <v>8413</v>
      </c>
      <c r="B11">
        <f>COUNTIFS(Kickstarter_Challenge.xlsx!$D:$D,"&gt;=40000",Kickstarter_Challenge.xlsx!$F:$F,"successful",Kickstarter_Challenge.xlsx!$D:$D,"&lt;=44999",Kickstarter_Challenge.xlsx!$R:$R,"plays")</f>
        <v>2</v>
      </c>
      <c r="C11">
        <f>COUNTIFS(Kickstarter_Challenge.xlsx!$D:$D,"&gt;=40000",Kickstarter_Challenge.xlsx!$F:$F,"failed",Kickstarter_Challenge.xlsx!$D:$D,"&lt;=44999",Kickstarter_Challenge.xlsx!$R:$R,"plays")</f>
        <v>1</v>
      </c>
      <c r="D11">
        <f>COUNTIFS(Kickstarter_Challenge.xlsx!$D:$D,"&gt;=40000",Kickstarter_Challenge.xlsx!$F:$F,"canceled",Kickstarter_Challenge.xlsx!$D:$D,"&lt;=44999",Kickstarter_Challenge.xlsx!$R:$R,"plays")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s="5" t="s">
        <v>8414</v>
      </c>
      <c r="B12">
        <f>COUNTIFS(Kickstarter_Challenge.xlsx!$D:$D,"&gt;=45000",Kickstarter_Challenge.xlsx!$D:$D,"&lt;=49999",Kickstarter_Challenge.xlsx!$F:$F,"successful",Kickstarter_Challenge.xlsx!$R:$R,"plays")</f>
        <v>0</v>
      </c>
      <c r="C12">
        <f>COUNTIFS(Kickstarter_Challenge.xlsx!$D:$D,"&gt;=45000",Kickstarter_Challenge.xlsx!$F:$F,"failed",Kickstarter_Challenge.xlsx!$D:$D,"&lt;=49999",Kickstarter_Challenge.xlsx!$R:$R,"plays")</f>
        <v>1</v>
      </c>
      <c r="D12">
        <f>COUNTIFS(Kickstarter_Challenge.xlsx!$D:$D,"&gt;=45000",Kickstarter_Challenge.xlsx!$F:$F,"canceled",Kickstarter_Challenge.xlsx!$D:$D,"&lt;=49999",Kickstarter_Challenge.xlsx!$R:$R,"plays")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s="5" t="s">
        <v>8415</v>
      </c>
      <c r="B13">
        <f>COUNTIFS(Kickstarter_Challenge.xlsx!$D:$D,"&gt;=50000",Kickstarter_Challenge.xlsx!$F:$F,"successful",Kickstarter_Challenge.xlsx!$R:$R,"plays")</f>
        <v>2</v>
      </c>
      <c r="C13">
        <f>COUNTIFS(Kickstarter_Challenge.xlsx!$D:$D,"&gt;=50000",Kickstarter_Challenge.xlsx!$F:$F,"failed",Kickstarter_Challenge.xlsx!$R:$R,"plays")</f>
        <v>14</v>
      </c>
      <c r="D13">
        <f>COUNTIFS(Kickstarter_Challenge.xlsx!$D:$D,"&gt;=50000",Kickstarter_Challenge.xlsx!$F:$F,"canceled",Kickstarter_Challenge.xlsx!$R:$R,"plays")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8" spans="2:8" x14ac:dyDescent="0.2">
      <c r="F18" s="21"/>
      <c r="G18" s="21"/>
      <c r="H18" s="21"/>
    </row>
    <row r="19" spans="2:8" x14ac:dyDescent="0.2">
      <c r="F19" s="21"/>
      <c r="G19" s="21"/>
      <c r="H19" s="21"/>
    </row>
    <row r="21" spans="2:8" x14ac:dyDescent="0.2">
      <c r="B21">
        <f>SUM(B2:B13)</f>
        <v>694</v>
      </c>
      <c r="C21">
        <f>SUM(C2:C13)</f>
        <v>353</v>
      </c>
      <c r="D21">
        <f>SUM(D2:D13)</f>
        <v>0</v>
      </c>
      <c r="E21">
        <f>SUM(B21:D21)</f>
        <v>1047</v>
      </c>
      <c r="F21" s="21">
        <f>B21/E21</f>
        <v>0.6628462273161414</v>
      </c>
      <c r="G21" s="21">
        <f>C21/E21</f>
        <v>0.33715377268385865</v>
      </c>
      <c r="H21" s="21">
        <f>D21/E21</f>
        <v>0</v>
      </c>
    </row>
    <row r="22" spans="2:8" x14ac:dyDescent="0.2">
      <c r="B22">
        <f>COUNTIFS(Kickstarter_Challenge.xlsx!$D:$D,"&gt;=0",Kickstarter_Challenge.xlsx!$F:$F,"successful",Kickstarter_Challenge.xlsx!$R:$R,"plays")</f>
        <v>694</v>
      </c>
      <c r="C22">
        <f>COUNTIFS(Kickstarter_Challenge.xlsx!$D:$D,"&gt;=0",Kickstarter_Challenge.xlsx!$F:$F,"failed",Kickstarter_Challenge.xlsx!$R:$R,"plays")</f>
        <v>353</v>
      </c>
      <c r="D22">
        <f>COUNTIFS(Kickstarter_Challenge.xlsx!$D:$D,"&gt;=0",Kickstarter_Challenge.xlsx!$F:$F,"canceled",Kickstarter_Challenge.xlsx!$R:$R,"plays")</f>
        <v>0</v>
      </c>
      <c r="E22">
        <f>SUM(B22:D22)</f>
        <v>1047</v>
      </c>
      <c r="F22" s="21">
        <f>B22/E22</f>
        <v>0.6628462273161414</v>
      </c>
      <c r="G22" s="21">
        <f>C22/E22</f>
        <v>0.33715377268385865</v>
      </c>
      <c r="H22" s="21">
        <f>D22/E22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6DDA6-87D2-F349-BDB6-6859AAA26638}">
  <sheetPr codeName="Sheet7"/>
  <dimension ref="A1:C14"/>
  <sheetViews>
    <sheetView zoomScale="255" zoomScaleNormal="255" workbookViewId="0">
      <selection activeCell="F4" sqref="F4"/>
    </sheetView>
  </sheetViews>
  <sheetFormatPr baseColWidth="10" defaultRowHeight="15" x14ac:dyDescent="0.2"/>
  <cols>
    <col min="1" max="1" width="23.33203125" customWidth="1"/>
    <col min="2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8392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8389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8390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8391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2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2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62EEE-5B59-4A43-81FE-5B5F888097FD}">
  <sheetPr codeName="Sheet8"/>
  <dimension ref="A1:F6"/>
  <sheetViews>
    <sheetView zoomScale="180" zoomScaleNormal="180" workbookViewId="0">
      <selection activeCell="F2" sqref="F2"/>
    </sheetView>
  </sheetViews>
  <sheetFormatPr baseColWidth="10" defaultRowHeight="15" x14ac:dyDescent="0.2"/>
  <cols>
    <col min="1" max="1" width="39.5" customWidth="1"/>
    <col min="2" max="2" width="32.5" customWidth="1"/>
    <col min="5" max="5" width="23.83203125" customWidth="1"/>
    <col min="6" max="6" width="23.6640625" customWidth="1"/>
  </cols>
  <sheetData>
    <row r="1" spans="1:6" ht="13" customHeight="1" x14ac:dyDescent="0.2">
      <c r="A1" t="s">
        <v>8380</v>
      </c>
      <c r="B1" t="s">
        <v>4110</v>
      </c>
      <c r="C1" t="s">
        <v>8381</v>
      </c>
      <c r="D1" t="s">
        <v>8217</v>
      </c>
      <c r="E1" t="s">
        <v>8307</v>
      </c>
      <c r="F1" t="s">
        <v>8382</v>
      </c>
    </row>
    <row r="2" spans="1:6" ht="62" customHeight="1" x14ac:dyDescent="0.2">
      <c r="A2" t="s">
        <v>3473</v>
      </c>
      <c r="B2" s="18" t="str">
        <f>VLOOKUP(A2, Kickstarter_Challenge.xlsx!B:C,2, FALSE)</f>
        <v>Help us get actor-writer Ian Bonar's debut play - a hilarious, heartbreaking story of grief and loss - to the 2016 Edinburgh Fringe.</v>
      </c>
      <c r="C2">
        <f>VLOOKUP(A2, Kickstarter_Challenge.xlsx!B:E,3, FALSE)</f>
        <v>2000</v>
      </c>
      <c r="D2">
        <f>VLOOKUP(A2, Kickstarter_Challenge.xlsx!B:E,4, FALSE)</f>
        <v>2020</v>
      </c>
      <c r="E2">
        <f>VLOOKUP(A2, Kickstarter_Challenge.xlsx!B:P,15, FALSE)</f>
        <v>51.79</v>
      </c>
      <c r="F2">
        <f>VLOOKUP(A2, Kickstarter_Challenge.xlsx!B:L,11, FALSE)</f>
        <v>39</v>
      </c>
    </row>
    <row r="3" spans="1:6" ht="56" customHeight="1" x14ac:dyDescent="0.2">
      <c r="A3" t="s">
        <v>3616</v>
      </c>
      <c r="B3" s="18" t="str">
        <f>VLOOKUP(A3, Kickstarter_Challenge.xlsx!B:C,2, FALSE)</f>
        <v>The play yet to be described as "A surefire Edinburgh Fringe Festival Cult Hit". Coming to the Underbelly, Edinburgh, 5th-30th August.</v>
      </c>
      <c r="C3">
        <f>VLOOKUP(A3, Kickstarter_Challenge.xlsx!B:E,3, FALSE)</f>
        <v>2000</v>
      </c>
      <c r="D3">
        <f>VLOOKUP(A3, Kickstarter_Challenge.xlsx!B:E,4, FALSE)</f>
        <v>2020</v>
      </c>
      <c r="E3">
        <f>VLOOKUP(A3, Kickstarter_Challenge.xlsx!B:P,15, FALSE)</f>
        <v>36.07</v>
      </c>
      <c r="F3">
        <f>VLOOKUP(A3, Kickstarter_Challenge.xlsx!B:L,11, FALSE)</f>
        <v>56</v>
      </c>
    </row>
    <row r="4" spans="1:6" ht="64" x14ac:dyDescent="0.2">
      <c r="A4" t="s">
        <v>3178</v>
      </c>
      <c r="B4" s="18" t="str">
        <f>VLOOKUP(A4, Kickstarter_Challenge.xlsx!B:C,2, FALSE)</f>
        <v>Cutting Off Kate Bush is a one-woman show written &amp; performed by Lucy Benson-Brown, premiering at the Edinburgh Fringe Festival 2014</v>
      </c>
      <c r="C4">
        <f>VLOOKUP(A4, Kickstarter_Challenge.xlsx!B:E,3, FALSE)</f>
        <v>1500</v>
      </c>
      <c r="D4">
        <f>VLOOKUP(A4, Kickstarter_Challenge.xlsx!B:E,4, FALSE)</f>
        <v>2576</v>
      </c>
      <c r="E4">
        <f>VLOOKUP(A4, Kickstarter_Challenge.xlsx!B:P,15, FALSE)</f>
        <v>33.03</v>
      </c>
      <c r="F4">
        <f>VLOOKUP(A4, Kickstarter_Challenge.xlsx!B:L,11, FALSE)</f>
        <v>78</v>
      </c>
    </row>
    <row r="5" spans="1:6" ht="48" x14ac:dyDescent="0.2">
      <c r="A5" t="s">
        <v>3329</v>
      </c>
      <c r="B5" s="18" t="str">
        <f>VLOOKUP(A5, Kickstarter_Challenge.xlsx!B:C,2, FALSE)</f>
        <v>Jestia and Raedon is a brand new romantic comedy play going to the Edinburgh Fringe Festival this summer.</v>
      </c>
      <c r="C5">
        <f>VLOOKUP(A5, Kickstarter_Challenge.xlsx!B:E,3, FALSE)</f>
        <v>1000</v>
      </c>
      <c r="D5">
        <f>VLOOKUP(A5, Kickstarter_Challenge.xlsx!B:E,4, FALSE)</f>
        <v>1168</v>
      </c>
      <c r="E5">
        <f>VLOOKUP(A5, Kickstarter_Challenge.xlsx!B:P,15, FALSE)</f>
        <v>44.92</v>
      </c>
      <c r="F5">
        <f>VLOOKUP(A5, Kickstarter_Challenge.xlsx!B:L,11, FALSE)</f>
        <v>26</v>
      </c>
    </row>
    <row r="6" spans="1:6" ht="64" x14ac:dyDescent="0.2">
      <c r="A6" t="s">
        <v>3221</v>
      </c>
      <c r="B6" s="18" t="str">
        <f>VLOOKUP(A6, Kickstarter_Challenge.xlsx!B:C,2, FALSE)</f>
        <v>A one-man show about love, loss, and motorways, written &amp; performed by Ben Norris. Help us get to the 2015 Edinburgh Fringe and beyond!</v>
      </c>
      <c r="C6">
        <f>VLOOKUP(A6, Kickstarter_Challenge.xlsx!B:E,3, FALSE)</f>
        <v>4000</v>
      </c>
      <c r="D6">
        <f>VLOOKUP(A6, Kickstarter_Challenge.xlsx!B:E,4, FALSE)</f>
        <v>4137</v>
      </c>
      <c r="E6">
        <f>VLOOKUP(A6, Kickstarter_Challenge.xlsx!B:P,15, FALSE)</f>
        <v>36.61</v>
      </c>
      <c r="F6">
        <f>VLOOKUP(A6, Kickstarter_Challenge.xlsx!B:L,11,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368D4-9885-4046-BE80-212A8C351075}">
  <sheetPr codeName="Sheet9"/>
  <dimension ref="A1:F6"/>
  <sheetViews>
    <sheetView zoomScale="190" zoomScaleNormal="190" workbookViewId="0">
      <selection activeCell="F7" sqref="F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9.6640625" bestFit="1" customWidth="1"/>
    <col min="12" max="12" width="8.83203125" bestFit="1" customWidth="1"/>
    <col min="13" max="13" width="10.1640625" bestFit="1" customWidth="1"/>
    <col min="14" max="14" width="12.83203125" bestFit="1" customWidth="1"/>
    <col min="15" max="15" width="13.5" bestFit="1" customWidth="1"/>
    <col min="16" max="16" width="9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4.5" bestFit="1" customWidth="1"/>
    <col min="22" max="22" width="8.83203125" bestFit="1" customWidth="1"/>
    <col min="23" max="23" width="15.1640625" bestFit="1" customWidth="1"/>
    <col min="24" max="24" width="12.5" bestFit="1" customWidth="1"/>
    <col min="25" max="25" width="5.5" bestFit="1" customWidth="1"/>
    <col min="26" max="26" width="8.83203125" bestFit="1" customWidth="1"/>
    <col min="27" max="28" width="13.3320312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10.332031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AD348-1292-9F44-BD0C-8541C0D2AB12}">
  <sheetPr codeName="Sheet10"/>
  <dimension ref="A1:E7"/>
  <sheetViews>
    <sheetView zoomScale="140" zoomScaleNormal="140" workbookViewId="0">
      <selection activeCell="F8" sqref="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42DEB-F782-FB45-AC24-06FF59F65514}">
  <sheetPr codeName="Sheet11"/>
  <dimension ref="A3:F20"/>
  <sheetViews>
    <sheetView zoomScale="130" zoomScaleNormal="130" workbookViewId="0">
      <selection activeCell="E26" sqref="E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2" t="s">
        <v>8358</v>
      </c>
      <c r="B3" t="s">
        <v>8315</v>
      </c>
    </row>
    <row r="4" spans="1:6" x14ac:dyDescent="0.2">
      <c r="A4" s="12" t="s">
        <v>8379</v>
      </c>
      <c r="B4" t="s">
        <v>8364</v>
      </c>
    </row>
    <row r="6" spans="1:6" x14ac:dyDescent="0.2">
      <c r="A6" s="12" t="s">
        <v>8363</v>
      </c>
      <c r="B6" s="12" t="s">
        <v>8360</v>
      </c>
    </row>
    <row r="7" spans="1:6" x14ac:dyDescent="0.2">
      <c r="A7" s="12" t="s">
        <v>8362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2">
      <c r="A8" s="17" t="s">
        <v>8367</v>
      </c>
      <c r="B8" s="14">
        <v>7</v>
      </c>
      <c r="C8" s="14">
        <v>33</v>
      </c>
      <c r="D8" s="14">
        <v>2</v>
      </c>
      <c r="E8" s="14">
        <v>56</v>
      </c>
      <c r="F8" s="14">
        <v>98</v>
      </c>
    </row>
    <row r="9" spans="1:6" x14ac:dyDescent="0.2">
      <c r="A9" s="17" t="s">
        <v>8374</v>
      </c>
      <c r="B9" s="14">
        <v>3</v>
      </c>
      <c r="C9" s="14">
        <v>39</v>
      </c>
      <c r="D9" s="14">
        <v>8</v>
      </c>
      <c r="E9" s="14">
        <v>71</v>
      </c>
      <c r="F9" s="14">
        <v>121</v>
      </c>
    </row>
    <row r="10" spans="1:6" x14ac:dyDescent="0.2">
      <c r="A10" s="17" t="s">
        <v>8375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">
      <c r="A11" s="17" t="s">
        <v>8376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">
      <c r="A12" s="17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2">
      <c r="A13" s="17" t="s">
        <v>8377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2">
      <c r="A14" s="17" t="s">
        <v>8369</v>
      </c>
      <c r="B14" s="14">
        <v>1</v>
      </c>
      <c r="C14" s="14">
        <v>50</v>
      </c>
      <c r="D14" s="14"/>
      <c r="E14" s="14">
        <v>87</v>
      </c>
      <c r="F14" s="14">
        <v>138</v>
      </c>
    </row>
    <row r="15" spans="1:6" x14ac:dyDescent="0.2">
      <c r="A15" s="17" t="s">
        <v>8370</v>
      </c>
      <c r="B15" s="14">
        <v>4</v>
      </c>
      <c r="C15" s="14">
        <v>47</v>
      </c>
      <c r="D15" s="14"/>
      <c r="E15" s="14">
        <v>72</v>
      </c>
      <c r="F15" s="14">
        <v>123</v>
      </c>
    </row>
    <row r="16" spans="1:6" x14ac:dyDescent="0.2">
      <c r="A16" s="17" t="s">
        <v>8371</v>
      </c>
      <c r="B16" s="14">
        <v>4</v>
      </c>
      <c r="C16" s="14">
        <v>34</v>
      </c>
      <c r="D16" s="14"/>
      <c r="E16" s="14">
        <v>59</v>
      </c>
      <c r="F16" s="14">
        <v>97</v>
      </c>
    </row>
    <row r="17" spans="1:6" x14ac:dyDescent="0.2">
      <c r="A17" s="17" t="s">
        <v>8372</v>
      </c>
      <c r="B17" s="14"/>
      <c r="C17" s="14">
        <v>50</v>
      </c>
      <c r="D17" s="14"/>
      <c r="E17" s="14">
        <v>65</v>
      </c>
      <c r="F17" s="14">
        <v>115</v>
      </c>
    </row>
    <row r="18" spans="1:6" x14ac:dyDescent="0.2">
      <c r="A18" s="17" t="s">
        <v>8373</v>
      </c>
      <c r="B18" s="14">
        <v>3</v>
      </c>
      <c r="C18" s="14">
        <v>31</v>
      </c>
      <c r="D18" s="14"/>
      <c r="E18" s="14">
        <v>54</v>
      </c>
      <c r="F18" s="14">
        <v>88</v>
      </c>
    </row>
    <row r="19" spans="1:6" x14ac:dyDescent="0.2">
      <c r="A19" s="17" t="s">
        <v>8378</v>
      </c>
      <c r="B19" s="14">
        <v>3</v>
      </c>
      <c r="C19" s="14">
        <v>35</v>
      </c>
      <c r="D19" s="14"/>
      <c r="E19" s="14">
        <v>37</v>
      </c>
      <c r="F19" s="14">
        <v>75</v>
      </c>
    </row>
    <row r="20" spans="1:6" x14ac:dyDescent="0.2">
      <c r="A20" s="17" t="s">
        <v>8361</v>
      </c>
      <c r="B20" s="14">
        <v>37</v>
      </c>
      <c r="C20" s="14">
        <v>493</v>
      </c>
      <c r="D20" s="14">
        <v>24</v>
      </c>
      <c r="E20" s="14">
        <v>839</v>
      </c>
      <c r="F20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Kickstarter_Challenge.xlsx</vt:lpstr>
      <vt:lpstr>Theater Outcomes by Launch Date</vt:lpstr>
      <vt:lpstr>Outcomes Based on Goal</vt:lpstr>
      <vt:lpstr>Discriptive Statistic</vt:lpstr>
      <vt:lpstr>Edinburg Research</vt:lpstr>
      <vt:lpstr>Category Statistics</vt:lpstr>
      <vt:lpstr>Subcategor Statistic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 ZHOU</cp:lastModifiedBy>
  <dcterms:created xsi:type="dcterms:W3CDTF">2017-04-20T15:17:24Z</dcterms:created>
  <dcterms:modified xsi:type="dcterms:W3CDTF">2021-10-29T03:48:47Z</dcterms:modified>
</cp:coreProperties>
</file>