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" sheetId="1" r:id="rId4"/>
    <sheet state="visible" name="coh_e" sheetId="2" r:id="rId5"/>
    <sheet state="visible" name="new fit" sheetId="3" r:id="rId6"/>
    <sheet state="visible" name="coh_e_challenging" sheetId="4" r:id="rId7"/>
    <sheet state="visible" name="total" sheetId="5" r:id="rId8"/>
    <sheet state="visible" name="challenging" sheetId="6" r:id="rId9"/>
    <sheet state="visible" name="hf_comp_corr_check" sheetId="7" r:id="rId10"/>
    <sheet state="visible" name="ssos_corr" sheetId="8" r:id="rId11"/>
    <sheet state="visible" name="shell_e" sheetId="9" r:id="rId12"/>
    <sheet state="visible" name="MBE" sheetId="10" r:id="rId13"/>
    <sheet state="visible" name="relax_e" sheetId="11" r:id="rId14"/>
    <sheet state="visible" name="slides" sheetId="12" r:id="rId15"/>
    <sheet state="visible" name="test" sheetId="13" r:id="rId16"/>
    <sheet state="visible" name="dmcut_err" sheetId="14" r:id="rId17"/>
    <sheet state="visible" name="mp2_err" sheetId="15" r:id="rId18"/>
    <sheet state="visible" name="comp_corr_check" sheetId="16" r:id="rId19"/>
    <sheet state="visible" name="comp_corr_check2" sheetId="17" r:id="rId20"/>
    <sheet state="visible" name="df-fit_err_check" sheetId="18" r:id="rId21"/>
    <sheet state="visible" name="dmcut_scf_check" sheetId="19" r:id="rId22"/>
    <sheet state="visible" name="core_corr_check" sheetId="20" r:id="rId23"/>
  </sheets>
  <definedNames/>
  <calcPr/>
</workbook>
</file>

<file path=xl/sharedStrings.xml><?xml version="1.0" encoding="utf-8"?>
<sst xmlns="http://schemas.openxmlformats.org/spreadsheetml/2006/main" count="1775" uniqueCount="202">
  <si>
    <t>molecule</t>
  </si>
  <si>
    <t>MW</t>
  </si>
  <si>
    <t>TBE</t>
  </si>
  <si>
    <t>PBE-D3</t>
  </si>
  <si>
    <t>PBE-TS</t>
  </si>
  <si>
    <t>PBE-MBD</t>
  </si>
  <si>
    <t>PBE-XDM</t>
  </si>
  <si>
    <t>MBE(SAPT)</t>
  </si>
  <si>
    <t>LMP2</t>
  </si>
  <si>
    <t>MBE(CCSDT)</t>
  </si>
  <si>
    <t>MBE(MP2)</t>
  </si>
  <si>
    <t>label</t>
  </si>
  <si>
    <t>acetic acid</t>
  </si>
  <si>
    <t>H-bond</t>
  </si>
  <si>
    <t>ammonia</t>
  </si>
  <si>
    <t>benzene</t>
  </si>
  <si>
    <t>disp</t>
  </si>
  <si>
    <t>carbon dioxide</t>
  </si>
  <si>
    <t>cyanamide</t>
  </si>
  <si>
    <t>ethyl carbamate</t>
  </si>
  <si>
    <t>formamide</t>
  </si>
  <si>
    <t>hexamine</t>
  </si>
  <si>
    <t>1,4-cyclohexanedione</t>
  </si>
  <si>
    <t>imidazole</t>
  </si>
  <si>
    <t>mix</t>
  </si>
  <si>
    <t>naphthalene</t>
  </si>
  <si>
    <t>oxalic acid alpha</t>
  </si>
  <si>
    <t>oxalic acid beta</t>
  </si>
  <si>
    <t>pyrazine</t>
  </si>
  <si>
    <t>succinic acid</t>
  </si>
  <si>
    <t>triazine</t>
  </si>
  <si>
    <t>urea</t>
  </si>
  <si>
    <t>adamantane</t>
  </si>
  <si>
    <t>anthracene</t>
  </si>
  <si>
    <t>cytosine</t>
  </si>
  <si>
    <t>pyrazole</t>
  </si>
  <si>
    <t>trioxane</t>
  </si>
  <si>
    <t>uracil</t>
  </si>
  <si>
    <t>n/cell</t>
  </si>
  <si>
    <t>basis</t>
  </si>
  <si>
    <t>hf_tdl</t>
  </si>
  <si>
    <t>corr_tdl</t>
  </si>
  <si>
    <t>mp2_tdl</t>
  </si>
  <si>
    <t>scs_tdl</t>
  </si>
  <si>
    <t>sos_tdl</t>
  </si>
  <si>
    <t>scs_mi_tdl</t>
  </si>
  <si>
    <t>acetic</t>
  </si>
  <si>
    <t>dz</t>
  </si>
  <si>
    <t>tz</t>
  </si>
  <si>
    <t>qz</t>
  </si>
  <si>
    <t>cbs</t>
  </si>
  <si>
    <t>CO2</t>
  </si>
  <si>
    <t>ethcar</t>
  </si>
  <si>
    <t>hexdio</t>
  </si>
  <si>
    <t>naph</t>
  </si>
  <si>
    <t>oxaca</t>
  </si>
  <si>
    <t>oxacb</t>
  </si>
  <si>
    <t>succinic</t>
  </si>
  <si>
    <t>hyscs</t>
  </si>
  <si>
    <t>hyscs corr</t>
  </si>
  <si>
    <t>ss tdl</t>
  </si>
  <si>
    <t>os tdl</t>
  </si>
  <si>
    <t>sanity check</t>
  </si>
  <si>
    <t>coeff ss/os</t>
  </si>
  <si>
    <t>RMSE</t>
  </si>
  <si>
    <t>MAE</t>
  </si>
  <si>
    <t>MAX</t>
  </si>
  <si>
    <t>MaxABS</t>
  </si>
  <si>
    <t>adaman</t>
  </si>
  <si>
    <t>nk1_-1</t>
  </si>
  <si>
    <t>nk2_-1</t>
  </si>
  <si>
    <t>hfk1</t>
  </si>
  <si>
    <t>hfk2</t>
  </si>
  <si>
    <t>ssk1</t>
  </si>
  <si>
    <t>ssk2</t>
  </si>
  <si>
    <t>ss_tdl</t>
  </si>
  <si>
    <t>osk1</t>
  </si>
  <si>
    <t>osk2</t>
  </si>
  <si>
    <t>os_tdl</t>
  </si>
  <si>
    <t>hf_DeltaDZ</t>
  </si>
  <si>
    <t>ss_DeltaDZ</t>
  </si>
  <si>
    <t>os_DeltaDZ</t>
  </si>
  <si>
    <t>1/X^3</t>
  </si>
  <si>
    <t>os</t>
  </si>
  <si>
    <t>ss</t>
  </si>
  <si>
    <t>tot</t>
  </si>
  <si>
    <t>Elat</t>
  </si>
  <si>
    <t>Emol</t>
  </si>
  <si>
    <t>Erelax</t>
  </si>
  <si>
    <t>Ecoh no relax</t>
  </si>
  <si>
    <t>Ecoh relax</t>
  </si>
  <si>
    <t>imdazole</t>
  </si>
  <si>
    <t>nk</t>
  </si>
  <si>
    <t>hf</t>
  </si>
  <si>
    <t>Delta_E</t>
  </si>
  <si>
    <t>hfkopt</t>
  </si>
  <si>
    <t xml:space="preserve">err </t>
  </si>
  <si>
    <t>ss @ tdl</t>
  </si>
  <si>
    <t>os @ tdl</t>
  </si>
  <si>
    <t>corr (ss+os)</t>
  </si>
  <si>
    <t>scs corr (0.333ss+1.2os)</t>
  </si>
  <si>
    <t>sos corr (1.3os+0ss)</t>
  </si>
  <si>
    <t>scs_mi_corr(1.29ss+0.4os)</t>
  </si>
  <si>
    <t>ss+os</t>
  </si>
  <si>
    <t>scs_corr</t>
  </si>
  <si>
    <t>sos_corr</t>
  </si>
  <si>
    <t>scs_mi_corr</t>
  </si>
  <si>
    <t>hf+ss+os</t>
  </si>
  <si>
    <t>kj/mol</t>
  </si>
  <si>
    <t>MP2</t>
  </si>
  <si>
    <t>MBE</t>
  </si>
  <si>
    <t>-(MBE+relax)</t>
  </si>
  <si>
    <t>err(MBE-MP2)</t>
  </si>
  <si>
    <t>err(MBE+relax-MP2)</t>
  </si>
  <si>
    <t>MP2 (kJ/mol)</t>
  </si>
  <si>
    <t>MP2 corr</t>
  </si>
  <si>
    <t>SCS</t>
  </si>
  <si>
    <t>SOS</t>
  </si>
  <si>
    <t>SCS-MI</t>
  </si>
  <si>
    <t>Method</t>
  </si>
  <si>
    <t>Distance to convergence with MBE* (Angstrom)</t>
  </si>
  <si>
    <t>Molecule</t>
  </si>
  <si>
    <t>Elst</t>
  </si>
  <si>
    <t>Exch</t>
  </si>
  <si>
    <t>Ind</t>
  </si>
  <si>
    <t>Disp</t>
  </si>
  <si>
    <t>MP2_err</t>
  </si>
  <si>
    <t>Anthracene</t>
  </si>
  <si>
    <t>Oxacb</t>
  </si>
  <si>
    <t>Cytosine</t>
  </si>
  <si>
    <t>Oxaca</t>
  </si>
  <si>
    <t>Naph</t>
  </si>
  <si>
    <t>Uracil</t>
  </si>
  <si>
    <t>s_ss</t>
  </si>
  <si>
    <t>s_os</t>
  </si>
  <si>
    <t>HF</t>
  </si>
  <si>
    <t>MP2/cc-pvXZ</t>
  </si>
  <si>
    <t>MP2/def2-XZVP</t>
  </si>
  <si>
    <t>SCSMI</t>
  </si>
  <si>
    <t>sos_mi_corr</t>
  </si>
  <si>
    <t>molecule/dmcut</t>
  </si>
  <si>
    <t>hfk3</t>
  </si>
  <si>
    <t>hfk4</t>
  </si>
  <si>
    <t>hfk5</t>
  </si>
  <si>
    <t>hfk6</t>
  </si>
  <si>
    <t>QZ_storage_min_TDL</t>
  </si>
  <si>
    <t>note:</t>
  </si>
  <si>
    <t>might need rerun</t>
  </si>
  <si>
    <t>0.00</t>
  </si>
  <si>
    <t>k1</t>
  </si>
  <si>
    <t>k2</t>
  </si>
  <si>
    <t>k3</t>
  </si>
  <si>
    <t>k4</t>
  </si>
  <si>
    <t>k5</t>
  </si>
  <si>
    <t>note: units in kj/mol, cyan for kmesh to use</t>
  </si>
  <si>
    <t>molecule/ewald_mp2</t>
  </si>
  <si>
    <t>tdl</t>
  </si>
  <si>
    <t>min_ks</t>
  </si>
  <si>
    <t>min_ks_err (kJ/mol)</t>
  </si>
  <si>
    <t>132/243</t>
  </si>
  <si>
    <t>111/222</t>
  </si>
  <si>
    <t>222/333</t>
  </si>
  <si>
    <t>121/242</t>
  </si>
  <si>
    <t>113/226</t>
  </si>
  <si>
    <t>111/212</t>
  </si>
  <si>
    <t>311/622</t>
  </si>
  <si>
    <t>123/234</t>
  </si>
  <si>
    <t>mp2_tdl_comp:</t>
  </si>
  <si>
    <t>err (KJ/mol):</t>
  </si>
  <si>
    <t>ammonia/dz</t>
  </si>
  <si>
    <t>hf_dmcut(222)</t>
  </si>
  <si>
    <t>shell</t>
  </si>
  <si>
    <t>coh</t>
  </si>
  <si>
    <t>coh_err</t>
  </si>
  <si>
    <t>ewald_coh</t>
  </si>
  <si>
    <t>shell_dz-jkfit</t>
  </si>
  <si>
    <t>shell_tz-jkfit</t>
  </si>
  <si>
    <t>shell_qz-jkfit</t>
  </si>
  <si>
    <t>CO2/dz</t>
  </si>
  <si>
    <t>dz-jkfit</t>
  </si>
  <si>
    <t>tz-jkfit</t>
  </si>
  <si>
    <t>qz-jkfit</t>
  </si>
  <si>
    <t>Urea/dz</t>
  </si>
  <si>
    <t>hf_dmcut(333)</t>
  </si>
  <si>
    <t xml:space="preserve">molecule </t>
  </si>
  <si>
    <t>ewald_111</t>
  </si>
  <si>
    <t>ewald_222</t>
  </si>
  <si>
    <t>ewald_333</t>
  </si>
  <si>
    <t>ewald_tdl</t>
  </si>
  <si>
    <t>dmcut_111</t>
  </si>
  <si>
    <t>dmcut_222</t>
  </si>
  <si>
    <t>dmcut_333 (tdl)</t>
  </si>
  <si>
    <t>tdl_err (kJ/mol)</t>
  </si>
  <si>
    <t>222_err (kJ/mol)</t>
  </si>
  <si>
    <t>111_err(kJ/mol)</t>
  </si>
  <si>
    <t>hexamine (tz-jkfit)</t>
  </si>
  <si>
    <t>oxcab</t>
  </si>
  <si>
    <t>molecule/corr</t>
  </si>
  <si>
    <t>tdl_nfc</t>
  </si>
  <si>
    <t>tdl_pcvdz</t>
  </si>
  <si>
    <t>err_nfc (kJ/mol)</t>
  </si>
  <si>
    <t>err_pcvdz (kJ/mol)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</si>
</sst>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"/>
    <numFmt numFmtId="165" formatCode="0.000"/>
    <numFmt numFmtId="166" formatCode="0.000000000000"/>
    <numFmt numFmtId="167" formatCode="0.000000000"/>
    <numFmt numFmtId="168" formatCode="0.0000"/>
    <numFmt numFmtId="169" formatCode="0.00000000"/>
    <numFmt numFmtId="170" formatCode="0.00000"/>
    <numFmt numFmtId="171" formatCode="0.00000000000"/>
    <numFmt numFmtId="172" formatCode="0.0000000"/>
    <numFmt numFmtId="173" formatCode="0.000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sz val="11.0"/>
      <color rgb="FF000000"/>
      <name val="Inconsolata"/>
    </font>
    <font>
      <sz val="9.0"/>
      <color rgb="FF839496"/>
      <name val="Menlo"/>
    </font>
    <font>
      <sz val="11.0"/>
      <color rgb="FF000000"/>
      <name val="Arial"/>
      <scheme val="minor"/>
    </font>
    <font>
      <sz val="11.0"/>
      <color rgb="FF000000"/>
      <name val="Menlo"/>
    </font>
    <font>
      <sz val="8.0"/>
      <color rgb="FF000000"/>
      <name val="&quot;Helvetica Neue&quot;"/>
    </font>
    <font>
      <sz val="10.0"/>
      <color theme="1"/>
      <name val="Arial"/>
    </font>
    <font>
      <color rgb="FF000000"/>
      <name val="Arial"/>
    </font>
    <font>
      <sz val="10.0"/>
      <color theme="1"/>
      <name val="Arial"/>
      <scheme val="minor"/>
    </font>
    <font>
      <sz val="11.0"/>
      <color theme="1"/>
      <name val="Inconsolata"/>
    </font>
    <font>
      <b/>
      <color theme="1"/>
      <name val="Arial"/>
      <scheme val="minor"/>
    </font>
    <font>
      <sz val="11.0"/>
      <color rgb="FF1155CC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2" xfId="0" applyAlignment="1" applyFont="1" applyNumberFormat="1">
      <alignment vertical="bottom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0" numFmtId="2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166" xfId="0" applyAlignment="1" applyFill="1" applyFont="1" applyNumberFormat="1">
      <alignment readingOrder="0"/>
    </xf>
    <xf borderId="0" fillId="0" fontId="1" numFmtId="166" xfId="0" applyFont="1" applyNumberFormat="1"/>
    <xf borderId="0" fillId="0" fontId="3" numFmtId="166" xfId="0" applyAlignment="1" applyFont="1" applyNumberFormat="1">
      <alignment readingOrder="0"/>
    </xf>
    <xf borderId="0" fillId="3" fontId="1" numFmtId="166" xfId="0" applyFill="1" applyFont="1" applyNumberFormat="1"/>
    <xf borderId="0" fillId="0" fontId="2" numFmtId="0" xfId="0" applyAlignment="1" applyFont="1">
      <alignment horizontal="right" vertical="bottom"/>
    </xf>
    <xf borderId="0" fillId="4" fontId="4" numFmtId="0" xfId="0" applyFill="1" applyFont="1"/>
    <xf borderId="0" fillId="0" fontId="1" numFmtId="167" xfId="0" applyAlignment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3" fontId="1" numFmtId="167" xfId="0" applyFont="1" applyNumberFormat="1"/>
    <xf borderId="0" fillId="3" fontId="1" numFmtId="0" xfId="0" applyAlignment="1" applyFont="1">
      <alignment readingOrder="0"/>
    </xf>
    <xf borderId="0" fillId="0" fontId="1" numFmtId="167" xfId="0" applyFont="1" applyNumberFormat="1"/>
    <xf borderId="0" fillId="4" fontId="4" numFmtId="167" xfId="0" applyFont="1" applyNumberFormat="1"/>
    <xf borderId="0" fillId="3" fontId="4" numFmtId="167" xfId="0" applyFont="1" applyNumberFormat="1"/>
    <xf borderId="0" fillId="5" fontId="1" numFmtId="166" xfId="0" applyFill="1" applyFont="1" applyNumberFormat="1"/>
    <xf borderId="0" fillId="0" fontId="4" numFmtId="167" xfId="0" applyFont="1" applyNumberFormat="1"/>
    <xf borderId="0" fillId="0" fontId="6" numFmtId="167" xfId="0" applyAlignment="1" applyFont="1" applyNumberFormat="1">
      <alignment readingOrder="0"/>
    </xf>
    <xf borderId="0" fillId="0" fontId="6" numFmtId="167" xfId="0" applyFont="1" applyNumberFormat="1"/>
    <xf borderId="0" fillId="0" fontId="7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5" numFmtId="167" xfId="0" applyFont="1" applyNumberFormat="1"/>
    <xf borderId="0" fillId="0" fontId="1" numFmtId="1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2" numFmtId="168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readingOrder="0" vertical="bottom"/>
    </xf>
    <xf borderId="0" fillId="4" fontId="0" numFmtId="167" xfId="0" applyAlignment="1" applyFont="1" applyNumberFormat="1">
      <alignment readingOrder="0"/>
    </xf>
    <xf borderId="0" fillId="0" fontId="2" numFmtId="2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4" fontId="0" numFmtId="167" xfId="0" applyFont="1" applyNumberFormat="1"/>
    <xf borderId="0" fillId="0" fontId="2" numFmtId="2" xfId="0" applyAlignment="1" applyFont="1" applyNumberFormat="1">
      <alignment horizontal="right" readingOrder="0" vertical="bottom"/>
    </xf>
    <xf borderId="0" fillId="0" fontId="3" numFmtId="2" xfId="0" applyAlignment="1" applyFont="1" applyNumberFormat="1">
      <alignment readingOrder="0"/>
    </xf>
    <xf borderId="0" fillId="0" fontId="1" numFmtId="1" xfId="0" applyFont="1" applyNumberFormat="1"/>
    <xf borderId="0" fillId="0" fontId="2" numFmtId="1" xfId="0" applyAlignment="1" applyFont="1" applyNumberFormat="1">
      <alignment horizontal="right" vertical="bottom"/>
    </xf>
    <xf borderId="0" fillId="4" fontId="0" numFmtId="2" xfId="0" applyFont="1" applyNumberFormat="1"/>
    <xf borderId="0" fillId="0" fontId="9" numFmtId="2" xfId="0" applyAlignment="1" applyFont="1" applyNumberFormat="1">
      <alignment horizontal="right" vertical="bottom"/>
    </xf>
    <xf borderId="0" fillId="3" fontId="1" numFmtId="2" xfId="0" applyFont="1" applyNumberFormat="1"/>
    <xf borderId="0" fillId="0" fontId="1" numFmtId="169" xfId="0" applyAlignment="1" applyFont="1" applyNumberFormat="1">
      <alignment readingOrder="0"/>
    </xf>
    <xf borderId="0" fillId="0" fontId="1" numFmtId="169" xfId="0" applyFont="1" applyNumberFormat="1"/>
    <xf borderId="0" fillId="0" fontId="1" numFmtId="170" xfId="0" applyFont="1" applyNumberFormat="1"/>
    <xf borderId="0" fillId="0" fontId="0" numFmtId="166" xfId="0" applyAlignment="1" applyFont="1" applyNumberFormat="1">
      <alignment readingOrder="0"/>
    </xf>
    <xf borderId="0" fillId="4" fontId="10" numFmtId="166" xfId="0" applyAlignment="1" applyFont="1" applyNumberFormat="1">
      <alignment horizontal="left" readingOrder="0"/>
    </xf>
    <xf borderId="0" fillId="0" fontId="11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1" numFmtId="165" xfId="0" applyFont="1" applyNumberFormat="1"/>
    <xf borderId="0" fillId="4" fontId="0" numFmtId="166" xfId="0" applyAlignment="1" applyFont="1" applyNumberFormat="1">
      <alignment readingOrder="0"/>
    </xf>
    <xf borderId="0" fillId="0" fontId="11" numFmtId="171" xfId="0" applyFont="1" applyNumberFormat="1"/>
    <xf borderId="0" fillId="0" fontId="11" numFmtId="2" xfId="0" applyFont="1" applyNumberFormat="1"/>
    <xf borderId="0" fillId="4" fontId="4" numFmtId="165" xfId="0" applyFont="1" applyNumberFormat="1"/>
    <xf borderId="0" fillId="4" fontId="0" numFmtId="166" xfId="0" applyFont="1" applyNumberFormat="1"/>
    <xf borderId="0" fillId="0" fontId="11" numFmtId="2" xfId="0" applyAlignment="1" applyFont="1" applyNumberFormat="1">
      <alignment readingOrder="0"/>
    </xf>
    <xf borderId="0" fillId="0" fontId="11" numFmtId="166" xfId="0" applyAlignment="1" applyFont="1" applyNumberFormat="1">
      <alignment vertical="bottom"/>
    </xf>
    <xf borderId="0" fillId="0" fontId="11" numFmtId="0" xfId="0" applyAlignment="1" applyFont="1">
      <alignment readingOrder="0"/>
    </xf>
    <xf borderId="0" fillId="4" fontId="11" numFmtId="166" xfId="0" applyAlignment="1" applyFont="1" applyNumberFormat="1">
      <alignment readingOrder="0" vertical="bottom"/>
    </xf>
    <xf borderId="0" fillId="0" fontId="11" numFmtId="165" xfId="0" applyAlignment="1" applyFont="1" applyNumberFormat="1">
      <alignment readingOrder="0" vertical="bottom"/>
    </xf>
    <xf borderId="0" fillId="0" fontId="11" numFmtId="1" xfId="0" applyAlignment="1" applyFont="1" applyNumberFormat="1">
      <alignment horizontal="right" vertical="bottom"/>
    </xf>
    <xf borderId="0" fillId="0" fontId="11" numFmtId="166" xfId="0" applyAlignment="1" applyFont="1" applyNumberFormat="1">
      <alignment horizontal="right" vertical="bottom"/>
    </xf>
    <xf borderId="0" fillId="4" fontId="11" numFmtId="166" xfId="0" applyAlignment="1" applyFont="1" applyNumberFormat="1">
      <alignment horizontal="right" vertical="bottom"/>
    </xf>
    <xf borderId="0" fillId="0" fontId="11" numFmtId="166" xfId="0" applyFont="1" applyNumberFormat="1"/>
    <xf borderId="0" fillId="4" fontId="11" numFmtId="166" xfId="0" applyFont="1" applyNumberFormat="1"/>
    <xf borderId="0" fillId="0" fontId="0" numFmtId="164" xfId="0" applyAlignment="1" applyFont="1" applyNumberFormat="1">
      <alignment readingOrder="0"/>
    </xf>
    <xf borderId="0" fillId="0" fontId="11" numFmtId="164" xfId="0" applyAlignment="1" applyFont="1" applyNumberFormat="1">
      <alignment readingOrder="0"/>
    </xf>
    <xf borderId="0" fillId="4" fontId="11" numFmtId="164" xfId="0" applyAlignment="1" applyFont="1" applyNumberFormat="1">
      <alignment horizontal="right" vertical="bottom"/>
    </xf>
    <xf borderId="0" fillId="0" fontId="1" numFmtId="164" xfId="0" applyFont="1" applyNumberFormat="1"/>
    <xf borderId="0" fillId="4" fontId="11" numFmtId="0" xfId="0" applyFont="1"/>
    <xf borderId="0" fillId="0" fontId="11" numFmtId="1" xfId="0" applyAlignment="1" applyFont="1" applyNumberFormat="1">
      <alignment readingOrder="0"/>
    </xf>
    <xf borderId="0" fillId="0" fontId="11" numFmtId="0" xfId="0" applyFont="1"/>
    <xf borderId="0" fillId="4" fontId="0" numFmtId="0" xfId="0" applyFont="1"/>
    <xf borderId="0" fillId="4" fontId="11" numFmtId="166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11" numFmtId="166" xfId="0" applyAlignment="1" applyFont="1" applyNumberFormat="1">
      <alignment horizontal="right" readingOrder="0" vertical="bottom"/>
    </xf>
    <xf borderId="0" fillId="0" fontId="2" numFmtId="169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4" fontId="12" numFmtId="165" xfId="0" applyAlignment="1" applyFont="1" applyNumberFormat="1">
      <alignment horizontal="right" vertical="bottom"/>
    </xf>
    <xf borderId="0" fillId="0" fontId="2" numFmtId="169" xfId="0" applyAlignment="1" applyFont="1" applyNumberFormat="1">
      <alignment vertical="bottom"/>
    </xf>
    <xf borderId="0" fillId="6" fontId="1" numFmtId="0" xfId="0" applyFill="1" applyFont="1"/>
    <xf borderId="0" fillId="0" fontId="13" numFmtId="0" xfId="0" applyAlignment="1" applyFont="1">
      <alignment readingOrder="0"/>
    </xf>
    <xf borderId="0" fillId="0" fontId="5" numFmtId="167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4" numFmtId="0" xfId="0" applyFont="1"/>
    <xf borderId="0" fillId="7" fontId="2" numFmtId="0" xfId="0" applyAlignment="1" applyFill="1" applyFont="1">
      <alignment vertical="bottom"/>
    </xf>
    <xf borderId="0" fillId="2" fontId="1" numFmtId="4" xfId="0" applyAlignment="1" applyFont="1" applyNumberFormat="1">
      <alignment readingOrder="0"/>
    </xf>
    <xf borderId="0" fillId="8" fontId="2" numFmtId="0" xfId="0" applyAlignment="1" applyFill="1" applyFont="1">
      <alignment vertical="bottom"/>
    </xf>
    <xf borderId="0" fillId="0" fontId="1" numFmtId="49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2" numFmtId="170" xfId="0" applyAlignment="1" applyFont="1" applyNumberFormat="1">
      <alignment horizontal="right" vertical="bottom"/>
    </xf>
    <xf borderId="0" fillId="3" fontId="2" numFmtId="170" xfId="0" applyAlignment="1" applyFont="1" applyNumberFormat="1">
      <alignment horizontal="right" vertical="bottom"/>
    </xf>
    <xf borderId="0" fillId="0" fontId="1" numFmtId="170" xfId="0" applyAlignment="1" applyFont="1" applyNumberFormat="1">
      <alignment readingOrder="0"/>
    </xf>
    <xf borderId="0" fillId="3" fontId="1" numFmtId="170" xfId="0" applyFont="1" applyNumberFormat="1"/>
    <xf borderId="0" fillId="9" fontId="2" numFmtId="2" xfId="0" applyAlignment="1" applyFill="1" applyFont="1" applyNumberFormat="1">
      <alignment horizontal="right" vertical="bottom"/>
    </xf>
    <xf borderId="0" fillId="9" fontId="1" numFmtId="2" xfId="0" applyFont="1" applyNumberFormat="1"/>
    <xf borderId="0" fillId="0" fontId="1" numFmtId="172" xfId="0" applyAlignment="1" applyFont="1" applyNumberFormat="1">
      <alignment readingOrder="0"/>
    </xf>
    <xf borderId="0" fillId="0" fontId="1" numFmtId="172" xfId="0" applyFont="1" applyNumberFormat="1"/>
    <xf borderId="0" fillId="0" fontId="1" numFmtId="173" xfId="0" applyFont="1" applyNumberFormat="1"/>
    <xf borderId="0" fillId="0" fontId="5" numFmtId="0" xfId="0" applyAlignment="1" applyFont="1">
      <alignment readingOrder="0"/>
    </xf>
    <xf borderId="0" fillId="4" fontId="0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os, s_ss and s_os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slides!$I$23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slides!$I$24:$I$27</c:f>
              <c:numCache/>
            </c:numRef>
          </c:val>
          <c:smooth val="0"/>
        </c:ser>
        <c:ser>
          <c:idx val="1"/>
          <c:order val="1"/>
          <c:tx>
            <c:strRef>
              <c:f>slides!$J$23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slides!$J$24:$J$27</c:f>
              <c:numCache/>
            </c:numRef>
          </c:val>
          <c:smooth val="0"/>
        </c:ser>
        <c:ser>
          <c:idx val="2"/>
          <c:order val="2"/>
          <c:tx>
            <c:strRef>
              <c:f>slides!$K$23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slides!$K$24:$K$27</c:f>
              <c:numCache/>
            </c:numRef>
          </c:val>
          <c:smooth val="0"/>
        </c:ser>
        <c:ser>
          <c:idx val="3"/>
          <c:order val="3"/>
          <c:tx>
            <c:strRef>
              <c:f>slides!$H$23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slides!$H$24:$H$27</c:f>
              <c:numCache/>
            </c:numRef>
          </c:val>
          <c:smooth val="0"/>
        </c:ser>
        <c:axId val="376363926"/>
        <c:axId val="174801123"/>
      </c:lineChart>
      <c:catAx>
        <c:axId val="376363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01123"/>
      </c:catAx>
      <c:valAx>
        <c:axId val="174801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363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609600</xdr:colOff>
      <xdr:row>10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 t="s">
        <v>12</v>
      </c>
      <c r="B2" s="1">
        <v>60.052</v>
      </c>
      <c r="C2" s="1">
        <v>73.6</v>
      </c>
      <c r="D2" s="1">
        <v>74.52</v>
      </c>
      <c r="E2" s="1">
        <v>72.8</v>
      </c>
      <c r="F2" s="1">
        <v>78.3</v>
      </c>
      <c r="G2" s="4">
        <v>72.86018</v>
      </c>
      <c r="H2" s="1">
        <v>85.4</v>
      </c>
      <c r="I2" s="1">
        <v>61.2</v>
      </c>
      <c r="J2" s="1">
        <v>75.51</v>
      </c>
      <c r="K2" s="5">
        <f>J2-10.726</f>
        <v>64.784</v>
      </c>
      <c r="L2" s="1" t="s">
        <v>13</v>
      </c>
    </row>
    <row r="3">
      <c r="A3" s="6" t="s">
        <v>14</v>
      </c>
      <c r="B3" s="1">
        <v>17.031</v>
      </c>
      <c r="C3" s="1">
        <v>38.7</v>
      </c>
      <c r="D3" s="1">
        <v>43.07</v>
      </c>
      <c r="E3" s="1">
        <v>45.4</v>
      </c>
      <c r="F3" s="1">
        <v>42.9</v>
      </c>
      <c r="G3" s="4">
        <v>40.9279</v>
      </c>
      <c r="H3" s="1">
        <v>34.6</v>
      </c>
      <c r="I3" s="1">
        <v>31.4</v>
      </c>
      <c r="J3" s="1">
        <v>36.38</v>
      </c>
      <c r="K3" s="5">
        <f>J3-6.29</f>
        <v>30.09</v>
      </c>
      <c r="L3" s="1" t="s">
        <v>13</v>
      </c>
    </row>
    <row r="4">
      <c r="A4" s="3" t="s">
        <v>15</v>
      </c>
      <c r="B4" s="1">
        <v>78.11</v>
      </c>
      <c r="C4" s="1">
        <v>54.8</v>
      </c>
      <c r="D4" s="1">
        <v>55.56</v>
      </c>
      <c r="E4" s="1">
        <v>67.12</v>
      </c>
      <c r="F4" s="1">
        <v>54.72</v>
      </c>
      <c r="G4" s="4">
        <v>49.86</v>
      </c>
      <c r="H4" s="1">
        <v>70.9</v>
      </c>
      <c r="I4" s="1">
        <v>57.7</v>
      </c>
      <c r="J4" s="1">
        <v>57.99</v>
      </c>
      <c r="K4" s="1">
        <v>64.43</v>
      </c>
      <c r="L4" s="1" t="s">
        <v>16</v>
      </c>
    </row>
    <row r="5">
      <c r="A5" s="3" t="s">
        <v>17</v>
      </c>
      <c r="B5" s="1">
        <v>44.01</v>
      </c>
      <c r="C5" s="1">
        <v>29.4</v>
      </c>
      <c r="D5" s="1">
        <v>24.44</v>
      </c>
      <c r="E5" s="1">
        <v>25.2</v>
      </c>
      <c r="F5" s="1">
        <v>21.7</v>
      </c>
      <c r="G5" s="4">
        <v>24.3927</v>
      </c>
      <c r="H5" s="1">
        <v>34.5</v>
      </c>
      <c r="I5" s="1">
        <v>22.7</v>
      </c>
      <c r="J5" s="1">
        <v>30.11</v>
      </c>
      <c r="K5" s="5">
        <f>J5-5.205</f>
        <v>24.905</v>
      </c>
      <c r="L5" s="1" t="s">
        <v>16</v>
      </c>
    </row>
    <row r="6">
      <c r="A6" s="6" t="s">
        <v>18</v>
      </c>
      <c r="B6" s="1">
        <v>42.04</v>
      </c>
      <c r="C6" s="1">
        <v>81.5</v>
      </c>
      <c r="D6" s="1">
        <v>93.25</v>
      </c>
      <c r="E6" s="1">
        <v>94.3</v>
      </c>
      <c r="F6" s="1">
        <v>94.3</v>
      </c>
      <c r="G6" s="4">
        <v>89.44555</v>
      </c>
      <c r="H6" s="1">
        <v>83.9</v>
      </c>
      <c r="I6" s="1">
        <v>77.8</v>
      </c>
      <c r="J6" s="1">
        <v>77.56</v>
      </c>
      <c r="K6" s="5">
        <f>J6-4.255</f>
        <v>73.305</v>
      </c>
      <c r="L6" s="1" t="s">
        <v>13</v>
      </c>
    </row>
    <row r="7">
      <c r="A7" s="3" t="s">
        <v>19</v>
      </c>
      <c r="B7" s="1">
        <v>89.09</v>
      </c>
      <c r="C7" s="1">
        <v>88.2</v>
      </c>
      <c r="D7" s="1">
        <v>87.95</v>
      </c>
      <c r="E7" s="1">
        <v>99.2</v>
      </c>
      <c r="F7" s="1">
        <v>92.1</v>
      </c>
      <c r="G7" s="4">
        <v>85.15277</v>
      </c>
      <c r="H7" s="1">
        <v>86.1</v>
      </c>
      <c r="I7" s="1">
        <v>73.7</v>
      </c>
      <c r="J7" s="1">
        <v>82.04</v>
      </c>
      <c r="K7" s="5">
        <f>J7-10.792</f>
        <v>71.248</v>
      </c>
      <c r="L7" s="1" t="s">
        <v>13</v>
      </c>
    </row>
    <row r="8">
      <c r="A8" s="6" t="s">
        <v>20</v>
      </c>
      <c r="B8" s="1">
        <v>45.04</v>
      </c>
      <c r="C8" s="1">
        <v>81.1</v>
      </c>
      <c r="D8" s="1">
        <v>82.13</v>
      </c>
      <c r="E8" s="1">
        <v>99.2</v>
      </c>
      <c r="F8" s="1">
        <v>82.8</v>
      </c>
      <c r="G8" s="4">
        <v>79.69265</v>
      </c>
      <c r="H8" s="1">
        <v>84.6</v>
      </c>
      <c r="I8" s="1">
        <v>74.5</v>
      </c>
      <c r="J8" s="1">
        <v>76.76</v>
      </c>
      <c r="K8" s="5">
        <f>J8-10.77</f>
        <v>65.99</v>
      </c>
      <c r="L8" s="1" t="s">
        <v>13</v>
      </c>
    </row>
    <row r="9">
      <c r="A9" s="6" t="s">
        <v>21</v>
      </c>
      <c r="B9" s="1">
        <v>140.186</v>
      </c>
      <c r="C9" s="1">
        <v>84.1</v>
      </c>
      <c r="D9" s="1">
        <v>86.17</v>
      </c>
      <c r="E9" s="1">
        <v>114.9</v>
      </c>
      <c r="F9" s="1">
        <v>86.9</v>
      </c>
      <c r="G9" s="4">
        <v>84.13606</v>
      </c>
      <c r="H9" s="1">
        <v>93.7</v>
      </c>
      <c r="J9" s="1">
        <v>87.13</v>
      </c>
      <c r="K9" s="5">
        <f>J9-4.151</f>
        <v>82.979</v>
      </c>
      <c r="L9" s="1" t="s">
        <v>13</v>
      </c>
    </row>
    <row r="10">
      <c r="A10" s="3" t="s">
        <v>22</v>
      </c>
      <c r="B10" s="1">
        <v>112.127</v>
      </c>
      <c r="C10" s="1">
        <v>90.0</v>
      </c>
      <c r="D10" s="1">
        <v>88.81</v>
      </c>
      <c r="E10" s="1">
        <v>105.9</v>
      </c>
      <c r="F10" s="1">
        <v>92.2</v>
      </c>
      <c r="G10" s="4">
        <v>85.34105</v>
      </c>
      <c r="H10" s="1">
        <v>114.1</v>
      </c>
      <c r="I10" s="1">
        <v>79.8</v>
      </c>
      <c r="J10" s="1">
        <v>97.97</v>
      </c>
      <c r="K10" s="5">
        <f>J10-9.546</f>
        <v>88.424</v>
      </c>
      <c r="L10" s="1" t="s">
        <v>16</v>
      </c>
    </row>
    <row r="11">
      <c r="A11" s="3" t="s">
        <v>23</v>
      </c>
      <c r="B11" s="1">
        <v>69.077</v>
      </c>
      <c r="C11" s="1">
        <v>90.4</v>
      </c>
      <c r="D11" s="1">
        <v>92.03</v>
      </c>
      <c r="E11" s="1">
        <v>101.9</v>
      </c>
      <c r="F11" s="1">
        <v>97.1</v>
      </c>
      <c r="G11" s="4">
        <v>89.59618</v>
      </c>
      <c r="H11" s="1">
        <v>106.2</v>
      </c>
      <c r="I11" s="1">
        <v>88.6</v>
      </c>
      <c r="J11" s="1">
        <v>93.3</v>
      </c>
      <c r="K11" s="5">
        <f>J11+1.271</f>
        <v>94.571</v>
      </c>
      <c r="L11" s="1" t="s">
        <v>24</v>
      </c>
    </row>
    <row r="12">
      <c r="A12" s="3" t="s">
        <v>25</v>
      </c>
      <c r="B12" s="1">
        <v>128.1705</v>
      </c>
      <c r="C12" s="1">
        <v>81.3</v>
      </c>
      <c r="D12" s="1">
        <v>80.11</v>
      </c>
      <c r="E12" s="1">
        <v>99.9</v>
      </c>
      <c r="F12" s="1">
        <v>99.9</v>
      </c>
      <c r="G12" s="4">
        <v>72.52127</v>
      </c>
      <c r="H12" s="1">
        <v>111.9</v>
      </c>
      <c r="I12" s="1">
        <v>91.5</v>
      </c>
      <c r="J12" s="1">
        <v>84.43</v>
      </c>
      <c r="K12" s="5">
        <f>J12+19.349</f>
        <v>103.779</v>
      </c>
      <c r="L12" s="1" t="s">
        <v>16</v>
      </c>
    </row>
    <row r="13">
      <c r="A13" s="3" t="s">
        <v>26</v>
      </c>
      <c r="B13" s="1">
        <v>90.03</v>
      </c>
      <c r="C13" s="1">
        <v>98.8</v>
      </c>
      <c r="D13" s="1">
        <v>115.23</v>
      </c>
      <c r="E13" s="1">
        <v>100.7</v>
      </c>
      <c r="F13" s="1">
        <v>98.1</v>
      </c>
      <c r="G13" s="4">
        <v>91.47479</v>
      </c>
      <c r="H13" s="1">
        <v>125.3</v>
      </c>
      <c r="I13" s="1">
        <v>84.2</v>
      </c>
      <c r="J13" s="1">
        <v>108.25</v>
      </c>
      <c r="K13" s="5">
        <f>J13-13.658</f>
        <v>94.592</v>
      </c>
      <c r="L13" s="1" t="s">
        <v>13</v>
      </c>
    </row>
    <row r="14">
      <c r="A14" s="3" t="s">
        <v>27</v>
      </c>
      <c r="B14" s="1">
        <v>90.03</v>
      </c>
      <c r="C14" s="1">
        <v>96.8</v>
      </c>
      <c r="D14" s="1">
        <v>118.69</v>
      </c>
      <c r="E14" s="1">
        <v>104.3</v>
      </c>
      <c r="F14" s="1">
        <v>98.6</v>
      </c>
      <c r="G14" s="4">
        <v>94.23205</v>
      </c>
      <c r="H14" s="1">
        <v>144.9</v>
      </c>
      <c r="I14" s="1">
        <v>83.5</v>
      </c>
      <c r="J14" s="1">
        <v>126.7</v>
      </c>
      <c r="K14" s="5">
        <f>J14-16.314</f>
        <v>110.386</v>
      </c>
      <c r="L14" s="1" t="s">
        <v>13</v>
      </c>
    </row>
    <row r="15">
      <c r="A15" s="6" t="s">
        <v>28</v>
      </c>
      <c r="B15" s="1">
        <v>80.09</v>
      </c>
      <c r="C15" s="1">
        <v>64.3</v>
      </c>
      <c r="D15" s="1">
        <v>65.67</v>
      </c>
      <c r="E15" s="1">
        <v>76.2</v>
      </c>
      <c r="F15" s="1">
        <v>67.3</v>
      </c>
      <c r="G15" s="4">
        <v>60.24123</v>
      </c>
      <c r="H15" s="1">
        <v>76.5</v>
      </c>
      <c r="I15" s="1">
        <v>87.6</v>
      </c>
      <c r="J15" s="1">
        <v>63.04</v>
      </c>
      <c r="K15" s="5">
        <f>J15+8.213</f>
        <v>71.253</v>
      </c>
      <c r="L15" s="1" t="s">
        <v>16</v>
      </c>
    </row>
    <row r="16">
      <c r="A16" s="3" t="s">
        <v>29</v>
      </c>
      <c r="B16" s="1">
        <v>118.09</v>
      </c>
      <c r="C16" s="1">
        <v>130.1</v>
      </c>
      <c r="D16" s="1">
        <v>132.47</v>
      </c>
      <c r="E16" s="1">
        <v>147.1</v>
      </c>
      <c r="F16" s="1">
        <v>138.7</v>
      </c>
      <c r="G16" s="4">
        <v>129.4111</v>
      </c>
      <c r="H16" s="1">
        <v>149.8</v>
      </c>
      <c r="I16" s="1">
        <v>106.6</v>
      </c>
      <c r="J16" s="1">
        <v>133.87</v>
      </c>
      <c r="K16" s="5">
        <f>J16-17.945</f>
        <v>115.925</v>
      </c>
      <c r="L16" s="1" t="s">
        <v>13</v>
      </c>
    </row>
    <row r="17">
      <c r="A17" s="6" t="s">
        <v>30</v>
      </c>
      <c r="B17" s="1">
        <v>81.08</v>
      </c>
      <c r="C17" s="1">
        <v>62.6</v>
      </c>
      <c r="D17" s="1">
        <v>60.73</v>
      </c>
      <c r="E17" s="1">
        <v>68.9</v>
      </c>
      <c r="F17" s="1">
        <v>58.7</v>
      </c>
      <c r="G17" s="4">
        <v>55.961418</v>
      </c>
      <c r="H17" s="1">
        <v>70.2</v>
      </c>
      <c r="I17" s="1">
        <v>58.9</v>
      </c>
      <c r="J17" s="1">
        <v>58.36</v>
      </c>
      <c r="K17" s="5">
        <f>J17+0.494</f>
        <v>58.854</v>
      </c>
      <c r="L17" s="1" t="s">
        <v>16</v>
      </c>
    </row>
    <row r="18">
      <c r="A18" s="6" t="s">
        <v>31</v>
      </c>
      <c r="B18" s="1">
        <v>60.06</v>
      </c>
      <c r="C18" s="1">
        <v>102.1</v>
      </c>
      <c r="D18" s="1">
        <v>111.94</v>
      </c>
      <c r="E18" s="1">
        <v>113.1</v>
      </c>
      <c r="F18" s="1">
        <v>111.2</v>
      </c>
      <c r="G18" s="4">
        <v>104.2193</v>
      </c>
      <c r="H18" s="1">
        <v>127.2</v>
      </c>
      <c r="I18" s="1">
        <v>99.7</v>
      </c>
      <c r="J18" s="1">
        <v>115.56</v>
      </c>
      <c r="K18" s="5">
        <f>J18-14.791</f>
        <v>100.769</v>
      </c>
      <c r="L18" s="1" t="s">
        <v>13</v>
      </c>
    </row>
    <row r="19">
      <c r="A19" s="7" t="s">
        <v>32</v>
      </c>
      <c r="B19" s="1">
        <v>136.24</v>
      </c>
      <c r="C19" s="1">
        <v>71.8</v>
      </c>
      <c r="D19" s="1">
        <v>72.42</v>
      </c>
      <c r="E19" s="1">
        <v>109.97</v>
      </c>
      <c r="F19" s="1">
        <v>80.38</v>
      </c>
      <c r="G19" s="4">
        <v>68.47534</v>
      </c>
      <c r="H19" s="1">
        <v>61.5</v>
      </c>
      <c r="I19" s="1">
        <v>59.4</v>
      </c>
      <c r="J19" s="1">
        <v>59.05</v>
      </c>
      <c r="K19" s="5">
        <f>J19-1.061</f>
        <v>57.989</v>
      </c>
      <c r="L19" s="1" t="s">
        <v>16</v>
      </c>
    </row>
    <row r="20">
      <c r="A20" s="7" t="s">
        <v>33</v>
      </c>
      <c r="B20" s="1">
        <v>178.23</v>
      </c>
      <c r="C20" s="1">
        <v>110.4</v>
      </c>
      <c r="D20" s="1">
        <v>104.59</v>
      </c>
      <c r="E20" s="1">
        <v>135.96</v>
      </c>
      <c r="F20" s="1">
        <v>107.4</v>
      </c>
      <c r="G20" s="4">
        <v>96.76337</v>
      </c>
      <c r="H20" s="1">
        <v>153.9</v>
      </c>
      <c r="I20" s="1">
        <v>127.0</v>
      </c>
      <c r="L20" s="1" t="s">
        <v>16</v>
      </c>
    </row>
    <row r="21">
      <c r="A21" s="7" t="s">
        <v>34</v>
      </c>
      <c r="B21" s="1">
        <v>111.1</v>
      </c>
      <c r="C21" s="1">
        <v>163.5</v>
      </c>
      <c r="D21" s="1">
        <v>168.82</v>
      </c>
      <c r="E21" s="1">
        <v>180.05</v>
      </c>
      <c r="F21" s="1">
        <v>169.05</v>
      </c>
      <c r="G21" s="4">
        <v>153.5319</v>
      </c>
      <c r="H21" s="1">
        <v>191.4</v>
      </c>
      <c r="I21" s="1">
        <v>172.9</v>
      </c>
      <c r="J21" s="1">
        <v>166.28</v>
      </c>
      <c r="K21" s="5">
        <f>J21-7.879</f>
        <v>158.401</v>
      </c>
      <c r="L21" s="1" t="s">
        <v>24</v>
      </c>
    </row>
    <row r="22">
      <c r="A22" s="7" t="s">
        <v>35</v>
      </c>
      <c r="B22" s="1">
        <v>68.07</v>
      </c>
      <c r="C22" s="1">
        <v>78.8</v>
      </c>
      <c r="D22" s="1">
        <v>82.21</v>
      </c>
      <c r="E22" s="1">
        <v>88.96</v>
      </c>
      <c r="F22" s="1">
        <v>82.56</v>
      </c>
      <c r="G22" s="4">
        <v>78.02323</v>
      </c>
      <c r="H22" s="1">
        <v>77.7</v>
      </c>
      <c r="I22" s="1">
        <v>79.7</v>
      </c>
      <c r="J22" s="1">
        <v>66.79</v>
      </c>
      <c r="K22" s="5">
        <f>J22+8.213</f>
        <v>75.003</v>
      </c>
      <c r="L22" s="1" t="s">
        <v>24</v>
      </c>
    </row>
    <row r="23">
      <c r="A23" s="7" t="s">
        <v>36</v>
      </c>
      <c r="B23" s="1">
        <v>90.08</v>
      </c>
      <c r="C23" s="1">
        <v>64.6</v>
      </c>
      <c r="D23" s="1">
        <v>59.42</v>
      </c>
      <c r="E23" s="1">
        <v>76.0</v>
      </c>
      <c r="F23" s="1">
        <v>64.05</v>
      </c>
      <c r="G23" s="4">
        <v>59.29565</v>
      </c>
      <c r="H23" s="1">
        <v>61.3</v>
      </c>
      <c r="I23" s="1">
        <v>54.0</v>
      </c>
      <c r="J23" s="1">
        <v>60.6</v>
      </c>
      <c r="K23" s="5">
        <f>J23-9.1</f>
        <v>51.5</v>
      </c>
      <c r="L23" s="1" t="s">
        <v>16</v>
      </c>
    </row>
    <row r="24">
      <c r="A24" s="7" t="s">
        <v>37</v>
      </c>
      <c r="B24" s="1">
        <v>112.09</v>
      </c>
      <c r="C24" s="1">
        <v>136.2</v>
      </c>
      <c r="D24" s="1">
        <v>138.47</v>
      </c>
      <c r="E24" s="1">
        <v>148.95</v>
      </c>
      <c r="F24" s="1">
        <v>138.34</v>
      </c>
      <c r="G24" s="4">
        <v>131.796</v>
      </c>
      <c r="H24" s="1">
        <v>149.4</v>
      </c>
      <c r="I24" s="1">
        <v>137.2</v>
      </c>
      <c r="J24" s="1">
        <v>127.55</v>
      </c>
      <c r="K24" s="5">
        <f>J24-7.309</f>
        <v>120.241</v>
      </c>
      <c r="L24" s="1" t="s">
        <v>24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13"/>
    <col customWidth="1" min="8" max="8" width="16.75"/>
  </cols>
  <sheetData>
    <row r="1">
      <c r="A1" s="67" t="s">
        <v>0</v>
      </c>
      <c r="B1" s="67" t="s">
        <v>38</v>
      </c>
      <c r="C1" s="67" t="s">
        <v>39</v>
      </c>
      <c r="D1" s="67" t="s">
        <v>93</v>
      </c>
      <c r="E1" s="67" t="s">
        <v>84</v>
      </c>
      <c r="F1" s="67" t="s">
        <v>83</v>
      </c>
      <c r="G1" s="67" t="s">
        <v>103</v>
      </c>
      <c r="H1" s="68" t="s">
        <v>107</v>
      </c>
      <c r="I1" s="68" t="s">
        <v>108</v>
      </c>
      <c r="J1" s="68" t="s">
        <v>109</v>
      </c>
      <c r="K1" s="69" t="s">
        <v>110</v>
      </c>
      <c r="L1" s="70" t="s">
        <v>111</v>
      </c>
      <c r="Q1" s="5" t="s">
        <v>0</v>
      </c>
      <c r="R1" s="5" t="s">
        <v>109</v>
      </c>
      <c r="S1" s="1" t="s">
        <v>8</v>
      </c>
      <c r="T1" s="1" t="s">
        <v>2</v>
      </c>
      <c r="U1" s="1" t="s">
        <v>110</v>
      </c>
      <c r="V1" s="5" t="s">
        <v>111</v>
      </c>
      <c r="W1" s="1" t="s">
        <v>112</v>
      </c>
      <c r="X1" s="1" t="s">
        <v>113</v>
      </c>
    </row>
    <row r="2">
      <c r="A2" s="67" t="s">
        <v>46</v>
      </c>
      <c r="B2" s="71">
        <v>4.0</v>
      </c>
      <c r="C2" s="67" t="s">
        <v>50</v>
      </c>
      <c r="D2" s="72">
        <v>0.006857510309004056</v>
      </c>
      <c r="E2" s="72">
        <v>-6.659109727990808E-4</v>
      </c>
      <c r="F2" s="72">
        <v>-9.626645786035664E-4</v>
      </c>
      <c r="G2" s="73">
        <v>-0.0016285755514026472</v>
      </c>
      <c r="H2" s="74">
        <f t="shared" ref="H2:H21" si="1">G2+D2</f>
        <v>0.005228934758</v>
      </c>
      <c r="I2" s="75">
        <f t="shared" ref="I2:I21" si="2">H2*2625.5</f>
        <v>13.72856821</v>
      </c>
      <c r="J2" s="76">
        <v>72.5</v>
      </c>
      <c r="K2" s="77">
        <v>-74.47936548</v>
      </c>
      <c r="L2" s="78">
        <f t="shared" ref="L2:L21" si="3">-(K2+I2)</f>
        <v>60.75079727</v>
      </c>
      <c r="Q2" s="5" t="s">
        <v>46</v>
      </c>
      <c r="R2" s="79">
        <v>72.5</v>
      </c>
      <c r="S2" s="1">
        <v>61.2</v>
      </c>
      <c r="T2" s="1">
        <v>73.6</v>
      </c>
      <c r="U2" s="79">
        <f t="shared" ref="U2:U21" si="4">-K2</f>
        <v>74.47936548</v>
      </c>
      <c r="V2" s="79">
        <v>60.7507972739175</v>
      </c>
      <c r="W2" s="79">
        <f t="shared" ref="W2:W21" si="5">ABS(U2-R2)</f>
        <v>1.97936548</v>
      </c>
      <c r="X2" s="79">
        <f t="shared" ref="X2:X21" si="6">ABS(V2-R2)</f>
        <v>11.74920273</v>
      </c>
    </row>
    <row r="3">
      <c r="A3" s="67" t="s">
        <v>14</v>
      </c>
      <c r="B3" s="71">
        <v>4.0</v>
      </c>
      <c r="C3" s="67" t="s">
        <v>50</v>
      </c>
      <c r="D3" s="72">
        <v>6.323944531985148E-4</v>
      </c>
      <c r="E3" s="80">
        <v>-4.262921132596584E-5</v>
      </c>
      <c r="F3" s="80">
        <v>-1.72060983741031E-4</v>
      </c>
      <c r="G3" s="73">
        <v>-2.1469019506699684E-4</v>
      </c>
      <c r="H3" s="74">
        <f t="shared" si="1"/>
        <v>0.0004177042581</v>
      </c>
      <c r="I3" s="75">
        <f t="shared" si="2"/>
        <v>1.09668253</v>
      </c>
      <c r="J3" s="76">
        <v>38.34</v>
      </c>
      <c r="K3" s="77">
        <v>-35.33928969</v>
      </c>
      <c r="L3" s="78">
        <f t="shared" si="3"/>
        <v>34.24260716</v>
      </c>
      <c r="Q3" s="5" t="s">
        <v>14</v>
      </c>
      <c r="R3" s="79">
        <v>38.34</v>
      </c>
      <c r="S3" s="1">
        <v>31.4</v>
      </c>
      <c r="T3" s="1">
        <v>38.7</v>
      </c>
      <c r="U3" s="79">
        <f t="shared" si="4"/>
        <v>35.33928969</v>
      </c>
      <c r="V3" s="79">
        <v>34.2426071602757</v>
      </c>
      <c r="W3" s="79">
        <f t="shared" si="5"/>
        <v>3.00071031</v>
      </c>
      <c r="X3" s="79">
        <f t="shared" si="6"/>
        <v>4.09739284</v>
      </c>
    </row>
    <row r="4">
      <c r="A4" s="68" t="s">
        <v>15</v>
      </c>
      <c r="B4" s="81">
        <v>4.0</v>
      </c>
      <c r="C4" s="68" t="s">
        <v>50</v>
      </c>
      <c r="D4" s="82">
        <v>-1.8035555299888983E-4</v>
      </c>
      <c r="E4" s="83">
        <v>1.8931046096507053E-5</v>
      </c>
      <c r="F4" s="83">
        <v>9.407162179196813E-5</v>
      </c>
      <c r="G4" s="73">
        <v>1.1300266788847518E-4</v>
      </c>
      <c r="H4" s="74">
        <f t="shared" si="1"/>
        <v>-0.00006735288511</v>
      </c>
      <c r="I4" s="75">
        <f t="shared" si="2"/>
        <v>-0.1768349999</v>
      </c>
      <c r="J4" s="76">
        <v>76.57</v>
      </c>
      <c r="K4" s="77">
        <v>-71.40861218</v>
      </c>
      <c r="L4" s="78">
        <f t="shared" si="3"/>
        <v>71.58544718</v>
      </c>
      <c r="Q4" s="5" t="s">
        <v>15</v>
      </c>
      <c r="R4" s="79">
        <v>76.57</v>
      </c>
      <c r="S4" s="1">
        <v>57.7</v>
      </c>
      <c r="T4" s="1">
        <v>54.8</v>
      </c>
      <c r="U4" s="79">
        <f t="shared" si="4"/>
        <v>71.40861218</v>
      </c>
      <c r="V4" s="79">
        <v>71.5854471798574</v>
      </c>
      <c r="W4" s="79">
        <f t="shared" si="5"/>
        <v>5.16138782</v>
      </c>
      <c r="X4" s="79">
        <f t="shared" si="6"/>
        <v>4.98455282</v>
      </c>
    </row>
    <row r="5">
      <c r="A5" s="67" t="s">
        <v>51</v>
      </c>
      <c r="B5" s="71">
        <v>4.0</v>
      </c>
      <c r="C5" s="67" t="s">
        <v>50</v>
      </c>
      <c r="D5" s="72">
        <v>-4.872648910065891E-4</v>
      </c>
      <c r="E5" s="75">
        <v>1.3490445485318315E-4</v>
      </c>
      <c r="F5" s="75">
        <v>3.057947373681384E-4</v>
      </c>
      <c r="G5" s="73">
        <v>4.4069919222132156E-4</v>
      </c>
      <c r="H5" s="74">
        <f t="shared" si="1"/>
        <v>-0.00004656569879</v>
      </c>
      <c r="I5" s="75">
        <f t="shared" si="2"/>
        <v>-0.1222582422</v>
      </c>
      <c r="J5" s="76">
        <v>24.85</v>
      </c>
      <c r="K5" s="77">
        <v>-29.91998988</v>
      </c>
      <c r="L5" s="78">
        <f t="shared" si="3"/>
        <v>30.04224812</v>
      </c>
      <c r="Q5" s="5" t="s">
        <v>51</v>
      </c>
      <c r="R5" s="79">
        <v>24.85</v>
      </c>
      <c r="S5" s="1">
        <v>22.7</v>
      </c>
      <c r="T5" s="1">
        <v>29.4</v>
      </c>
      <c r="U5" s="79">
        <f t="shared" si="4"/>
        <v>29.91998988</v>
      </c>
      <c r="V5" s="79">
        <v>30.042248122160718</v>
      </c>
      <c r="W5" s="79">
        <f t="shared" si="5"/>
        <v>5.06998988</v>
      </c>
      <c r="X5" s="79">
        <f t="shared" si="6"/>
        <v>5.192248122</v>
      </c>
    </row>
    <row r="6">
      <c r="A6" s="67" t="s">
        <v>18</v>
      </c>
      <c r="B6" s="71">
        <v>8.0</v>
      </c>
      <c r="C6" s="67" t="s">
        <v>50</v>
      </c>
      <c r="D6" s="72">
        <v>0.005910372900984839</v>
      </c>
      <c r="E6" s="72">
        <v>-8.54827820727988E-4</v>
      </c>
      <c r="F6" s="72">
        <v>-5.736559932429506E-4</v>
      </c>
      <c r="G6" s="73">
        <v>-0.0014284838139709388</v>
      </c>
      <c r="H6" s="74">
        <f t="shared" si="1"/>
        <v>0.004481889087</v>
      </c>
      <c r="I6" s="75">
        <f t="shared" si="2"/>
        <v>11.7671998</v>
      </c>
      <c r="J6" s="76">
        <v>102.16</v>
      </c>
      <c r="K6" s="77">
        <v>-82.17805322</v>
      </c>
      <c r="L6" s="78">
        <f t="shared" si="3"/>
        <v>70.41085342</v>
      </c>
      <c r="Q6" s="5" t="s">
        <v>18</v>
      </c>
      <c r="R6" s="79">
        <v>102.16</v>
      </c>
      <c r="S6" s="1">
        <v>77.8</v>
      </c>
      <c r="T6" s="1">
        <v>81.5</v>
      </c>
      <c r="U6" s="79">
        <f t="shared" si="4"/>
        <v>82.17805322</v>
      </c>
      <c r="V6" s="79">
        <v>70.410853422045</v>
      </c>
      <c r="W6" s="79">
        <f t="shared" si="5"/>
        <v>19.98194678</v>
      </c>
      <c r="X6" s="79">
        <f t="shared" si="6"/>
        <v>31.74914658</v>
      </c>
    </row>
    <row r="7">
      <c r="A7" s="67" t="s">
        <v>34</v>
      </c>
      <c r="B7" s="71">
        <v>4.0</v>
      </c>
      <c r="C7" s="67" t="s">
        <v>50</v>
      </c>
      <c r="D7" s="72">
        <v>0.012077366259006794</v>
      </c>
      <c r="E7" s="75">
        <v>-0.0012874807407250834</v>
      </c>
      <c r="F7" s="75">
        <v>-0.002261090232446574</v>
      </c>
      <c r="G7" s="73">
        <v>-0.0035485709731716574</v>
      </c>
      <c r="H7" s="74">
        <f t="shared" si="1"/>
        <v>0.008528795286</v>
      </c>
      <c r="I7" s="75">
        <f t="shared" si="2"/>
        <v>22.39235202</v>
      </c>
      <c r="J7" s="76">
        <v>185.02</v>
      </c>
      <c r="K7" s="77">
        <v>-171.50111603</v>
      </c>
      <c r="L7" s="78">
        <f t="shared" si="3"/>
        <v>149.108764</v>
      </c>
      <c r="Q7" s="5" t="s">
        <v>34</v>
      </c>
      <c r="R7" s="79">
        <v>185.02</v>
      </c>
      <c r="S7" s="1">
        <v>172.9</v>
      </c>
      <c r="T7" s="1">
        <v>163.5</v>
      </c>
      <c r="U7" s="79">
        <f t="shared" si="4"/>
        <v>171.501116</v>
      </c>
      <c r="V7" s="79">
        <v>149.10876400703984</v>
      </c>
      <c r="W7" s="79">
        <f t="shared" si="5"/>
        <v>13.51888397</v>
      </c>
      <c r="X7" s="79">
        <f t="shared" si="6"/>
        <v>35.91123599</v>
      </c>
    </row>
    <row r="8">
      <c r="A8" s="67" t="s">
        <v>52</v>
      </c>
      <c r="B8" s="71">
        <v>2.0</v>
      </c>
      <c r="C8" s="67" t="s">
        <v>50</v>
      </c>
      <c r="D8" s="72">
        <v>0.0031185706089900123</v>
      </c>
      <c r="E8" s="72">
        <v>-2.66617152024029E-4</v>
      </c>
      <c r="F8" s="72">
        <v>-3.683039864444779E-4</v>
      </c>
      <c r="G8" s="73">
        <v>-6.349211384685069E-4</v>
      </c>
      <c r="H8" s="74">
        <f t="shared" si="1"/>
        <v>0.002483649471</v>
      </c>
      <c r="I8" s="75">
        <f t="shared" si="2"/>
        <v>6.520821685</v>
      </c>
      <c r="J8" s="76">
        <v>93.05</v>
      </c>
      <c r="K8" s="77">
        <v>-79.51599328</v>
      </c>
      <c r="L8" s="78">
        <f t="shared" si="3"/>
        <v>72.9951716</v>
      </c>
      <c r="Q8" s="5" t="s">
        <v>52</v>
      </c>
      <c r="R8" s="79">
        <v>93.05</v>
      </c>
      <c r="S8" s="1">
        <v>73.7</v>
      </c>
      <c r="T8" s="1">
        <v>88.2</v>
      </c>
      <c r="U8" s="79">
        <f t="shared" si="4"/>
        <v>79.51599328</v>
      </c>
      <c r="V8" s="79">
        <v>72.99517159514579</v>
      </c>
      <c r="W8" s="79">
        <f t="shared" si="5"/>
        <v>13.53400672</v>
      </c>
      <c r="X8" s="79">
        <f t="shared" si="6"/>
        <v>20.0548284</v>
      </c>
    </row>
    <row r="9">
      <c r="A9" s="67" t="s">
        <v>20</v>
      </c>
      <c r="B9" s="71">
        <v>4.0</v>
      </c>
      <c r="C9" s="67" t="s">
        <v>50</v>
      </c>
      <c r="D9" s="72">
        <v>0.006498249484025109</v>
      </c>
      <c r="E9" s="72">
        <v>-9.35240691693692E-4</v>
      </c>
      <c r="F9" s="72">
        <v>-0.0018202074936137672</v>
      </c>
      <c r="G9" s="73">
        <v>-0.0027554481853074592</v>
      </c>
      <c r="H9" s="74">
        <f t="shared" si="1"/>
        <v>0.003742801299</v>
      </c>
      <c r="I9" s="75">
        <f t="shared" si="2"/>
        <v>9.82672481</v>
      </c>
      <c r="J9" s="76">
        <v>82.82</v>
      </c>
      <c r="K9" s="77">
        <v>-74.1971719</v>
      </c>
      <c r="L9" s="78">
        <f t="shared" si="3"/>
        <v>64.37044709</v>
      </c>
      <c r="Q9" s="5" t="s">
        <v>20</v>
      </c>
      <c r="R9" s="79">
        <v>82.82</v>
      </c>
      <c r="S9" s="1">
        <v>74.5</v>
      </c>
      <c r="T9" s="1">
        <v>81.1</v>
      </c>
      <c r="U9" s="79">
        <f t="shared" si="4"/>
        <v>74.1971719</v>
      </c>
      <c r="V9" s="79">
        <v>64.37044709021681</v>
      </c>
      <c r="W9" s="79">
        <f t="shared" si="5"/>
        <v>8.6228281</v>
      </c>
      <c r="X9" s="79">
        <f t="shared" si="6"/>
        <v>18.44955291</v>
      </c>
    </row>
    <row r="10">
      <c r="A10" s="67" t="s">
        <v>21</v>
      </c>
      <c r="B10" s="71">
        <v>1.0</v>
      </c>
      <c r="C10" s="67" t="s">
        <v>50</v>
      </c>
      <c r="D10" s="72">
        <v>2.8405577103285395E-4</v>
      </c>
      <c r="E10" s="72">
        <v>-1.5741620127048258E-4</v>
      </c>
      <c r="F10" s="72">
        <v>-1.4284311874167776E-4</v>
      </c>
      <c r="G10" s="73">
        <v>-3.002593200121603E-4</v>
      </c>
      <c r="H10" s="74">
        <f t="shared" si="1"/>
        <v>-0.00001620354898</v>
      </c>
      <c r="I10" s="75">
        <f t="shared" si="2"/>
        <v>-0.04254241785</v>
      </c>
      <c r="J10" s="76">
        <v>99.23</v>
      </c>
      <c r="K10" s="77">
        <v>-89.27365034</v>
      </c>
      <c r="L10" s="78">
        <f t="shared" si="3"/>
        <v>89.31619276</v>
      </c>
      <c r="Q10" s="5" t="s">
        <v>21</v>
      </c>
      <c r="R10" s="79">
        <v>99.23</v>
      </c>
      <c r="T10" s="1">
        <v>84.1</v>
      </c>
      <c r="U10" s="79">
        <f t="shared" si="4"/>
        <v>89.27365034</v>
      </c>
      <c r="V10" s="79">
        <v>89.31619275784517</v>
      </c>
      <c r="W10" s="79">
        <f t="shared" si="5"/>
        <v>9.95634966</v>
      </c>
      <c r="X10" s="79">
        <f t="shared" si="6"/>
        <v>9.913807242</v>
      </c>
    </row>
    <row r="11">
      <c r="A11" s="67" t="s">
        <v>53</v>
      </c>
      <c r="B11" s="71">
        <v>2.0</v>
      </c>
      <c r="C11" s="67" t="s">
        <v>50</v>
      </c>
      <c r="D11" s="72">
        <v>0.002116233998037842</v>
      </c>
      <c r="E11" s="72">
        <v>-8.491730395413796E-4</v>
      </c>
      <c r="F11" s="72">
        <v>-0.0011359410661308837</v>
      </c>
      <c r="G11" s="73">
        <v>-0.001985114105672263</v>
      </c>
      <c r="H11" s="74">
        <f t="shared" si="1"/>
        <v>0.0001311198924</v>
      </c>
      <c r="I11" s="75">
        <f t="shared" si="2"/>
        <v>0.3442552774</v>
      </c>
      <c r="J11" s="76">
        <v>99.54</v>
      </c>
      <c r="K11" s="77">
        <v>-98.52562383</v>
      </c>
      <c r="L11" s="78">
        <f t="shared" si="3"/>
        <v>98.18136855</v>
      </c>
      <c r="Q11" s="5" t="s">
        <v>53</v>
      </c>
      <c r="R11" s="79">
        <v>99.54</v>
      </c>
      <c r="S11" s="1">
        <v>79.8</v>
      </c>
      <c r="T11" s="1">
        <v>90.0</v>
      </c>
      <c r="U11" s="79">
        <f t="shared" si="4"/>
        <v>98.52562383</v>
      </c>
      <c r="V11" s="79">
        <v>98.18136855259418</v>
      </c>
      <c r="W11" s="79">
        <f t="shared" si="5"/>
        <v>1.01437617</v>
      </c>
      <c r="X11" s="79">
        <f t="shared" si="6"/>
        <v>1.358631447</v>
      </c>
    </row>
    <row r="12">
      <c r="A12" s="67" t="s">
        <v>91</v>
      </c>
      <c r="B12" s="71">
        <v>4.0</v>
      </c>
      <c r="C12" s="67" t="s">
        <v>50</v>
      </c>
      <c r="D12" s="72">
        <v>0.004059294505026401</v>
      </c>
      <c r="E12" s="75">
        <v>-5.675889201639266E-4</v>
      </c>
      <c r="F12" s="75">
        <v>-9.374663375071703E-4</v>
      </c>
      <c r="G12" s="73">
        <v>-0.0015050552576710969</v>
      </c>
      <c r="H12" s="74">
        <f t="shared" si="1"/>
        <v>0.002554239247</v>
      </c>
      <c r="I12" s="75">
        <f t="shared" si="2"/>
        <v>6.706155144</v>
      </c>
      <c r="J12" s="76">
        <v>107.61</v>
      </c>
      <c r="K12" s="77">
        <v>-104.03333972</v>
      </c>
      <c r="L12" s="78">
        <f t="shared" si="3"/>
        <v>97.32718458</v>
      </c>
      <c r="Q12" s="5" t="s">
        <v>91</v>
      </c>
      <c r="R12" s="79">
        <v>107.61</v>
      </c>
      <c r="S12" s="1">
        <v>88.6</v>
      </c>
      <c r="T12" s="1">
        <v>90.4</v>
      </c>
      <c r="U12" s="79">
        <f t="shared" si="4"/>
        <v>104.0333397</v>
      </c>
      <c r="V12" s="79">
        <v>97.32718457606865</v>
      </c>
      <c r="W12" s="79">
        <f t="shared" si="5"/>
        <v>3.57666028</v>
      </c>
      <c r="X12" s="79">
        <f t="shared" si="6"/>
        <v>10.28281542</v>
      </c>
    </row>
    <row r="13">
      <c r="A13" s="67" t="s">
        <v>55</v>
      </c>
      <c r="B13" s="71">
        <v>4.0</v>
      </c>
      <c r="C13" s="67" t="s">
        <v>50</v>
      </c>
      <c r="D13" s="72">
        <v>0.014590707144975568</v>
      </c>
      <c r="E13" s="75">
        <v>9.715921893288635E-4</v>
      </c>
      <c r="F13" s="75">
        <v>5.186790649479997E-4</v>
      </c>
      <c r="G13" s="73">
        <v>0.0014902712542768633</v>
      </c>
      <c r="H13" s="74">
        <f t="shared" si="1"/>
        <v>0.0160809784</v>
      </c>
      <c r="I13" s="75">
        <f t="shared" si="2"/>
        <v>42.22060879</v>
      </c>
      <c r="J13" s="76">
        <v>102.51</v>
      </c>
      <c r="K13" s="77">
        <v>-108.01447877</v>
      </c>
      <c r="L13" s="78">
        <f t="shared" si="3"/>
        <v>65.79386998</v>
      </c>
      <c r="Q13" s="5" t="s">
        <v>55</v>
      </c>
      <c r="R13" s="79">
        <v>102.51</v>
      </c>
      <c r="S13" s="1">
        <v>84.2</v>
      </c>
      <c r="T13" s="1">
        <v>98.8</v>
      </c>
      <c r="U13" s="79">
        <f t="shared" si="4"/>
        <v>108.0144788</v>
      </c>
      <c r="V13" s="79">
        <v>65.79386998276274</v>
      </c>
      <c r="W13" s="79">
        <f t="shared" si="5"/>
        <v>5.50447877</v>
      </c>
      <c r="X13" s="79">
        <f t="shared" si="6"/>
        <v>36.71613002</v>
      </c>
    </row>
    <row r="14">
      <c r="A14" s="67" t="s">
        <v>56</v>
      </c>
      <c r="B14" s="71">
        <v>2.0</v>
      </c>
      <c r="C14" s="67" t="s">
        <v>50</v>
      </c>
      <c r="D14" s="72">
        <v>0.017687084309955026</v>
      </c>
      <c r="E14" s="75">
        <v>3.3433520268704223E-4</v>
      </c>
      <c r="F14" s="75">
        <v>-0.0010200988132270002</v>
      </c>
      <c r="G14" s="73">
        <v>-6.857636105399579E-4</v>
      </c>
      <c r="H14" s="74">
        <f t="shared" si="1"/>
        <v>0.0170013207</v>
      </c>
      <c r="I14" s="75">
        <f t="shared" si="2"/>
        <v>44.6369675</v>
      </c>
      <c r="J14" s="76">
        <v>104.73</v>
      </c>
      <c r="K14" s="77">
        <v>-125.97727359</v>
      </c>
      <c r="L14" s="78">
        <f t="shared" si="3"/>
        <v>81.34030609</v>
      </c>
      <c r="Q14" s="5" t="s">
        <v>56</v>
      </c>
      <c r="R14" s="79">
        <v>104.73</v>
      </c>
      <c r="S14" s="1">
        <v>83.5</v>
      </c>
      <c r="T14" s="1">
        <v>96.8</v>
      </c>
      <c r="U14" s="79">
        <f t="shared" si="4"/>
        <v>125.9772736</v>
      </c>
      <c r="V14" s="79">
        <v>81.34030609368574</v>
      </c>
      <c r="W14" s="79">
        <f t="shared" si="5"/>
        <v>21.24727359</v>
      </c>
      <c r="X14" s="79">
        <f t="shared" si="6"/>
        <v>23.38969391</v>
      </c>
    </row>
    <row r="15">
      <c r="A15" s="67" t="s">
        <v>28</v>
      </c>
      <c r="B15" s="71">
        <v>2.0</v>
      </c>
      <c r="C15" s="67" t="s">
        <v>50</v>
      </c>
      <c r="D15" s="72">
        <v>4.0187542100511564E-4</v>
      </c>
      <c r="E15" s="75">
        <v>-5.4265892322600985E-5</v>
      </c>
      <c r="F15" s="75">
        <v>-1.3279770745977526E-4</v>
      </c>
      <c r="G15" s="73">
        <v>-1.8706359978237625E-4</v>
      </c>
      <c r="H15" s="74">
        <f t="shared" si="1"/>
        <v>0.0002148118212</v>
      </c>
      <c r="I15" s="75">
        <f t="shared" si="2"/>
        <v>0.5639884366</v>
      </c>
      <c r="J15" s="76">
        <v>91.75</v>
      </c>
      <c r="K15" s="77">
        <v>-77.28563574</v>
      </c>
      <c r="L15" s="78">
        <f t="shared" si="3"/>
        <v>76.7216473</v>
      </c>
      <c r="Q15" s="5" t="s">
        <v>28</v>
      </c>
      <c r="R15" s="79">
        <v>91.75</v>
      </c>
      <c r="S15" s="1">
        <v>106.6</v>
      </c>
      <c r="T15" s="1">
        <v>64.3</v>
      </c>
      <c r="U15" s="79">
        <f t="shared" si="4"/>
        <v>77.28563574</v>
      </c>
      <c r="V15" s="79">
        <v>76.7216473033797</v>
      </c>
      <c r="W15" s="79">
        <f t="shared" si="5"/>
        <v>14.46436426</v>
      </c>
      <c r="X15" s="79">
        <f t="shared" si="6"/>
        <v>15.0283527</v>
      </c>
    </row>
    <row r="16">
      <c r="A16" s="67" t="s">
        <v>35</v>
      </c>
      <c r="B16" s="71">
        <v>8.0</v>
      </c>
      <c r="C16" s="67" t="s">
        <v>50</v>
      </c>
      <c r="D16" s="72">
        <v>0.0033881049739932223</v>
      </c>
      <c r="E16" s="75">
        <v>-3.7515236176849826E-4</v>
      </c>
      <c r="F16" s="75">
        <v>-7.744782859247797E-4</v>
      </c>
      <c r="G16" s="73">
        <v>-0.001149630647693278</v>
      </c>
      <c r="H16" s="74">
        <f t="shared" si="1"/>
        <v>0.002238474326</v>
      </c>
      <c r="I16" s="75">
        <f t="shared" si="2"/>
        <v>5.877114344</v>
      </c>
      <c r="J16" s="76">
        <v>64.61</v>
      </c>
      <c r="K16" s="77">
        <v>-76.30629902</v>
      </c>
      <c r="L16" s="78">
        <f t="shared" si="3"/>
        <v>70.42918468</v>
      </c>
      <c r="Q16" s="5" t="s">
        <v>35</v>
      </c>
      <c r="R16" s="79">
        <v>64.61</v>
      </c>
      <c r="S16" s="1">
        <v>79.7</v>
      </c>
      <c r="T16" s="1">
        <v>78.8</v>
      </c>
      <c r="U16" s="79">
        <f t="shared" si="4"/>
        <v>76.30629902</v>
      </c>
      <c r="V16" s="79">
        <v>70.4291846762995</v>
      </c>
      <c r="W16" s="79">
        <f t="shared" si="5"/>
        <v>11.69629902</v>
      </c>
      <c r="X16" s="79">
        <f t="shared" si="6"/>
        <v>5.819184676</v>
      </c>
    </row>
    <row r="17">
      <c r="A17" s="67" t="s">
        <v>57</v>
      </c>
      <c r="B17" s="71">
        <v>2.0</v>
      </c>
      <c r="C17" s="67" t="s">
        <v>50</v>
      </c>
      <c r="D17" s="72">
        <v>0.014143929173997094</v>
      </c>
      <c r="E17" s="75">
        <v>-9.915324143145653E-4</v>
      </c>
      <c r="F17" s="75">
        <v>-0.0018183581229763081</v>
      </c>
      <c r="G17" s="73">
        <v>-0.0028098905372908735</v>
      </c>
      <c r="H17" s="74">
        <f t="shared" si="1"/>
        <v>0.01133403864</v>
      </c>
      <c r="I17" s="75">
        <f t="shared" si="2"/>
        <v>29.75751844</v>
      </c>
      <c r="J17" s="76">
        <v>120.77</v>
      </c>
      <c r="K17" s="77">
        <v>-132.52474705</v>
      </c>
      <c r="L17" s="78">
        <f t="shared" si="3"/>
        <v>102.7672286</v>
      </c>
      <c r="Q17" s="5" t="s">
        <v>57</v>
      </c>
      <c r="R17" s="79">
        <v>120.77</v>
      </c>
      <c r="S17" s="1">
        <v>106.6</v>
      </c>
      <c r="T17" s="1">
        <v>130.1</v>
      </c>
      <c r="U17" s="79">
        <f t="shared" si="4"/>
        <v>132.5247471</v>
      </c>
      <c r="V17" s="79">
        <v>102.76722860932782</v>
      </c>
      <c r="W17" s="79">
        <f t="shared" si="5"/>
        <v>11.75474705</v>
      </c>
      <c r="X17" s="79">
        <f t="shared" si="6"/>
        <v>18.00277139</v>
      </c>
    </row>
    <row r="18">
      <c r="A18" s="67" t="s">
        <v>30</v>
      </c>
      <c r="B18" s="71">
        <v>6.0</v>
      </c>
      <c r="C18" s="67" t="s">
        <v>50</v>
      </c>
      <c r="D18" s="72">
        <v>4.4732152701953964E-4</v>
      </c>
      <c r="E18" s="75">
        <v>-1.0283214030494349E-4</v>
      </c>
      <c r="F18" s="75">
        <v>-1.6771640576903344E-4</v>
      </c>
      <c r="G18" s="73">
        <v>-2.7054854607397696E-4</v>
      </c>
      <c r="H18" s="74">
        <f t="shared" si="1"/>
        <v>0.0001767729809</v>
      </c>
      <c r="I18" s="75">
        <f t="shared" si="2"/>
        <v>0.4641174615</v>
      </c>
      <c r="J18" s="76">
        <v>79.67</v>
      </c>
      <c r="K18" s="77">
        <v>-64.07715924</v>
      </c>
      <c r="L18" s="78">
        <f t="shared" si="3"/>
        <v>63.61304178</v>
      </c>
      <c r="Q18" s="5" t="s">
        <v>30</v>
      </c>
      <c r="R18" s="79">
        <v>79.67</v>
      </c>
      <c r="S18" s="1">
        <v>58.9</v>
      </c>
      <c r="T18" s="1">
        <v>62.6</v>
      </c>
      <c r="U18" s="79">
        <f t="shared" si="4"/>
        <v>64.07715924</v>
      </c>
      <c r="V18" s="79">
        <v>63.613041778527425</v>
      </c>
      <c r="W18" s="79">
        <f t="shared" si="5"/>
        <v>15.59284076</v>
      </c>
      <c r="X18" s="79">
        <f t="shared" si="6"/>
        <v>16.05695822</v>
      </c>
    </row>
    <row r="19">
      <c r="A19" s="67" t="s">
        <v>36</v>
      </c>
      <c r="B19" s="71">
        <v>6.0</v>
      </c>
      <c r="C19" s="67" t="s">
        <v>50</v>
      </c>
      <c r="D19" s="72">
        <v>0.0016490269879909647</v>
      </c>
      <c r="E19" s="75">
        <v>-1.1747905493066203E-4</v>
      </c>
      <c r="F19" s="75">
        <v>-8.616447192592355E-4</v>
      </c>
      <c r="G19" s="73">
        <v>-9.791237741898974E-4</v>
      </c>
      <c r="H19" s="74">
        <f t="shared" si="1"/>
        <v>0.0006699032138</v>
      </c>
      <c r="I19" s="75">
        <f t="shared" si="2"/>
        <v>1.758830888</v>
      </c>
      <c r="J19" s="76">
        <v>59.73</v>
      </c>
      <c r="K19" s="77">
        <v>-58.39536236</v>
      </c>
      <c r="L19" s="78">
        <f t="shared" si="3"/>
        <v>56.63653147</v>
      </c>
      <c r="Q19" s="5" t="s">
        <v>36</v>
      </c>
      <c r="R19" s="79">
        <v>59.73</v>
      </c>
      <c r="S19" s="1">
        <v>99.7</v>
      </c>
      <c r="T19" s="1">
        <v>64.6</v>
      </c>
      <c r="U19" s="79">
        <f t="shared" si="4"/>
        <v>58.39536236</v>
      </c>
      <c r="V19" s="79">
        <v>56.636531472165295</v>
      </c>
      <c r="W19" s="79">
        <f t="shared" si="5"/>
        <v>1.33463764</v>
      </c>
      <c r="X19" s="79">
        <f t="shared" si="6"/>
        <v>3.093468528</v>
      </c>
    </row>
    <row r="20">
      <c r="A20" s="67" t="s">
        <v>37</v>
      </c>
      <c r="B20" s="71">
        <v>4.0</v>
      </c>
      <c r="C20" s="67" t="s">
        <v>50</v>
      </c>
      <c r="D20" s="72">
        <v>0.008947892970979865</v>
      </c>
      <c r="E20" s="75">
        <v>-0.0015801768523633832</v>
      </c>
      <c r="F20" s="75">
        <v>-0.0024019858202017725</v>
      </c>
      <c r="G20" s="73">
        <v>-0.0039821626725651555</v>
      </c>
      <c r="H20" s="74">
        <f t="shared" si="1"/>
        <v>0.004965730298</v>
      </c>
      <c r="I20" s="75">
        <f t="shared" si="2"/>
        <v>13.0375249</v>
      </c>
      <c r="J20" s="76">
        <v>163.62</v>
      </c>
      <c r="K20" s="77">
        <v>-131.16344443</v>
      </c>
      <c r="L20" s="78">
        <f t="shared" si="3"/>
        <v>118.1259195</v>
      </c>
      <c r="Q20" s="5" t="s">
        <v>37</v>
      </c>
      <c r="R20" s="79">
        <v>163.62</v>
      </c>
      <c r="S20" s="1">
        <v>137.2</v>
      </c>
      <c r="T20" s="1">
        <v>136.2</v>
      </c>
      <c r="U20" s="79">
        <f t="shared" si="4"/>
        <v>131.1634444</v>
      </c>
      <c r="V20" s="79">
        <v>118.12591953151218</v>
      </c>
      <c r="W20" s="79">
        <f t="shared" si="5"/>
        <v>32.45655557</v>
      </c>
      <c r="X20" s="79">
        <f t="shared" si="6"/>
        <v>45.49408047</v>
      </c>
    </row>
    <row r="21">
      <c r="A21" s="67" t="s">
        <v>31</v>
      </c>
      <c r="B21" s="71">
        <v>2.0</v>
      </c>
      <c r="C21" s="67" t="s">
        <v>50</v>
      </c>
      <c r="D21" s="72">
        <v>0.00886473254502107</v>
      </c>
      <c r="E21" s="75">
        <v>-9.782849040412094E-4</v>
      </c>
      <c r="F21" s="75">
        <v>-7.950172901397545E-4</v>
      </c>
      <c r="G21" s="73">
        <v>-0.0017733021941809639</v>
      </c>
      <c r="H21" s="74">
        <f t="shared" si="1"/>
        <v>0.007091430351</v>
      </c>
      <c r="I21" s="75">
        <f t="shared" si="2"/>
        <v>18.61855039</v>
      </c>
      <c r="J21" s="76">
        <v>108.66</v>
      </c>
      <c r="K21" s="77">
        <v>-112.9372853</v>
      </c>
      <c r="L21" s="78">
        <f t="shared" si="3"/>
        <v>94.31873491</v>
      </c>
      <c r="Q21" s="5" t="s">
        <v>31</v>
      </c>
      <c r="R21" s="79">
        <v>108.66</v>
      </c>
      <c r="S21" s="1">
        <v>99.7</v>
      </c>
      <c r="T21" s="1">
        <v>102.1</v>
      </c>
      <c r="U21" s="79">
        <f t="shared" si="4"/>
        <v>112.9372853</v>
      </c>
      <c r="V21" s="79">
        <v>94.31873491386929</v>
      </c>
      <c r="W21" s="79">
        <f t="shared" si="5"/>
        <v>4.2772853</v>
      </c>
      <c r="X21" s="79">
        <f t="shared" si="6"/>
        <v>14.34126509</v>
      </c>
    </row>
    <row r="22">
      <c r="Q22" s="1" t="s">
        <v>65</v>
      </c>
      <c r="V22" s="79">
        <f t="shared" ref="V22:W22" si="7">AVERAGE(W2:W21)</f>
        <v>10.18724936</v>
      </c>
      <c r="W22" s="79">
        <f t="shared" si="7"/>
        <v>16.58426597</v>
      </c>
      <c r="X22" s="7"/>
    </row>
    <row r="23">
      <c r="W23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4" max="4" width="15.88"/>
    <col customWidth="1" min="5" max="5" width="15.75"/>
  </cols>
  <sheetData>
    <row r="1">
      <c r="A1" s="67" t="s">
        <v>0</v>
      </c>
      <c r="B1" s="67" t="s">
        <v>38</v>
      </c>
      <c r="C1" s="67" t="s">
        <v>39</v>
      </c>
      <c r="D1" s="67" t="s">
        <v>93</v>
      </c>
      <c r="E1" s="67" t="s">
        <v>84</v>
      </c>
      <c r="F1" s="67" t="s">
        <v>83</v>
      </c>
      <c r="G1" s="67" t="s">
        <v>103</v>
      </c>
      <c r="H1" s="84" t="s">
        <v>104</v>
      </c>
      <c r="I1" s="67" t="s">
        <v>105</v>
      </c>
      <c r="J1" s="70" t="s">
        <v>106</v>
      </c>
      <c r="K1" s="85"/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</row>
    <row r="2">
      <c r="A2" s="67" t="s">
        <v>46</v>
      </c>
      <c r="B2" s="71">
        <v>4.0</v>
      </c>
      <c r="C2" s="67" t="s">
        <v>47</v>
      </c>
      <c r="D2" s="86">
        <f>-227.823966387932--227.830683382352</f>
        <v>0.00671699442</v>
      </c>
      <c r="E2" s="86">
        <f>-0.167031719457053--0.166572207520367</f>
        <v>-0.0004595119367</v>
      </c>
      <c r="F2" s="72">
        <f>-0.475292402848249--0.474490302000757</f>
        <v>-0.0008021008475</v>
      </c>
      <c r="G2" s="73">
        <f t="shared" ref="G2:G93" si="2">E2+F2</f>
        <v>-0.001261612784</v>
      </c>
      <c r="H2" s="75">
        <f t="shared" ref="H2:H93" si="3">1/3*E2+1.2*F2</f>
        <v>-0.001115691663</v>
      </c>
      <c r="I2" s="56">
        <f t="shared" ref="I2:I93" si="4">1.3*F2</f>
        <v>-0.001042731102</v>
      </c>
      <c r="J2" s="62">
        <f t="shared" ref="J2:J93" si="5">1.29*E2+0.4*F2</f>
        <v>-0.0009136107373</v>
      </c>
      <c r="K2" s="87"/>
      <c r="L2" s="5">
        <f t="shared" ref="L2:L93" si="6">(D2+G2)*2625.5</f>
        <v>14.32310448</v>
      </c>
      <c r="M2" s="5">
        <f t="shared" ref="M2:P2" si="1">G2*627.5096*4.184</f>
        <v>-3.312364575</v>
      </c>
      <c r="N2" s="5">
        <f t="shared" si="1"/>
        <v>-2.929248646</v>
      </c>
      <c r="O2" s="5">
        <f t="shared" si="1"/>
        <v>-2.737690681</v>
      </c>
      <c r="P2" s="5">
        <f t="shared" si="1"/>
        <v>-2.398685143</v>
      </c>
    </row>
    <row r="3">
      <c r="A3" s="67" t="s">
        <v>46</v>
      </c>
      <c r="B3" s="71">
        <v>4.0</v>
      </c>
      <c r="C3" s="67" t="s">
        <v>48</v>
      </c>
      <c r="D3" s="72">
        <f>-227.893167113827--227.90003271324</f>
        <v>0.006865599413</v>
      </c>
      <c r="E3" s="72">
        <f>-0.20130589231571--0.200732359694411</f>
        <v>-0.0005735326213</v>
      </c>
      <c r="F3" s="72">
        <f>-0.603344527694544--0.602445928902938</f>
        <v>-0.0008985987916</v>
      </c>
      <c r="G3" s="73">
        <f t="shared" si="2"/>
        <v>-0.001472131413</v>
      </c>
      <c r="H3" s="75">
        <f t="shared" si="3"/>
        <v>-0.00126949609</v>
      </c>
      <c r="I3" s="56">
        <f t="shared" si="4"/>
        <v>-0.001168178429</v>
      </c>
      <c r="J3" s="62">
        <f t="shared" si="5"/>
        <v>-0.001099296598</v>
      </c>
      <c r="K3" s="88"/>
      <c r="L3" s="5">
        <f t="shared" si="6"/>
        <v>14.16055023</v>
      </c>
      <c r="M3" s="5">
        <f t="shared" ref="M3:P3" si="7">G3*627.5096*4.184</f>
        <v>-3.86508127</v>
      </c>
      <c r="N3" s="5">
        <f t="shared" si="7"/>
        <v>-3.333062196</v>
      </c>
      <c r="O3" s="5">
        <f t="shared" si="7"/>
        <v>-3.06705266</v>
      </c>
      <c r="P3" s="5">
        <f t="shared" si="7"/>
        <v>-2.886203401</v>
      </c>
    </row>
    <row r="4">
      <c r="A4" s="67" t="s">
        <v>46</v>
      </c>
      <c r="B4" s="71">
        <v>4.0</v>
      </c>
      <c r="C4" s="67" t="s">
        <v>49</v>
      </c>
      <c r="D4" s="72">
        <f>-227.91024399331--227.917101503619</f>
        <v>0.006857510309</v>
      </c>
      <c r="E4" s="72">
        <f>-0.211127088677459- -0.210500149821699</f>
        <v>-0.0006269388558</v>
      </c>
      <c r="F4" s="72">
        <f>-0.652372827808539--0.651437190983825</f>
        <v>-0.0009356368247</v>
      </c>
      <c r="G4" s="73">
        <f t="shared" si="2"/>
        <v>-0.00156257568</v>
      </c>
      <c r="H4" s="75">
        <f t="shared" si="3"/>
        <v>-0.001331743808</v>
      </c>
      <c r="I4" s="56">
        <f t="shared" si="4"/>
        <v>-0.001216327872</v>
      </c>
      <c r="J4" s="62">
        <f t="shared" si="5"/>
        <v>-0.001183005854</v>
      </c>
      <c r="K4" s="88"/>
      <c r="L4" s="5">
        <f t="shared" si="6"/>
        <v>13.90185087</v>
      </c>
      <c r="M4" s="5">
        <f t="shared" ref="M4:P4" si="8">G4*627.5096*4.184</f>
        <v>-4.102542709</v>
      </c>
      <c r="N4" s="5">
        <f t="shared" si="8"/>
        <v>-3.49649359</v>
      </c>
      <c r="O4" s="5">
        <f t="shared" si="8"/>
        <v>-3.193469031</v>
      </c>
      <c r="P4" s="5">
        <f t="shared" si="8"/>
        <v>-3.105982066</v>
      </c>
    </row>
    <row r="5">
      <c r="A5" s="67" t="s">
        <v>46</v>
      </c>
      <c r="B5" s="71">
        <v>4.0</v>
      </c>
      <c r="C5" s="67" t="s">
        <v>50</v>
      </c>
      <c r="D5" s="72">
        <f>D4</f>
        <v>0.006857510309</v>
      </c>
      <c r="E5" s="72">
        <f t="shared" ref="E5:F5" si="9">(3^3*E3-4^3*E4)/(3^3-4^3)</f>
        <v>-0.0006659109728</v>
      </c>
      <c r="F5" s="72">
        <f t="shared" si="9"/>
        <v>-0.0009626645786</v>
      </c>
      <c r="G5" s="73">
        <f t="shared" si="2"/>
        <v>-0.001628575551</v>
      </c>
      <c r="H5" s="75">
        <f t="shared" si="3"/>
        <v>-0.001377167819</v>
      </c>
      <c r="I5" s="56">
        <f t="shared" si="4"/>
        <v>-0.001251463952</v>
      </c>
      <c r="J5" s="62">
        <f t="shared" si="5"/>
        <v>-0.001244090986</v>
      </c>
      <c r="K5" s="89"/>
      <c r="L5" s="5">
        <f t="shared" si="6"/>
        <v>13.72856821</v>
      </c>
      <c r="M5" s="5">
        <f t="shared" ref="M5:P5" si="10">G5*627.5096*4.184</f>
        <v>-4.275825381</v>
      </c>
      <c r="N5" s="5">
        <f t="shared" si="10"/>
        <v>-3.615754337</v>
      </c>
      <c r="O5" s="5">
        <f t="shared" si="10"/>
        <v>-3.285718815</v>
      </c>
      <c r="P5" s="5">
        <f t="shared" si="10"/>
        <v>-3.266361092</v>
      </c>
    </row>
    <row r="6">
      <c r="A6" s="67" t="s">
        <v>68</v>
      </c>
      <c r="B6" s="71">
        <v>2.0</v>
      </c>
      <c r="C6" s="67" t="s">
        <v>47</v>
      </c>
      <c r="D6" s="72">
        <f>-388.050938612528--388.050498205369</f>
        <v>-0.000440407159</v>
      </c>
      <c r="E6" s="72">
        <f>-0.346893061174374--0.346788239219547</f>
        <v>-0.0001048219548</v>
      </c>
      <c r="F6" s="72">
        <f>-1.05961181779152--1.06025077771841</f>
        <v>0.0006389599269</v>
      </c>
      <c r="G6" s="73">
        <f t="shared" si="2"/>
        <v>0.0005341379721</v>
      </c>
      <c r="H6" s="75">
        <f t="shared" si="3"/>
        <v>0.0007318112607</v>
      </c>
      <c r="I6" s="56">
        <f t="shared" si="4"/>
        <v>0.000830647905</v>
      </c>
      <c r="J6" s="62">
        <f t="shared" si="5"/>
        <v>0.000120363649</v>
      </c>
      <c r="K6" s="85"/>
      <c r="L6" s="5">
        <f t="shared" si="6"/>
        <v>0.2460902498</v>
      </c>
      <c r="M6" s="5">
        <f t="shared" ref="M6:P6" si="11">G6*627.5096*4.184</f>
        <v>1.402379335</v>
      </c>
      <c r="N6" s="5">
        <f t="shared" si="11"/>
        <v>1.921370587</v>
      </c>
      <c r="O6" s="5">
        <f t="shared" si="11"/>
        <v>2.180866213</v>
      </c>
      <c r="P6" s="5">
        <f t="shared" si="11"/>
        <v>0.3160147806</v>
      </c>
    </row>
    <row r="7">
      <c r="A7" s="67" t="s">
        <v>68</v>
      </c>
      <c r="B7" s="71">
        <v>2.0</v>
      </c>
      <c r="C7" s="67" t="s">
        <v>48</v>
      </c>
      <c r="D7" s="72">
        <f>-388.143989351562--388.143166215776</f>
        <v>-0.000823135786</v>
      </c>
      <c r="E7" s="72">
        <f>-0.403675483803638- -0.403488651740773</f>
        <v>-0.0001868320629</v>
      </c>
      <c r="F7" s="72">
        <f>-1.30032390552378--1.30068626871434</f>
        <v>0.0003623631906</v>
      </c>
      <c r="G7" s="73">
        <f t="shared" si="2"/>
        <v>0.0001755311277</v>
      </c>
      <c r="H7" s="75">
        <f t="shared" si="3"/>
        <v>0.0003725584744</v>
      </c>
      <c r="I7" s="56">
        <f t="shared" si="4"/>
        <v>0.0004710721477</v>
      </c>
      <c r="J7" s="62">
        <f t="shared" si="5"/>
        <v>-0.00009606808487</v>
      </c>
      <c r="K7" s="85"/>
      <c r="L7" s="5">
        <f t="shared" si="6"/>
        <v>-1.700286031</v>
      </c>
      <c r="M7" s="5">
        <f t="shared" ref="M7:P7" si="12">G7*627.5096*4.184</f>
        <v>0.460857005</v>
      </c>
      <c r="N7" s="5">
        <f t="shared" si="12"/>
        <v>0.9781523365</v>
      </c>
      <c r="O7" s="5">
        <f t="shared" si="12"/>
        <v>1.236800002</v>
      </c>
      <c r="P7" s="5">
        <f t="shared" si="12"/>
        <v>-0.2522267728</v>
      </c>
    </row>
    <row r="8">
      <c r="A8" s="67" t="s">
        <v>68</v>
      </c>
      <c r="B8" s="71">
        <v>2.0</v>
      </c>
      <c r="C8" s="67" t="s">
        <v>49</v>
      </c>
      <c r="D8" s="72">
        <f>-388.167144193604--388.166291278731</f>
        <v>-0.000852914873</v>
      </c>
      <c r="E8" s="67">
        <f>-0.418758783637338--0.418563373050777</f>
        <v>-0.0001954105866</v>
      </c>
      <c r="F8" s="67">
        <f>-1.3857001647967--1.3859911074951</f>
        <v>0.0002909426984</v>
      </c>
      <c r="G8" s="73">
        <f t="shared" si="2"/>
        <v>0.00009553211184</v>
      </c>
      <c r="H8" s="75">
        <f t="shared" si="3"/>
        <v>0.0002839943759</v>
      </c>
      <c r="I8" s="56">
        <f t="shared" si="4"/>
        <v>0.0003782255079</v>
      </c>
      <c r="J8" s="62">
        <f t="shared" si="5"/>
        <v>-0.0001357025773</v>
      </c>
      <c r="K8" s="90"/>
      <c r="L8" s="5">
        <f t="shared" si="6"/>
        <v>-1.988508439</v>
      </c>
      <c r="M8" s="5">
        <f t="shared" ref="M8:P8" si="13">G8*627.5096*4.184</f>
        <v>0.2508195755</v>
      </c>
      <c r="N8" s="5">
        <f t="shared" si="13"/>
        <v>0.7456272812</v>
      </c>
      <c r="O8" s="5">
        <f t="shared" si="13"/>
        <v>0.993031134</v>
      </c>
      <c r="P8" s="5">
        <f t="shared" si="13"/>
        <v>-0.3562871393</v>
      </c>
    </row>
    <row r="9">
      <c r="A9" s="67" t="s">
        <v>68</v>
      </c>
      <c r="B9" s="71">
        <v>2.0</v>
      </c>
      <c r="C9" s="67" t="s">
        <v>50</v>
      </c>
      <c r="D9" s="72">
        <f>D8</f>
        <v>-0.000852914873</v>
      </c>
      <c r="E9" s="75">
        <f t="shared" ref="E9:F9" si="14">(3^3*E7-4^3*E8)/(3^3-4^3)</f>
        <v>-0.0002016705903</v>
      </c>
      <c r="F9" s="75">
        <f t="shared" si="14"/>
        <v>0.000238825042</v>
      </c>
      <c r="G9" s="73">
        <f t="shared" si="2"/>
        <v>0.00003715445162</v>
      </c>
      <c r="H9" s="75">
        <f t="shared" si="3"/>
        <v>0.0002193665202</v>
      </c>
      <c r="I9" s="56">
        <f t="shared" si="4"/>
        <v>0.0003104725545</v>
      </c>
      <c r="J9" s="62">
        <f t="shared" si="5"/>
        <v>-0.0001646250448</v>
      </c>
      <c r="K9" s="90"/>
      <c r="L9" s="5">
        <f t="shared" si="6"/>
        <v>-2.141778986</v>
      </c>
      <c r="M9" s="5">
        <f t="shared" ref="M9:P9" si="15">G9*627.5096*4.184</f>
        <v>0.09754901891</v>
      </c>
      <c r="N9" s="5">
        <f t="shared" si="15"/>
        <v>0.5759468354</v>
      </c>
      <c r="O9" s="5">
        <f t="shared" si="15"/>
        <v>0.8151457436</v>
      </c>
      <c r="P9" s="5">
        <f t="shared" si="15"/>
        <v>-0.4322230824</v>
      </c>
    </row>
    <row r="10">
      <c r="A10" s="67" t="s">
        <v>14</v>
      </c>
      <c r="B10" s="71">
        <v>4.0</v>
      </c>
      <c r="C10" s="67" t="s">
        <v>47</v>
      </c>
      <c r="D10" s="72">
        <f>-56.1947503029671--56.1953475318201</f>
        <v>0.000597228853</v>
      </c>
      <c r="E10" s="72">
        <f>-0.0425090123093176--0.0424849927209765</f>
        <v>-0.00002401958834</v>
      </c>
      <c r="F10" s="72">
        <f>-0.144352006617908--0.14412473128686</f>
        <v>-0.000227275331</v>
      </c>
      <c r="G10" s="73">
        <f t="shared" si="2"/>
        <v>-0.0002512949194</v>
      </c>
      <c r="H10" s="75">
        <f t="shared" si="3"/>
        <v>-0.0002807369267</v>
      </c>
      <c r="I10" s="56">
        <f t="shared" si="4"/>
        <v>-0.0002954579304</v>
      </c>
      <c r="J10" s="62">
        <f t="shared" si="5"/>
        <v>-0.0001218954014</v>
      </c>
      <c r="K10" s="85"/>
      <c r="L10" s="5">
        <f t="shared" si="6"/>
        <v>0.9082495427</v>
      </c>
      <c r="M10" s="5">
        <f t="shared" ref="M10:P10" si="16">G10*627.5096*4.184</f>
        <v>-0.6597748527</v>
      </c>
      <c r="N10" s="5">
        <f t="shared" si="16"/>
        <v>-0.7370748478</v>
      </c>
      <c r="O10" s="5">
        <f t="shared" si="16"/>
        <v>-0.7757248453</v>
      </c>
      <c r="P10" s="5">
        <f t="shared" si="16"/>
        <v>-0.3200363966</v>
      </c>
    </row>
    <row r="11">
      <c r="A11" s="67" t="s">
        <v>14</v>
      </c>
      <c r="B11" s="71">
        <v>4.0</v>
      </c>
      <c r="C11" s="67" t="s">
        <v>48</v>
      </c>
      <c r="D11" s="72">
        <f>-56.2168018259911--56.2174424259743</f>
        <v>0.0006405999832</v>
      </c>
      <c r="E11" s="72">
        <f>-0.0520771732700579- -0.0520532927048301</f>
        <v>-0.00002388056523</v>
      </c>
      <c r="F11" s="72">
        <f>-0.183437815513259--0.183268423538689</f>
        <v>-0.0001693919746</v>
      </c>
      <c r="G11" s="73">
        <f t="shared" si="2"/>
        <v>-0.0001932725398</v>
      </c>
      <c r="H11" s="75">
        <f t="shared" si="3"/>
        <v>-0.0002112305579</v>
      </c>
      <c r="I11" s="56">
        <f t="shared" si="4"/>
        <v>-0.0002202095669</v>
      </c>
      <c r="J11" s="62">
        <f t="shared" si="5"/>
        <v>-0.00009856271897</v>
      </c>
      <c r="K11" s="85"/>
      <c r="L11" s="5">
        <f t="shared" si="6"/>
        <v>1.174458203</v>
      </c>
      <c r="M11" s="5">
        <f t="shared" ref="M11:P11" si="17">G11*627.5096*4.184</f>
        <v>-0.5074370854</v>
      </c>
      <c r="N11" s="5">
        <f t="shared" si="17"/>
        <v>-0.5545858649</v>
      </c>
      <c r="O11" s="5">
        <f t="shared" si="17"/>
        <v>-0.5781602546</v>
      </c>
      <c r="P11" s="5">
        <f t="shared" si="17"/>
        <v>-0.2587764351</v>
      </c>
    </row>
    <row r="12">
      <c r="A12" s="67" t="s">
        <v>14</v>
      </c>
      <c r="B12" s="71">
        <v>4.0</v>
      </c>
      <c r="C12" s="67" t="s">
        <v>49</v>
      </c>
      <c r="D12" s="72">
        <f>-56.2220296754182--56.2226620698714</f>
        <v>0.0006323944532</v>
      </c>
      <c r="E12" s="72">
        <f> -0.0547508893915711- -0.0547161697653178</f>
        <v>-0.00003471962625</v>
      </c>
      <c r="F12" s="72">
        <f>-0.197055064593318--0.196884129597821</f>
        <v>-0.0001709349955</v>
      </c>
      <c r="G12" s="73">
        <f t="shared" si="2"/>
        <v>-0.0002056546218</v>
      </c>
      <c r="H12" s="75">
        <f t="shared" si="3"/>
        <v>-0.0002166952033</v>
      </c>
      <c r="I12" s="56">
        <f t="shared" si="4"/>
        <v>-0.0002222154941</v>
      </c>
      <c r="J12" s="62">
        <f t="shared" si="5"/>
        <v>-0.0001131623161</v>
      </c>
      <c r="K12" s="85"/>
      <c r="L12" s="5">
        <f t="shared" si="6"/>
        <v>1.120405427</v>
      </c>
      <c r="M12" s="5">
        <f t="shared" ref="M12:P12" si="18">G12*627.5096*4.184</f>
        <v>-0.5399462436</v>
      </c>
      <c r="N12" s="5">
        <f t="shared" si="18"/>
        <v>-0.5689332924</v>
      </c>
      <c r="O12" s="5">
        <f t="shared" si="18"/>
        <v>-0.5834268169</v>
      </c>
      <c r="P12" s="5">
        <f t="shared" si="18"/>
        <v>-0.2971076797</v>
      </c>
    </row>
    <row r="13">
      <c r="A13" s="67" t="s">
        <v>14</v>
      </c>
      <c r="B13" s="71">
        <v>4.0</v>
      </c>
      <c r="C13" s="67" t="s">
        <v>50</v>
      </c>
      <c r="D13" s="72">
        <f>D12</f>
        <v>0.0006323944532</v>
      </c>
      <c r="E13" s="80">
        <f t="shared" ref="E13:F13" si="19">(3^3*E11-4^3*E12)/(3^3-4^3)</f>
        <v>-0.00004262921133</v>
      </c>
      <c r="F13" s="80">
        <f t="shared" si="19"/>
        <v>-0.0001720609837</v>
      </c>
      <c r="G13" s="73">
        <f t="shared" si="2"/>
        <v>-0.0002146901951</v>
      </c>
      <c r="H13" s="75">
        <f t="shared" si="3"/>
        <v>-0.0002206829176</v>
      </c>
      <c r="I13" s="56">
        <f t="shared" si="4"/>
        <v>-0.0002236792789</v>
      </c>
      <c r="J13" s="62">
        <f t="shared" si="5"/>
        <v>-0.0001238160761</v>
      </c>
      <c r="K13" s="85"/>
      <c r="L13" s="91">
        <f t="shared" si="6"/>
        <v>1.09668253</v>
      </c>
      <c r="M13" s="5">
        <f t="shared" ref="M13:P13" si="20">G13*627.5096*4.184</f>
        <v>-0.5636691429</v>
      </c>
      <c r="N13" s="5">
        <f t="shared" si="20"/>
        <v>-0.5794030369</v>
      </c>
      <c r="O13" s="5">
        <f t="shared" si="20"/>
        <v>-0.5872699839</v>
      </c>
      <c r="P13" s="5">
        <f t="shared" si="20"/>
        <v>-0.3250791284</v>
      </c>
      <c r="S13" s="1" t="s">
        <v>82</v>
      </c>
      <c r="T13" s="1" t="s">
        <v>83</v>
      </c>
      <c r="U13" s="1" t="s">
        <v>84</v>
      </c>
      <c r="V13" s="1" t="s">
        <v>85</v>
      </c>
    </row>
    <row r="14">
      <c r="A14" s="67" t="s">
        <v>33</v>
      </c>
      <c r="B14" s="71">
        <v>2.0</v>
      </c>
      <c r="C14" s="67" t="s">
        <v>47</v>
      </c>
      <c r="D14" s="72">
        <f>-536.034829780584--536.036034526463</f>
        <v>0.001204745879</v>
      </c>
      <c r="E14" s="72">
        <f>-0.495422839636817--0.495122294760853</f>
        <v>-0.000300544876</v>
      </c>
      <c r="F14" s="72">
        <f>-1.31964336017049--1.31819390770997</f>
        <v>-0.001449452461</v>
      </c>
      <c r="G14" s="73">
        <f t="shared" si="2"/>
        <v>-0.001749997336</v>
      </c>
      <c r="H14" s="75">
        <f t="shared" si="3"/>
        <v>-0.001839524578</v>
      </c>
      <c r="I14" s="56">
        <f t="shared" si="4"/>
        <v>-0.001884288199</v>
      </c>
      <c r="J14" s="62">
        <f t="shared" si="5"/>
        <v>-0.0009674838742</v>
      </c>
      <c r="K14" s="85"/>
      <c r="L14" s="5">
        <f t="shared" si="6"/>
        <v>-1.431557702</v>
      </c>
      <c r="M14" s="5">
        <f t="shared" ref="M14:P14" si="21">G14*627.5096*4.184</f>
        <v>-4.594618298</v>
      </c>
      <c r="N14" s="5">
        <f t="shared" si="21"/>
        <v>-4.829672085</v>
      </c>
      <c r="O14" s="5">
        <f t="shared" si="21"/>
        <v>-4.947198979</v>
      </c>
      <c r="P14" s="5">
        <f t="shared" si="21"/>
        <v>-2.540129073</v>
      </c>
      <c r="R14" s="1">
        <v>2.0</v>
      </c>
      <c r="S14" s="5">
        <f t="shared" ref="S14:S16" si="23">1/R14^3</f>
        <v>0.125</v>
      </c>
      <c r="T14" s="17">
        <f t="shared" ref="T14:T17" si="24">F14</f>
        <v>-0.001449452461</v>
      </c>
      <c r="U14" s="17">
        <f t="shared" ref="U14:U17" si="25">E14</f>
        <v>-0.000300544876</v>
      </c>
      <c r="V14" s="17">
        <f t="shared" ref="V14:V17" si="26">T14+U14</f>
        <v>-0.001749997336</v>
      </c>
    </row>
    <row r="15">
      <c r="A15" s="67" t="s">
        <v>33</v>
      </c>
      <c r="B15" s="71">
        <v>2.0</v>
      </c>
      <c r="C15" s="67" t="s">
        <v>48</v>
      </c>
      <c r="D15" s="82">
        <f>-536.158654651154--536.160366876253</f>
        <v>0.001712225099</v>
      </c>
      <c r="E15" s="72">
        <f>-0.571145455830739--0.570983023564185</f>
        <v>-0.0001624322666</v>
      </c>
      <c r="F15" s="72">
        <f>-1.62271512274545--1.62163492463044</f>
        <v>-0.001080198115</v>
      </c>
      <c r="G15" s="73">
        <f t="shared" si="2"/>
        <v>-0.001242630382</v>
      </c>
      <c r="H15" s="75">
        <f t="shared" si="3"/>
        <v>-0.001350381827</v>
      </c>
      <c r="I15" s="56">
        <f t="shared" si="4"/>
        <v>-0.00140425755</v>
      </c>
      <c r="J15" s="62">
        <f t="shared" si="5"/>
        <v>-0.0006416168699</v>
      </c>
      <c r="K15" s="85"/>
      <c r="L15" s="5">
        <f t="shared" si="6"/>
        <v>1.23292093</v>
      </c>
      <c r="M15" s="5">
        <f t="shared" ref="M15:P15" si="22">G15*627.5096*4.184</f>
        <v>-3.262526274</v>
      </c>
      <c r="N15" s="5">
        <f t="shared" si="22"/>
        <v>-3.545427711</v>
      </c>
      <c r="O15" s="5">
        <f t="shared" si="22"/>
        <v>-3.68687843</v>
      </c>
      <c r="P15" s="5">
        <f t="shared" si="22"/>
        <v>-1.684565199</v>
      </c>
      <c r="R15" s="1">
        <v>3.0</v>
      </c>
      <c r="S15" s="5">
        <f t="shared" si="23"/>
        <v>0.03703703704</v>
      </c>
      <c r="T15" s="17">
        <f t="shared" si="24"/>
        <v>-0.001080198115</v>
      </c>
      <c r="U15" s="17">
        <f t="shared" si="25"/>
        <v>-0.0001624322666</v>
      </c>
      <c r="V15" s="17">
        <f t="shared" si="26"/>
        <v>-0.001242630382</v>
      </c>
    </row>
    <row r="16">
      <c r="A16" s="67" t="s">
        <v>33</v>
      </c>
      <c r="B16" s="71">
        <v>2.0</v>
      </c>
      <c r="C16" s="67" t="s">
        <v>49</v>
      </c>
      <c r="D16" s="72">
        <f>-536.190482893878--536.192229435541</f>
        <v>0.001746541663</v>
      </c>
      <c r="E16" s="67">
        <f>-0.591550821916805--0.591405348833555</f>
        <v>-0.0001454730832</v>
      </c>
      <c r="F16" s="67">
        <f> -1.73592268531982- -1.73496681726841</f>
        <v>-0.0009558680514</v>
      </c>
      <c r="G16" s="73">
        <f t="shared" si="2"/>
        <v>-0.001101341135</v>
      </c>
      <c r="H16" s="75">
        <f t="shared" si="3"/>
        <v>-0.001195532689</v>
      </c>
      <c r="I16" s="56">
        <f t="shared" si="4"/>
        <v>-0.001242628467</v>
      </c>
      <c r="J16" s="62">
        <f t="shared" si="5"/>
        <v>-0.000570007498</v>
      </c>
      <c r="K16" s="85"/>
      <c r="L16" s="5">
        <f t="shared" si="6"/>
        <v>1.693973987</v>
      </c>
      <c r="M16" s="5">
        <f t="shared" ref="M16:P16" si="27">G16*627.5096*4.184</f>
        <v>-2.891571332</v>
      </c>
      <c r="N16" s="5">
        <f t="shared" si="27"/>
        <v>-3.138871275</v>
      </c>
      <c r="O16" s="5">
        <f t="shared" si="27"/>
        <v>-3.262521246</v>
      </c>
      <c r="P16" s="5">
        <f t="shared" si="27"/>
        <v>-1.496554781</v>
      </c>
      <c r="R16" s="1">
        <v>4.0</v>
      </c>
      <c r="S16" s="5">
        <f t="shared" si="23"/>
        <v>0.015625</v>
      </c>
      <c r="T16" s="17">
        <f t="shared" si="24"/>
        <v>-0.0009558680514</v>
      </c>
      <c r="U16" s="17">
        <f t="shared" si="25"/>
        <v>-0.0001454730832</v>
      </c>
      <c r="V16" s="17">
        <f t="shared" si="26"/>
        <v>-0.001101341135</v>
      </c>
    </row>
    <row r="17">
      <c r="A17" s="67" t="s">
        <v>33</v>
      </c>
      <c r="B17" s="71">
        <v>2.0</v>
      </c>
      <c r="C17" s="67" t="s">
        <v>50</v>
      </c>
      <c r="D17" s="72">
        <f>D16</f>
        <v>0.001746541663</v>
      </c>
      <c r="E17" s="80">
        <f t="shared" ref="E17:F17" si="28">(3^3*E15-4^3*E16)/(3^3-4^3)</f>
        <v>-0.000133097463</v>
      </c>
      <c r="F17" s="80">
        <f t="shared" si="28"/>
        <v>-0.0008651407077</v>
      </c>
      <c r="G17" s="73">
        <f t="shared" si="2"/>
        <v>-0.0009982381707</v>
      </c>
      <c r="H17" s="75">
        <f t="shared" si="3"/>
        <v>-0.00108253467</v>
      </c>
      <c r="I17" s="56">
        <f t="shared" si="4"/>
        <v>-0.00112468292</v>
      </c>
      <c r="J17" s="62">
        <f t="shared" si="5"/>
        <v>-0.0005177520104</v>
      </c>
      <c r="K17" s="85"/>
      <c r="L17" s="5">
        <f t="shared" si="6"/>
        <v>1.964670819</v>
      </c>
      <c r="M17" s="5">
        <f t="shared" ref="M17:P17" si="29">G17*627.5096*4.184</f>
        <v>-2.620874483</v>
      </c>
      <c r="N17" s="5">
        <f t="shared" si="29"/>
        <v>-2.842194957</v>
      </c>
      <c r="O17" s="5">
        <f t="shared" si="29"/>
        <v>-2.952855194</v>
      </c>
      <c r="P17" s="5">
        <f t="shared" si="29"/>
        <v>-1.359357989</v>
      </c>
      <c r="S17" s="1">
        <v>0.0</v>
      </c>
      <c r="T17" s="5">
        <f t="shared" si="24"/>
        <v>-0.0008651407077</v>
      </c>
      <c r="U17" s="5">
        <f t="shared" si="25"/>
        <v>-0.000133097463</v>
      </c>
      <c r="V17" s="5">
        <f t="shared" si="26"/>
        <v>-0.0009982381707</v>
      </c>
    </row>
    <row r="18">
      <c r="A18" s="1" t="s">
        <v>15</v>
      </c>
      <c r="B18" s="38">
        <v>4.0</v>
      </c>
      <c r="C18" s="1" t="s">
        <v>47</v>
      </c>
      <c r="D18" s="5">
        <f> -230.721044333391--230.720987329832</f>
        <v>-0.00005700355899</v>
      </c>
      <c r="E18" s="5">
        <f>-0.205678238567805--0.205706172995942</f>
        <v>0.00002793442814</v>
      </c>
      <c r="F18" s="5">
        <f>-0.579328742083968- -0.579501093014558</f>
        <v>0.0001723509306</v>
      </c>
      <c r="G18" s="73">
        <f t="shared" si="2"/>
        <v>0.0002002853587</v>
      </c>
      <c r="H18" s="75">
        <f t="shared" si="3"/>
        <v>0.0002161325928</v>
      </c>
      <c r="I18" s="56">
        <f t="shared" si="4"/>
        <v>0.0002240562098</v>
      </c>
      <c r="J18" s="62">
        <f t="shared" si="5"/>
        <v>0.0001049757845</v>
      </c>
      <c r="K18" s="85"/>
      <c r="L18" s="5">
        <f t="shared" si="6"/>
        <v>0.3761863652</v>
      </c>
      <c r="M18" s="5">
        <f t="shared" ref="M18:P18" si="30">G18*627.5096*4.184</f>
        <v>0.5258492427</v>
      </c>
      <c r="N18" s="5">
        <f t="shared" si="30"/>
        <v>0.5674561582</v>
      </c>
      <c r="O18" s="5">
        <f t="shared" si="30"/>
        <v>0.588259616</v>
      </c>
      <c r="P18" s="5">
        <f t="shared" si="30"/>
        <v>0.2756139398</v>
      </c>
    </row>
    <row r="19">
      <c r="A19" s="1" t="s">
        <v>15</v>
      </c>
      <c r="B19" s="38">
        <v>4.0</v>
      </c>
      <c r="C19" s="1" t="s">
        <v>48</v>
      </c>
      <c r="D19" s="5">
        <f>-230.777288289514--230.777115230829</f>
        <v>-0.000173058685</v>
      </c>
      <c r="E19" s="5">
        <f>-0.237780351622128--0.237798197223895</f>
        <v>0.00001784560177</v>
      </c>
      <c r="F19" s="5">
        <f>-0.713630468011238- -0.713739795480525</f>
        <v>0.0001093274693</v>
      </c>
      <c r="G19" s="73">
        <f t="shared" si="2"/>
        <v>0.0001271730711</v>
      </c>
      <c r="H19" s="75">
        <f t="shared" si="3"/>
        <v>0.0001371414971</v>
      </c>
      <c r="I19" s="56">
        <f t="shared" si="4"/>
        <v>0.0001421257101</v>
      </c>
      <c r="J19" s="62">
        <f t="shared" si="5"/>
        <v>0.00006675181399</v>
      </c>
      <c r="K19" s="85"/>
      <c r="L19" s="5">
        <f t="shared" si="6"/>
        <v>-0.1204726794</v>
      </c>
      <c r="M19" s="5">
        <f t="shared" ref="M19:P19" si="31">G19*627.5096*4.184</f>
        <v>0.3338929192</v>
      </c>
      <c r="N19" s="5">
        <f t="shared" si="31"/>
        <v>0.3600650234</v>
      </c>
      <c r="O19" s="5">
        <f t="shared" si="31"/>
        <v>0.3731510754</v>
      </c>
      <c r="P19" s="5">
        <f t="shared" si="31"/>
        <v>0.1752568987</v>
      </c>
    </row>
    <row r="20">
      <c r="A20" s="1" t="s">
        <v>15</v>
      </c>
      <c r="B20" s="38">
        <v>4.0</v>
      </c>
      <c r="C20" s="1" t="s">
        <v>49</v>
      </c>
      <c r="D20" s="5">
        <f t="shared" ref="D20:D21" si="33">-230.791476685078--230.791296329525</f>
        <v>-0.000180355553</v>
      </c>
      <c r="E20" s="5">
        <f>-0.246507996398177- -0.246526469522447</f>
        <v>0.00001847312427</v>
      </c>
      <c r="F20" s="5">
        <f>-0.763048117577911- -0.763148625260365</f>
        <v>0.0001005076825</v>
      </c>
      <c r="G20" s="73">
        <f t="shared" si="2"/>
        <v>0.0001189808067</v>
      </c>
      <c r="H20" s="75">
        <f t="shared" si="3"/>
        <v>0.000126766927</v>
      </c>
      <c r="I20" s="56">
        <f t="shared" si="4"/>
        <v>0.0001306599872</v>
      </c>
      <c r="J20" s="62">
        <f t="shared" si="5"/>
        <v>0.00006403340329</v>
      </c>
      <c r="K20" s="85"/>
      <c r="L20" s="5">
        <f t="shared" si="6"/>
        <v>-0.1611393963</v>
      </c>
      <c r="M20" s="5">
        <f t="shared" ref="M20:P20" si="32">G20*627.5096*4.184</f>
        <v>0.3123841279</v>
      </c>
      <c r="N20" s="5">
        <f t="shared" si="32"/>
        <v>0.332826588</v>
      </c>
      <c r="O20" s="5">
        <f t="shared" si="32"/>
        <v>0.3430478181</v>
      </c>
      <c r="P20" s="5">
        <f t="shared" si="32"/>
        <v>0.168119711</v>
      </c>
    </row>
    <row r="21">
      <c r="A21" s="1" t="s">
        <v>15</v>
      </c>
      <c r="B21" s="38">
        <v>4.0</v>
      </c>
      <c r="C21" s="1" t="s">
        <v>50</v>
      </c>
      <c r="D21" s="5">
        <f t="shared" si="33"/>
        <v>-0.000180355553</v>
      </c>
      <c r="E21" s="21">
        <f t="shared" ref="E21:F21" si="34">(3^3*E19-4^3*E20)/(3^3-4^3)</f>
        <v>0.0000189310461</v>
      </c>
      <c r="F21" s="21">
        <f t="shared" si="34"/>
        <v>0.00009407162179</v>
      </c>
      <c r="G21" s="73">
        <f t="shared" si="2"/>
        <v>0.0001130026679</v>
      </c>
      <c r="H21" s="75">
        <f t="shared" si="3"/>
        <v>0.0001191962948</v>
      </c>
      <c r="I21" s="56">
        <f t="shared" si="4"/>
        <v>0.0001222931083</v>
      </c>
      <c r="J21" s="62">
        <f t="shared" si="5"/>
        <v>0.00006204969818</v>
      </c>
      <c r="K21" s="85"/>
      <c r="L21" s="91">
        <f t="shared" si="6"/>
        <v>-0.1768349999</v>
      </c>
      <c r="M21" s="5">
        <f t="shared" ref="M21:P21" si="35">G21*627.5096*4.184</f>
        <v>0.2966885233</v>
      </c>
      <c r="N21" s="5">
        <f t="shared" si="35"/>
        <v>0.312949892</v>
      </c>
      <c r="O21" s="5">
        <f t="shared" si="35"/>
        <v>0.3210805763</v>
      </c>
      <c r="P21" s="5">
        <f t="shared" si="35"/>
        <v>0.1629114929</v>
      </c>
    </row>
    <row r="22">
      <c r="A22" s="67" t="s">
        <v>51</v>
      </c>
      <c r="B22" s="71">
        <v>4.0</v>
      </c>
      <c r="C22" s="67" t="s">
        <v>47</v>
      </c>
      <c r="D22" s="72">
        <f>-187.649309013798- -187.648898759859</f>
        <v>-0.000410253939</v>
      </c>
      <c r="E22" s="72">
        <f>-0.135997154958374--0.136149136919073</f>
        <v>0.0001519819607</v>
      </c>
      <c r="F22" s="72">
        <f>-0.347904259856056- -0.348264103979568</f>
        <v>0.0003598441235</v>
      </c>
      <c r="G22" s="73">
        <f t="shared" si="2"/>
        <v>0.0005118260842</v>
      </c>
      <c r="H22" s="75">
        <f t="shared" si="3"/>
        <v>0.0004824736018</v>
      </c>
      <c r="I22" s="56">
        <f t="shared" si="4"/>
        <v>0.0004677973606</v>
      </c>
      <c r="J22" s="62">
        <f t="shared" si="5"/>
        <v>0.0003399943787</v>
      </c>
      <c r="K22" s="85"/>
      <c r="L22" s="5">
        <f t="shared" si="6"/>
        <v>0.2666776673</v>
      </c>
      <c r="M22" s="5">
        <f t="shared" ref="M22:P22" si="36">G22*627.5096*4.184</f>
        <v>1.343799469</v>
      </c>
      <c r="N22" s="5">
        <f t="shared" si="36"/>
        <v>1.266734522</v>
      </c>
      <c r="O22" s="5">
        <f t="shared" si="36"/>
        <v>1.228202048</v>
      </c>
      <c r="P22" s="5">
        <f t="shared" si="36"/>
        <v>0.8926552979</v>
      </c>
    </row>
    <row r="23">
      <c r="A23" s="67" t="s">
        <v>51</v>
      </c>
      <c r="B23" s="71">
        <v>4.0</v>
      </c>
      <c r="C23" s="67" t="s">
        <v>48</v>
      </c>
      <c r="D23" s="72">
        <f>-187.705180312416--187.704714518391</f>
        <v>-0.000465794025</v>
      </c>
      <c r="E23" s="72">
        <f>-0.162057972782197- -0.162195779391541</f>
        <v>0.0001378066093</v>
      </c>
      <c r="F23" s="72">
        <f>-0.441123752216066- -0.441455992839483</f>
        <v>0.0003322406234</v>
      </c>
      <c r="G23" s="73">
        <f t="shared" si="2"/>
        <v>0.0004700472328</v>
      </c>
      <c r="H23" s="75">
        <f t="shared" si="3"/>
        <v>0.0004446242845</v>
      </c>
      <c r="I23" s="56">
        <f t="shared" si="4"/>
        <v>0.0004319128104</v>
      </c>
      <c r="J23" s="62">
        <f t="shared" si="5"/>
        <v>0.0003106667754</v>
      </c>
      <c r="K23" s="85"/>
      <c r="L23" s="5">
        <f t="shared" si="6"/>
        <v>0.011166797</v>
      </c>
      <c r="M23" s="5">
        <f t="shared" ref="M23:P23" si="37">G23*627.5096*4.184</f>
        <v>1.234109088</v>
      </c>
      <c r="N23" s="5">
        <f t="shared" si="37"/>
        <v>1.167361133</v>
      </c>
      <c r="O23" s="5">
        <f t="shared" si="37"/>
        <v>1.133987156</v>
      </c>
      <c r="P23" s="5">
        <f t="shared" si="37"/>
        <v>0.8156556706</v>
      </c>
    </row>
    <row r="24">
      <c r="A24" s="67" t="s">
        <v>51</v>
      </c>
      <c r="B24" s="71">
        <v>4.0</v>
      </c>
      <c r="C24" s="67" t="s">
        <v>49</v>
      </c>
      <c r="D24" s="72">
        <f>-187.719496645741--187.71900938085</f>
        <v>-0.000487264891</v>
      </c>
      <c r="E24" s="72">
        <f>-0.169864353243551--0.17000048204483</f>
        <v>0.0001361288013</v>
      </c>
      <c r="F24" s="72">
        <f>-0.479419106495254--0.479736058090799</f>
        <v>0.0003169515955</v>
      </c>
      <c r="G24" s="73">
        <f t="shared" si="2"/>
        <v>0.0004530803968</v>
      </c>
      <c r="H24" s="75">
        <f t="shared" si="3"/>
        <v>0.0004257181817</v>
      </c>
      <c r="I24" s="56">
        <f t="shared" si="4"/>
        <v>0.0004120370742</v>
      </c>
      <c r="J24" s="62">
        <f t="shared" si="5"/>
        <v>0.0003023867919</v>
      </c>
      <c r="K24" s="85"/>
      <c r="L24" s="5">
        <f t="shared" si="6"/>
        <v>-0.08975138948</v>
      </c>
      <c r="M24" s="5">
        <f t="shared" ref="M24:P24" si="38">G24*627.5096*4.184</f>
        <v>1.189562657</v>
      </c>
      <c r="N24" s="5">
        <f t="shared" si="38"/>
        <v>1.117723157</v>
      </c>
      <c r="O24" s="5">
        <f t="shared" si="38"/>
        <v>1.081803407</v>
      </c>
      <c r="P24" s="5">
        <f t="shared" si="38"/>
        <v>0.7939165724</v>
      </c>
    </row>
    <row r="25">
      <c r="A25" s="67" t="s">
        <v>51</v>
      </c>
      <c r="B25" s="71">
        <v>4.0</v>
      </c>
      <c r="C25" s="67" t="s">
        <v>50</v>
      </c>
      <c r="D25" s="72">
        <f>D24</f>
        <v>-0.000487264891</v>
      </c>
      <c r="E25" s="75">
        <f t="shared" ref="E25:F25" si="39">(3^3*E23-4^3*E24)/(3^3-4^3)</f>
        <v>0.0001349044549</v>
      </c>
      <c r="F25" s="75">
        <f t="shared" si="39"/>
        <v>0.0003057947374</v>
      </c>
      <c r="G25" s="73">
        <f t="shared" si="2"/>
        <v>0.0004406991922</v>
      </c>
      <c r="H25" s="75">
        <f t="shared" si="3"/>
        <v>0.0004119218365</v>
      </c>
      <c r="I25" s="56">
        <f t="shared" si="4"/>
        <v>0.0003975331586</v>
      </c>
      <c r="J25" s="62">
        <f t="shared" si="5"/>
        <v>0.0002963446417</v>
      </c>
      <c r="K25" s="85"/>
      <c r="L25" s="91">
        <f t="shared" si="6"/>
        <v>-0.1222582422</v>
      </c>
      <c r="M25" s="5">
        <f t="shared" ref="M25:P25" si="40">G25*627.5096*4.184</f>
        <v>1.157055803</v>
      </c>
      <c r="N25" s="5">
        <f t="shared" si="40"/>
        <v>1.08150085</v>
      </c>
      <c r="O25" s="5">
        <f t="shared" si="40"/>
        <v>1.043723374</v>
      </c>
      <c r="P25" s="5">
        <f t="shared" si="40"/>
        <v>0.7780529061</v>
      </c>
    </row>
    <row r="26">
      <c r="A26" s="67" t="s">
        <v>18</v>
      </c>
      <c r="B26" s="71">
        <v>8.0</v>
      </c>
      <c r="C26" s="67" t="s">
        <v>47</v>
      </c>
      <c r="D26" s="72">
        <f>-147.917409260166--147.923582109294</f>
        <v>0.006172849128</v>
      </c>
      <c r="E26" s="72">
        <f>-0.118570660387194--0.117944714857976</f>
        <v>-0.0006259455292</v>
      </c>
      <c r="F26" s="72">
        <f>-0.331207810867546--0.330873099046147</f>
        <v>-0.0003347118214</v>
      </c>
      <c r="G26" s="73">
        <f t="shared" si="2"/>
        <v>-0.0009606573506</v>
      </c>
      <c r="H26" s="75">
        <f t="shared" si="3"/>
        <v>-0.0006103026954</v>
      </c>
      <c r="I26" s="56">
        <f t="shared" si="4"/>
        <v>-0.0004351253678</v>
      </c>
      <c r="J26" s="62">
        <f t="shared" si="5"/>
        <v>-0.0009413544613</v>
      </c>
      <c r="K26" s="85"/>
      <c r="L26" s="5">
        <f t="shared" si="6"/>
        <v>13.68460951</v>
      </c>
      <c r="M26" s="5">
        <f t="shared" ref="M26:P26" si="41">G26*627.5096*4.184</f>
        <v>-2.522206034</v>
      </c>
      <c r="N26" s="5">
        <f t="shared" si="41"/>
        <v>-1.602349828</v>
      </c>
      <c r="O26" s="5">
        <f t="shared" si="41"/>
        <v>-1.142421726</v>
      </c>
      <c r="P26" s="5">
        <f t="shared" si="41"/>
        <v>-2.471526295</v>
      </c>
    </row>
    <row r="27">
      <c r="A27" s="67" t="s">
        <v>18</v>
      </c>
      <c r="B27" s="71">
        <v>8.0</v>
      </c>
      <c r="C27" s="67" t="s">
        <v>48</v>
      </c>
      <c r="D27" s="82">
        <f>-147.959380768661--147.965353442004</f>
        <v>0.005972673343</v>
      </c>
      <c r="E27" s="72">
        <f> -0.14002704526462--0.139265059539809</f>
        <v>-0.0007619857248</v>
      </c>
      <c r="F27" s="72">
        <f>-0.41312426270246- -0.412727980857448</f>
        <v>-0.000396281845</v>
      </c>
      <c r="G27" s="73">
        <f t="shared" si="2"/>
        <v>-0.00115826757</v>
      </c>
      <c r="H27" s="75">
        <f t="shared" si="3"/>
        <v>-0.0007295334556</v>
      </c>
      <c r="I27" s="56">
        <f t="shared" si="4"/>
        <v>-0.0005151663985</v>
      </c>
      <c r="J27" s="62">
        <f t="shared" si="5"/>
        <v>-0.001141474323</v>
      </c>
      <c r="K27" s="85"/>
      <c r="L27" s="5">
        <f t="shared" si="6"/>
        <v>12.64022236</v>
      </c>
      <c r="M27" s="5">
        <f t="shared" ref="M27:P27" si="42">G27*627.5096*4.184</f>
        <v>-3.041031697</v>
      </c>
      <c r="N27" s="5">
        <f t="shared" si="42"/>
        <v>-1.915390209</v>
      </c>
      <c r="O27" s="5">
        <f t="shared" si="42"/>
        <v>-1.352569465</v>
      </c>
      <c r="P27" s="5">
        <f t="shared" si="42"/>
        <v>-2.996941025</v>
      </c>
    </row>
    <row r="28">
      <c r="A28" s="67" t="s">
        <v>18</v>
      </c>
      <c r="B28" s="71">
        <v>8.0</v>
      </c>
      <c r="C28" s="67" t="s">
        <v>49</v>
      </c>
      <c r="D28" s="72">
        <f>-147.969987400831--147.975897773732</f>
        <v>0.005910372901</v>
      </c>
      <c r="E28" s="72">
        <f>-0.146123184900111--0.145307524838598</f>
        <v>-0.0008156600615</v>
      </c>
      <c r="F28" s="72">
        <f>-0.444586210930324--0.444087384655866</f>
        <v>-0.0004988262745</v>
      </c>
      <c r="G28" s="73">
        <f t="shared" si="2"/>
        <v>-0.001314486336</v>
      </c>
      <c r="H28" s="75">
        <f t="shared" si="3"/>
        <v>-0.0008704782165</v>
      </c>
      <c r="I28" s="56">
        <f t="shared" si="4"/>
        <v>-0.0006484741568</v>
      </c>
      <c r="J28" s="62">
        <f t="shared" si="5"/>
        <v>-0.001251731989</v>
      </c>
      <c r="K28" s="85"/>
      <c r="L28" s="5">
        <f t="shared" si="6"/>
        <v>12.06650018</v>
      </c>
      <c r="M28" s="5">
        <f t="shared" ref="M28:P28" si="43">G28*627.5096*4.184</f>
        <v>-3.451184094</v>
      </c>
      <c r="N28" s="5">
        <f t="shared" si="43"/>
        <v>-2.285440702</v>
      </c>
      <c r="O28" s="5">
        <f t="shared" si="43"/>
        <v>-1.702569007</v>
      </c>
      <c r="P28" s="5">
        <f t="shared" si="43"/>
        <v>-3.286422546</v>
      </c>
    </row>
    <row r="29">
      <c r="A29" s="67" t="s">
        <v>18</v>
      </c>
      <c r="B29" s="71">
        <v>8.0</v>
      </c>
      <c r="C29" s="67" t="s">
        <v>50</v>
      </c>
      <c r="D29" s="72">
        <f>D28</f>
        <v>0.005910372901</v>
      </c>
      <c r="E29" s="72">
        <f t="shared" ref="E29:F29" si="44">(3^3*E27-4^3*E28)/(3^3-4^3)</f>
        <v>-0.0008548278207</v>
      </c>
      <c r="F29" s="72">
        <f t="shared" si="44"/>
        <v>-0.0005736559932</v>
      </c>
      <c r="G29" s="73">
        <f t="shared" si="2"/>
        <v>-0.001428483814</v>
      </c>
      <c r="H29" s="75">
        <f t="shared" si="3"/>
        <v>-0.0009733297988</v>
      </c>
      <c r="I29" s="56">
        <f t="shared" si="4"/>
        <v>-0.0007457527912</v>
      </c>
      <c r="J29" s="62">
        <f t="shared" si="5"/>
        <v>-0.001332190286</v>
      </c>
      <c r="K29" s="85"/>
      <c r="L29" s="5">
        <f t="shared" si="6"/>
        <v>11.7671998</v>
      </c>
      <c r="M29" s="5">
        <f t="shared" ref="M29:P29" si="45">G29*627.5096*4.184</f>
        <v>-3.750484491</v>
      </c>
      <c r="N29" s="5">
        <f t="shared" si="45"/>
        <v>-2.555477549</v>
      </c>
      <c r="O29" s="5">
        <f t="shared" si="45"/>
        <v>-1.957974077</v>
      </c>
      <c r="P29" s="5">
        <f t="shared" si="45"/>
        <v>-3.497665818</v>
      </c>
    </row>
    <row r="30">
      <c r="A30" s="67" t="s">
        <v>34</v>
      </c>
      <c r="B30" s="71">
        <v>4.0</v>
      </c>
      <c r="C30" s="67" t="s">
        <v>47</v>
      </c>
      <c r="D30" s="72">
        <f>-392.636645975313--392.648582665931</f>
        <v>0.01193669062</v>
      </c>
      <c r="E30" s="72">
        <f>-0.321511578987065--0.320461703177531</f>
        <v>-0.00104987581</v>
      </c>
      <c r="F30" s="72">
        <f>-0.857928392276151--0.855871426240016</f>
        <v>-0.002056966036</v>
      </c>
      <c r="G30" s="73">
        <f t="shared" si="2"/>
        <v>-0.003106841846</v>
      </c>
      <c r="H30" s="75">
        <f t="shared" si="3"/>
        <v>-0.002818317847</v>
      </c>
      <c r="I30" s="56">
        <f t="shared" si="4"/>
        <v>-0.002674055847</v>
      </c>
      <c r="J30" s="62">
        <f t="shared" si="5"/>
        <v>-0.002177126209</v>
      </c>
      <c r="K30" s="85"/>
      <c r="L30" s="5">
        <f t="shared" si="6"/>
        <v>23.18276795</v>
      </c>
      <c r="M30" s="5">
        <f t="shared" ref="M30:P30" si="46">G30*627.5096*4.184</f>
        <v>-8.157013783</v>
      </c>
      <c r="N30" s="5">
        <f t="shared" si="46"/>
        <v>-7.399493975</v>
      </c>
      <c r="O30" s="5">
        <f t="shared" si="46"/>
        <v>-7.020734071</v>
      </c>
      <c r="P30" s="5">
        <f t="shared" si="46"/>
        <v>-5.716045223</v>
      </c>
    </row>
    <row r="31">
      <c r="A31" s="67" t="s">
        <v>34</v>
      </c>
      <c r="B31" s="71">
        <v>4.0</v>
      </c>
      <c r="C31" s="67" t="s">
        <v>48</v>
      </c>
      <c r="D31" s="72">
        <f>-392.744493632468--392.756612506809</f>
        <v>0.01211887434</v>
      </c>
      <c r="E31" s="72">
        <f>-0.380265126918725- -0.379073657767881</f>
        <v>-0.001191469151</v>
      </c>
      <c r="F31" s="72">
        <f>-1.07631865619323--1.07417373894519</f>
        <v>-0.002144917248</v>
      </c>
      <c r="G31" s="73">
        <f t="shared" si="2"/>
        <v>-0.003336386399</v>
      </c>
      <c r="H31" s="75">
        <f t="shared" si="3"/>
        <v>-0.002971057081</v>
      </c>
      <c r="I31" s="56">
        <f t="shared" si="4"/>
        <v>-0.002788392422</v>
      </c>
      <c r="J31" s="62">
        <f t="shared" si="5"/>
        <v>-0.002394962104</v>
      </c>
      <c r="K31" s="85"/>
      <c r="L31" s="5">
        <f t="shared" si="6"/>
        <v>23.05842209</v>
      </c>
      <c r="M31" s="5">
        <f t="shared" ref="M31:P31" si="47">G31*627.5096*4.184</f>
        <v>-8.759683045</v>
      </c>
      <c r="N31" s="5">
        <f t="shared" si="47"/>
        <v>-7.800510861</v>
      </c>
      <c r="O31" s="5">
        <f t="shared" si="47"/>
        <v>-7.320924769</v>
      </c>
      <c r="P31" s="5">
        <f t="shared" si="47"/>
        <v>-6.287973402</v>
      </c>
    </row>
    <row r="32">
      <c r="A32" s="67" t="s">
        <v>34</v>
      </c>
      <c r="B32" s="71">
        <v>4.0</v>
      </c>
      <c r="C32" s="67" t="s">
        <v>49</v>
      </c>
      <c r="D32" s="72">
        <f>-392.772526340294--392.784603706553</f>
        <v>0.01207736626</v>
      </c>
      <c r="E32" s="67">
        <f>-0.396936473426609--0.395689497575365</f>
        <v>-0.001246975851</v>
      </c>
      <c r="F32" s="67">
        <f>-1.16033933115973--1.15812725140508</f>
        <v>-0.002212079755</v>
      </c>
      <c r="G32" s="73">
        <f t="shared" si="2"/>
        <v>-0.003459055606</v>
      </c>
      <c r="H32" s="75">
        <f t="shared" si="3"/>
        <v>-0.003070154323</v>
      </c>
      <c r="I32" s="56">
        <f t="shared" si="4"/>
        <v>-0.002875703681</v>
      </c>
      <c r="J32" s="62">
        <f t="shared" si="5"/>
        <v>-0.00249343075</v>
      </c>
      <c r="K32" s="85"/>
      <c r="L32" s="5">
        <f t="shared" si="6"/>
        <v>22.62737462</v>
      </c>
      <c r="M32" s="5">
        <f t="shared" ref="M32:P32" si="48">G32*627.5096*4.184</f>
        <v>-9.081751069</v>
      </c>
      <c r="N32" s="5">
        <f t="shared" si="48"/>
        <v>-8.060690685</v>
      </c>
      <c r="O32" s="5">
        <f t="shared" si="48"/>
        <v>-7.550160493</v>
      </c>
      <c r="P32" s="5">
        <f t="shared" si="48"/>
        <v>-6.546502849</v>
      </c>
    </row>
    <row r="33">
      <c r="A33" s="67" t="s">
        <v>34</v>
      </c>
      <c r="B33" s="71">
        <v>4.0</v>
      </c>
      <c r="C33" s="67" t="s">
        <v>50</v>
      </c>
      <c r="D33" s="72">
        <f>D32</f>
        <v>0.01207736626</v>
      </c>
      <c r="E33" s="75">
        <f t="shared" ref="E33:F33" si="49">(3^3*E31-4^3*E32)/(3^3-4^3)</f>
        <v>-0.001287480741</v>
      </c>
      <c r="F33" s="75">
        <f t="shared" si="49"/>
        <v>-0.002261090232</v>
      </c>
      <c r="G33" s="73">
        <f t="shared" si="2"/>
        <v>-0.003548570973</v>
      </c>
      <c r="H33" s="75">
        <f t="shared" si="3"/>
        <v>-0.003142468526</v>
      </c>
      <c r="I33" s="56">
        <f t="shared" si="4"/>
        <v>-0.002939417302</v>
      </c>
      <c r="J33" s="62">
        <f t="shared" si="5"/>
        <v>-0.002565286249</v>
      </c>
      <c r="K33" s="85"/>
      <c r="L33" s="5">
        <f t="shared" si="6"/>
        <v>22.39235202</v>
      </c>
      <c r="M33" s="5">
        <f t="shared" ref="M33:P33" si="50">G33*627.5096*4.184</f>
        <v>-9.316773681</v>
      </c>
      <c r="N33" s="5">
        <f t="shared" si="50"/>
        <v>-8.250551638</v>
      </c>
      <c r="O33" s="5">
        <f t="shared" si="50"/>
        <v>-7.717440616</v>
      </c>
      <c r="P33" s="5">
        <f t="shared" si="50"/>
        <v>-6.735159472</v>
      </c>
    </row>
    <row r="34">
      <c r="A34" s="67" t="s">
        <v>52</v>
      </c>
      <c r="B34" s="71">
        <v>2.0</v>
      </c>
      <c r="C34" s="67" t="s">
        <v>47</v>
      </c>
      <c r="D34" s="72">
        <f>-321.90770005448--321.9107077709</f>
        <v>0.00300771642</v>
      </c>
      <c r="E34" s="72">
        <f>-0.242425435777043- -0.242289086827583</f>
        <v>-0.0001363489495</v>
      </c>
      <c r="F34" s="72">
        <f>-0.702576259204077--0.702442943902298</f>
        <v>-0.0001333153018</v>
      </c>
      <c r="G34" s="73">
        <f t="shared" si="2"/>
        <v>-0.0002696642512</v>
      </c>
      <c r="H34" s="75">
        <f t="shared" si="3"/>
        <v>-0.000205428012</v>
      </c>
      <c r="I34" s="56">
        <f t="shared" si="4"/>
        <v>-0.0001733098923</v>
      </c>
      <c r="J34" s="62">
        <f t="shared" si="5"/>
        <v>-0.0002292162655</v>
      </c>
      <c r="K34" s="85"/>
      <c r="L34" s="5">
        <f t="shared" si="6"/>
        <v>7.188755969</v>
      </c>
      <c r="M34" s="5">
        <f t="shared" ref="M34:P34" si="51">G34*627.5096*4.184</f>
        <v>-0.7080035365</v>
      </c>
      <c r="N34" s="5">
        <f t="shared" si="51"/>
        <v>-0.5393512796</v>
      </c>
      <c r="O34" s="5">
        <f t="shared" si="51"/>
        <v>-0.4550251511</v>
      </c>
      <c r="P34" s="5">
        <f t="shared" si="51"/>
        <v>-0.6018073433</v>
      </c>
    </row>
    <row r="35">
      <c r="A35" s="67" t="s">
        <v>52</v>
      </c>
      <c r="B35" s="71">
        <v>2.0</v>
      </c>
      <c r="C35" s="67" t="s">
        <v>48</v>
      </c>
      <c r="D35" s="72">
        <f>-322.004586590484--322.007724311556</f>
        <v>0.003137721072</v>
      </c>
      <c r="E35" s="72">
        <f>-0.291856973908309--0.291648936637501</f>
        <v>-0.0002080372708</v>
      </c>
      <c r="F35" s="72">
        <f>-0.888690933956823--0.888421023891565</f>
        <v>-0.0002699100653</v>
      </c>
      <c r="G35" s="73">
        <f t="shared" si="2"/>
        <v>-0.0004779473361</v>
      </c>
      <c r="H35" s="75">
        <f t="shared" si="3"/>
        <v>-0.0003932378352</v>
      </c>
      <c r="I35" s="56">
        <f t="shared" si="4"/>
        <v>-0.0003508830848</v>
      </c>
      <c r="J35" s="62">
        <f t="shared" si="5"/>
        <v>-0.0003763321054</v>
      </c>
      <c r="K35" s="85"/>
      <c r="L35" s="5">
        <f t="shared" si="6"/>
        <v>6.983235944</v>
      </c>
      <c r="M35" s="5">
        <f t="shared" ref="M35:P35" si="52">G35*627.5096*4.184</f>
        <v>-1.25485081</v>
      </c>
      <c r="N35" s="5">
        <f t="shared" si="52"/>
        <v>-1.032446002</v>
      </c>
      <c r="O35" s="5">
        <f t="shared" si="52"/>
        <v>-0.9212435976</v>
      </c>
      <c r="P35" s="5">
        <f t="shared" si="52"/>
        <v>-0.9880600055</v>
      </c>
    </row>
    <row r="36">
      <c r="A36" s="67" t="s">
        <v>52</v>
      </c>
      <c r="B36" s="71">
        <v>2.0</v>
      </c>
      <c r="C36" s="67" t="s">
        <v>49</v>
      </c>
      <c r="D36" s="72">
        <f>-322.028010904457--322.031129475066</f>
        <v>0.003118570609</v>
      </c>
      <c r="E36" s="72">
        <f>-0.305818677208944--0.305576773444308</f>
        <v>-0.0002419037646</v>
      </c>
      <c r="F36" s="72">
        <f>-0.958703075206516--0.958376281155572</f>
        <v>-0.0003267940509</v>
      </c>
      <c r="G36" s="73">
        <f t="shared" si="2"/>
        <v>-0.0005686978156</v>
      </c>
      <c r="H36" s="75">
        <f t="shared" si="3"/>
        <v>-0.0004727874493</v>
      </c>
      <c r="I36" s="56">
        <f t="shared" si="4"/>
        <v>-0.0004248322662</v>
      </c>
      <c r="J36" s="62">
        <f t="shared" si="5"/>
        <v>-0.0004427734768</v>
      </c>
      <c r="K36" s="85"/>
      <c r="L36" s="5">
        <f t="shared" si="6"/>
        <v>6.694691019</v>
      </c>
      <c r="M36" s="5">
        <f t="shared" ref="M36:P36" si="53">G36*627.5096*4.184</f>
        <v>-1.493116209</v>
      </c>
      <c r="N36" s="5">
        <f t="shared" si="53"/>
        <v>-1.241303527</v>
      </c>
      <c r="O36" s="5">
        <f t="shared" si="53"/>
        <v>-1.115397186</v>
      </c>
      <c r="P36" s="5">
        <f t="shared" si="53"/>
        <v>-1.162501837</v>
      </c>
    </row>
    <row r="37">
      <c r="A37" s="67" t="s">
        <v>52</v>
      </c>
      <c r="B37" s="71">
        <v>2.0</v>
      </c>
      <c r="C37" s="67" t="s">
        <v>50</v>
      </c>
      <c r="D37" s="72">
        <f>D36</f>
        <v>0.003118570609</v>
      </c>
      <c r="E37" s="72">
        <f t="shared" ref="E37:F37" si="54">(3^3*E35-4^3*E36)/(3^3-4^3)</f>
        <v>-0.000266617152</v>
      </c>
      <c r="F37" s="72">
        <f t="shared" si="54"/>
        <v>-0.0003683039864</v>
      </c>
      <c r="G37" s="73">
        <f t="shared" si="2"/>
        <v>-0.0006349211385</v>
      </c>
      <c r="H37" s="75">
        <f t="shared" si="3"/>
        <v>-0.0005308371677</v>
      </c>
      <c r="I37" s="56">
        <f t="shared" si="4"/>
        <v>-0.0004787951824</v>
      </c>
      <c r="J37" s="62">
        <f t="shared" si="5"/>
        <v>-0.0004912577207</v>
      </c>
      <c r="K37" s="85"/>
      <c r="L37" s="5">
        <f t="shared" si="6"/>
        <v>6.520821685</v>
      </c>
      <c r="M37" s="5">
        <f t="shared" ref="M37:P37" si="55">G37*627.5096*4.184</f>
        <v>-1.666985555</v>
      </c>
      <c r="N37" s="5">
        <f t="shared" si="55"/>
        <v>-1.393713072</v>
      </c>
      <c r="O37" s="5">
        <f t="shared" si="55"/>
        <v>-1.257076831</v>
      </c>
      <c r="P37" s="5">
        <f t="shared" si="55"/>
        <v>-1.289797227</v>
      </c>
    </row>
    <row r="38">
      <c r="A38" s="67" t="s">
        <v>20</v>
      </c>
      <c r="B38" s="71">
        <v>4.0</v>
      </c>
      <c r="C38" s="67" t="s">
        <v>47</v>
      </c>
      <c r="D38" s="72">
        <f>-168.940467875694--168.946780401649</f>
        <v>0.006312525955</v>
      </c>
      <c r="E38" s="72">
        <f>-0.126829335016671--0.12604311826584</f>
        <v>-0.0007862167508</v>
      </c>
      <c r="F38" s="72">
        <f>-0.359787713140189--0.358070372718025</f>
        <v>-0.001717340422</v>
      </c>
      <c r="G38" s="73">
        <f t="shared" si="2"/>
        <v>-0.002503557173</v>
      </c>
      <c r="H38" s="75">
        <f t="shared" si="3"/>
        <v>-0.002322880757</v>
      </c>
      <c r="I38" s="56">
        <f t="shared" si="4"/>
        <v>-0.002232542549</v>
      </c>
      <c r="J38" s="62">
        <f t="shared" si="5"/>
        <v>-0.001701155777</v>
      </c>
      <c r="K38" s="85"/>
      <c r="L38" s="5">
        <f t="shared" si="6"/>
        <v>10.00044754</v>
      </c>
      <c r="M38" s="5">
        <f t="shared" ref="M38:P38" si="56">G38*627.5096*4.184</f>
        <v>-6.573089774</v>
      </c>
      <c r="N38" s="5">
        <f t="shared" si="56"/>
        <v>-6.098723814</v>
      </c>
      <c r="O38" s="5">
        <f t="shared" si="56"/>
        <v>-5.861540833</v>
      </c>
      <c r="P38" s="5">
        <f t="shared" si="56"/>
        <v>-4.466384777</v>
      </c>
    </row>
    <row r="39">
      <c r="A39" s="67" t="s">
        <v>20</v>
      </c>
      <c r="B39" s="71">
        <v>4.0</v>
      </c>
      <c r="C39" s="67" t="s">
        <v>48</v>
      </c>
      <c r="D39" s="72">
        <f>-168.993258868168--168.999747023059</f>
        <v>0.006488154891</v>
      </c>
      <c r="E39" s="72">
        <f>-0.152279361429197--0.15141231705883</f>
        <v>-0.0008670443704</v>
      </c>
      <c r="F39" s="72">
        <f>-0.455674054707633--0.453913338830078</f>
        <v>-0.001760715878</v>
      </c>
      <c r="G39" s="73">
        <f t="shared" si="2"/>
        <v>-0.002627760248</v>
      </c>
      <c r="H39" s="75">
        <f t="shared" si="3"/>
        <v>-0.002401873843</v>
      </c>
      <c r="I39" s="56">
        <f t="shared" si="4"/>
        <v>-0.002288930641</v>
      </c>
      <c r="J39" s="62">
        <f t="shared" si="5"/>
        <v>-0.001822773589</v>
      </c>
      <c r="K39" s="85"/>
      <c r="L39" s="5">
        <f t="shared" si="6"/>
        <v>10.13546614</v>
      </c>
      <c r="M39" s="5">
        <f t="shared" ref="M39:P39" si="57">G39*627.5096*4.184</f>
        <v>-6.899184968</v>
      </c>
      <c r="N39" s="5">
        <f t="shared" si="57"/>
        <v>-6.306120175</v>
      </c>
      <c r="O39" s="5">
        <f t="shared" si="57"/>
        <v>-6.009587778</v>
      </c>
      <c r="P39" s="5">
        <f t="shared" si="57"/>
        <v>-4.785692361</v>
      </c>
    </row>
    <row r="40">
      <c r="A40" s="67" t="s">
        <v>20</v>
      </c>
      <c r="B40" s="71">
        <v>4.0</v>
      </c>
      <c r="C40" s="67" t="s">
        <v>49</v>
      </c>
      <c r="D40" s="72">
        <f>-169.006549226356- -169.01304747584</f>
        <v>0.006498249484</v>
      </c>
      <c r="E40" s="72">
        <f>-0.159619915100263--0.158713444731629</f>
        <v>-0.0009064703686</v>
      </c>
      <c r="F40" s="72">
        <f>-0.492394926511523--0.490599817043434</f>
        <v>-0.001795109468</v>
      </c>
      <c r="G40" s="73">
        <f t="shared" si="2"/>
        <v>-0.002701579837</v>
      </c>
      <c r="H40" s="75">
        <f t="shared" si="3"/>
        <v>-0.002456288151</v>
      </c>
      <c r="I40" s="56">
        <f t="shared" si="4"/>
        <v>-0.002333642309</v>
      </c>
      <c r="J40" s="62">
        <f t="shared" si="5"/>
        <v>-0.001887390563</v>
      </c>
      <c r="K40" s="85"/>
      <c r="L40" s="5">
        <f t="shared" si="6"/>
        <v>9.968156159</v>
      </c>
      <c r="M40" s="5">
        <f t="shared" ref="M40:P40" si="58">G40*627.5096*4.184</f>
        <v>-7.092998311</v>
      </c>
      <c r="N40" s="5">
        <f t="shared" si="58"/>
        <v>-6.44898495</v>
      </c>
      <c r="O40" s="5">
        <f t="shared" si="58"/>
        <v>-6.126978269</v>
      </c>
      <c r="P40" s="5">
        <f t="shared" si="58"/>
        <v>-4.955344237</v>
      </c>
    </row>
    <row r="41">
      <c r="A41" s="67" t="s">
        <v>20</v>
      </c>
      <c r="B41" s="71">
        <v>4.0</v>
      </c>
      <c r="C41" s="67" t="s">
        <v>50</v>
      </c>
      <c r="D41" s="72">
        <f>D40</f>
        <v>0.006498249484</v>
      </c>
      <c r="E41" s="72">
        <f t="shared" ref="E41:F41" si="59">(3^3*E39-4^3*E40)/(3^3-4^3)</f>
        <v>-0.0009352406917</v>
      </c>
      <c r="F41" s="72">
        <f t="shared" si="59"/>
        <v>-0.001820207494</v>
      </c>
      <c r="G41" s="73">
        <f t="shared" si="2"/>
        <v>-0.002755448185</v>
      </c>
      <c r="H41" s="75">
        <f t="shared" si="3"/>
        <v>-0.00249599589</v>
      </c>
      <c r="I41" s="56">
        <f t="shared" si="4"/>
        <v>-0.002366269742</v>
      </c>
      <c r="J41" s="62">
        <f t="shared" si="5"/>
        <v>-0.00193454349</v>
      </c>
      <c r="K41" s="85"/>
      <c r="L41" s="5">
        <f t="shared" si="6"/>
        <v>9.82672481</v>
      </c>
      <c r="M41" s="5">
        <f t="shared" ref="M41:P41" si="60">G41*627.5096*4.184</f>
        <v>-7.234429669</v>
      </c>
      <c r="N41" s="5">
        <f t="shared" si="60"/>
        <v>-6.553237623</v>
      </c>
      <c r="O41" s="5">
        <f t="shared" si="60"/>
        <v>-6.212641601</v>
      </c>
      <c r="P41" s="5">
        <f t="shared" si="60"/>
        <v>-5.079144254</v>
      </c>
    </row>
    <row r="42">
      <c r="A42" s="67" t="s">
        <v>21</v>
      </c>
      <c r="B42" s="71">
        <v>1.0</v>
      </c>
      <c r="C42" s="67" t="s">
        <v>47</v>
      </c>
      <c r="D42" s="86">
        <f>-451.972718457661--451.973331678985</f>
        <v>0.000613221324</v>
      </c>
      <c r="E42" s="86">
        <f> -0.385579120556078- -0.38549773275269</f>
        <v>-0.00008138780339</v>
      </c>
      <c r="F42" s="72">
        <f>-1.11297199689861- -1.1130251636735</f>
        <v>0.00005316677489</v>
      </c>
      <c r="G42" s="73">
        <f t="shared" si="2"/>
        <v>-0.0000282210285</v>
      </c>
      <c r="H42" s="75">
        <f t="shared" si="3"/>
        <v>0.00003667086207</v>
      </c>
      <c r="I42" s="56">
        <f t="shared" si="4"/>
        <v>0.00006911680736</v>
      </c>
      <c r="J42" s="62">
        <f t="shared" si="5"/>
        <v>-0.00008372355641</v>
      </c>
      <c r="K42" s="85"/>
      <c r="L42" s="5">
        <f t="shared" si="6"/>
        <v>1.535918276</v>
      </c>
      <c r="M42" s="5">
        <f t="shared" ref="M42:P42" si="61">G42*627.5096*4.184</f>
        <v>-0.07409431502</v>
      </c>
      <c r="N42" s="5">
        <f t="shared" si="61"/>
        <v>0.09627935447</v>
      </c>
      <c r="O42" s="5">
        <f t="shared" si="61"/>
        <v>0.1814661892</v>
      </c>
      <c r="P42" s="5">
        <f t="shared" si="61"/>
        <v>-0.2198162113</v>
      </c>
    </row>
    <row r="43">
      <c r="A43" s="67" t="s">
        <v>21</v>
      </c>
      <c r="B43" s="71">
        <v>1.0</v>
      </c>
      <c r="C43" s="67" t="s">
        <v>48</v>
      </c>
      <c r="D43" s="72">
        <f>-452.088628973199--452.088957372272</f>
        <v>0.000328399073</v>
      </c>
      <c r="E43" s="72">
        <f>-0.456010873982186- -0.455888548433501</f>
        <v>-0.0001223255487</v>
      </c>
      <c r="F43" s="72">
        <f>-1.38131507174408--1.38126259754872</f>
        <v>-0.00005247419536</v>
      </c>
      <c r="G43" s="73">
        <f t="shared" si="2"/>
        <v>-0.000174799744</v>
      </c>
      <c r="H43" s="75">
        <f t="shared" si="3"/>
        <v>-0.0001037442173</v>
      </c>
      <c r="I43" s="56">
        <f t="shared" si="4"/>
        <v>-0.00006821645397</v>
      </c>
      <c r="J43" s="62">
        <f t="shared" si="5"/>
        <v>-0.0001787896359</v>
      </c>
      <c r="K43" s="85"/>
      <c r="L43" s="5">
        <f t="shared" si="6"/>
        <v>0.4032750382</v>
      </c>
      <c r="M43" s="5">
        <f t="shared" ref="M43:P43" si="62">G43*627.5096*4.184</f>
        <v>-0.4589367571</v>
      </c>
      <c r="N43" s="5">
        <f t="shared" si="62"/>
        <v>-0.2723804599</v>
      </c>
      <c r="O43" s="5">
        <f t="shared" si="62"/>
        <v>-0.1791023112</v>
      </c>
      <c r="P43" s="5">
        <f t="shared" si="62"/>
        <v>-0.4694122189</v>
      </c>
    </row>
    <row r="44">
      <c r="A44" s="67" t="s">
        <v>21</v>
      </c>
      <c r="B44" s="71">
        <v>1.0</v>
      </c>
      <c r="C44" s="67" t="s">
        <v>49</v>
      </c>
      <c r="D44" s="72">
        <f> -452.118499220569- -452.11878327634</f>
        <v>0.000284055771</v>
      </c>
      <c r="E44" s="72">
        <f> -0.47528412706044--0.475141514728229</f>
        <v>-0.0001426123322</v>
      </c>
      <c r="F44" s="72">
        <f>-1.47960110955655--1.47949639082736</f>
        <v>-0.0001047187292</v>
      </c>
      <c r="G44" s="73">
        <f t="shared" si="2"/>
        <v>-0.0002473310614</v>
      </c>
      <c r="H44" s="75">
        <f t="shared" si="3"/>
        <v>-0.0001731999191</v>
      </c>
      <c r="I44" s="56">
        <f t="shared" si="4"/>
        <v>-0.0001361343479</v>
      </c>
      <c r="J44" s="62">
        <f t="shared" si="5"/>
        <v>-0.0002258574002</v>
      </c>
      <c r="K44" s="85"/>
      <c r="L44" s="5">
        <f t="shared" si="6"/>
        <v>0.09642072514</v>
      </c>
      <c r="M44" s="5">
        <f t="shared" ref="M44:P44" si="63">G44*627.5096*4.184</f>
        <v>-0.6493677429</v>
      </c>
      <c r="N44" s="5">
        <f t="shared" si="63"/>
        <v>-0.4547364164</v>
      </c>
      <c r="O44" s="5">
        <f t="shared" si="63"/>
        <v>-0.3574207532</v>
      </c>
      <c r="P44" s="5">
        <f t="shared" si="63"/>
        <v>-0.5929886419</v>
      </c>
    </row>
    <row r="45">
      <c r="A45" s="67" t="s">
        <v>21</v>
      </c>
      <c r="B45" s="71">
        <v>1.0</v>
      </c>
      <c r="C45" s="67" t="s">
        <v>50</v>
      </c>
      <c r="D45" s="72">
        <f>D44</f>
        <v>0.000284055771</v>
      </c>
      <c r="E45" s="72">
        <f t="shared" ref="E45:F45" si="64">(3^3*E43-4^3*E44)/(3^3-4^3)</f>
        <v>-0.0001574162013</v>
      </c>
      <c r="F45" s="72">
        <f t="shared" si="64"/>
        <v>-0.0001428431187</v>
      </c>
      <c r="G45" s="73">
        <f t="shared" si="2"/>
        <v>-0.00030025932</v>
      </c>
      <c r="H45" s="75">
        <f t="shared" si="3"/>
        <v>-0.0002238838096</v>
      </c>
      <c r="I45" s="56">
        <f t="shared" si="4"/>
        <v>-0.0001856960544</v>
      </c>
      <c r="J45" s="62">
        <f t="shared" si="5"/>
        <v>-0.0002602041471</v>
      </c>
      <c r="K45" s="85"/>
      <c r="L45" s="5">
        <f t="shared" si="6"/>
        <v>-0.04254241785</v>
      </c>
      <c r="M45" s="5">
        <f t="shared" ref="M45:P45" si="65">G45*627.5096*4.184</f>
        <v>-0.7883308947</v>
      </c>
      <c r="N45" s="5">
        <f t="shared" si="65"/>
        <v>-0.5878069793</v>
      </c>
      <c r="O45" s="5">
        <f t="shared" si="65"/>
        <v>-0.4875450216</v>
      </c>
      <c r="P45" s="5">
        <f t="shared" si="65"/>
        <v>-0.6831660316</v>
      </c>
    </row>
    <row r="46">
      <c r="A46" s="67" t="s">
        <v>53</v>
      </c>
      <c r="B46" s="71">
        <v>2.0</v>
      </c>
      <c r="C46" s="67" t="s">
        <v>47</v>
      </c>
      <c r="D46" s="72">
        <f>-381.622324884368--381.624552713959</f>
        <v>0.002227829591</v>
      </c>
      <c r="E46" s="86">
        <f>-0.300848166038269--0.300206392928703</f>
        <v>-0.0006417731096</v>
      </c>
      <c r="F46" s="72">
        <f> -0.868646487342494--0.867950270207067</f>
        <v>-0.0006962171354</v>
      </c>
      <c r="G46" s="73">
        <f t="shared" si="2"/>
        <v>-0.001337990245</v>
      </c>
      <c r="H46" s="75">
        <f t="shared" si="3"/>
        <v>-0.001049384932</v>
      </c>
      <c r="I46" s="56">
        <f t="shared" si="4"/>
        <v>-0.0009050822761</v>
      </c>
      <c r="J46" s="62">
        <f t="shared" si="5"/>
        <v>-0.001106374166</v>
      </c>
      <c r="K46" s="85"/>
      <c r="L46" s="5">
        <f t="shared" si="6"/>
        <v>2.336273203</v>
      </c>
      <c r="M46" s="5">
        <f t="shared" ref="M46:P46" si="66">G46*627.5096*4.184</f>
        <v>-3.512893611</v>
      </c>
      <c r="N46" s="5">
        <f t="shared" si="66"/>
        <v>-2.755160315</v>
      </c>
      <c r="O46" s="5">
        <f t="shared" si="66"/>
        <v>-2.376293666</v>
      </c>
      <c r="P46" s="5">
        <f t="shared" si="66"/>
        <v>-2.904785556</v>
      </c>
    </row>
    <row r="47">
      <c r="A47" s="67" t="s">
        <v>53</v>
      </c>
      <c r="B47" s="71">
        <v>2.0</v>
      </c>
      <c r="C47" s="67" t="s">
        <v>48</v>
      </c>
      <c r="D47" s="72">
        <f>-381.726497013948--381.728570828303</f>
        <v>0.002073814355</v>
      </c>
      <c r="E47" s="72">
        <f>-0.356005386192267- -0.355223370227161</f>
        <v>-0.0007820159651</v>
      </c>
      <c r="F47" s="72">
        <f> -1.08435364014885--1.083348329463</f>
        <v>-0.001005310686</v>
      </c>
      <c r="G47" s="73">
        <f t="shared" si="2"/>
        <v>-0.001787326651</v>
      </c>
      <c r="H47" s="75">
        <f t="shared" si="3"/>
        <v>-0.001467044811</v>
      </c>
      <c r="I47" s="56">
        <f t="shared" si="4"/>
        <v>-0.001306903892</v>
      </c>
      <c r="J47" s="62">
        <f t="shared" si="5"/>
        <v>-0.001410924869</v>
      </c>
      <c r="K47" s="85"/>
      <c r="L47" s="5">
        <f t="shared" si="6"/>
        <v>0.752173467</v>
      </c>
      <c r="M47" s="5">
        <f t="shared" ref="M47:P47" si="67">G47*627.5096*4.184</f>
        <v>-4.692626419</v>
      </c>
      <c r="N47" s="5">
        <f t="shared" si="67"/>
        <v>-3.851726396</v>
      </c>
      <c r="O47" s="5">
        <f t="shared" si="67"/>
        <v>-3.431276385</v>
      </c>
      <c r="P47" s="5">
        <f t="shared" si="67"/>
        <v>-3.704383479</v>
      </c>
    </row>
    <row r="48">
      <c r="A48" s="67" t="s">
        <v>53</v>
      </c>
      <c r="B48" s="71">
        <v>2.0</v>
      </c>
      <c r="C48" s="67" t="s">
        <v>49</v>
      </c>
      <c r="D48" s="72">
        <f>-381.752828761654--381.754944995652</f>
        <v>0.002116233998</v>
      </c>
      <c r="E48" s="72">
        <f>-0.371586616306008- -0.370765775157244</f>
        <v>-0.0008208411488</v>
      </c>
      <c r="F48" s="72">
        <f>-1.16596245565361--1.16488162427916</f>
        <v>-0.001080831374</v>
      </c>
      <c r="G48" s="73">
        <f t="shared" si="2"/>
        <v>-0.001901672523</v>
      </c>
      <c r="H48" s="75">
        <f t="shared" si="3"/>
        <v>-0.001570611366</v>
      </c>
      <c r="I48" s="56">
        <f t="shared" si="4"/>
        <v>-0.001405080787</v>
      </c>
      <c r="J48" s="62">
        <f t="shared" si="5"/>
        <v>-0.001491217632</v>
      </c>
      <c r="K48" s="85"/>
      <c r="L48" s="5">
        <f t="shared" si="6"/>
        <v>0.5633311522</v>
      </c>
      <c r="M48" s="5">
        <f t="shared" ref="M48:P48" si="68">G48*627.5096*4.184</f>
        <v>-4.992841526</v>
      </c>
      <c r="N48" s="5">
        <f t="shared" si="68"/>
        <v>-4.123640402</v>
      </c>
      <c r="O48" s="5">
        <f t="shared" si="68"/>
        <v>-3.68903984</v>
      </c>
      <c r="P48" s="5">
        <f t="shared" si="68"/>
        <v>-3.91519214</v>
      </c>
    </row>
    <row r="49">
      <c r="A49" s="67" t="s">
        <v>53</v>
      </c>
      <c r="B49" s="71">
        <v>2.0</v>
      </c>
      <c r="C49" s="67" t="s">
        <v>50</v>
      </c>
      <c r="D49" s="72">
        <f>D48</f>
        <v>0.002116233998</v>
      </c>
      <c r="E49" s="72">
        <f t="shared" ref="E49:F49" si="69">(3^3*E47-4^3*E48)/(3^3-4^3)</f>
        <v>-0.0008491730395</v>
      </c>
      <c r="F49" s="72">
        <f t="shared" si="69"/>
        <v>-0.001135941066</v>
      </c>
      <c r="G49" s="73">
        <f t="shared" si="2"/>
        <v>-0.001985114106</v>
      </c>
      <c r="H49" s="75">
        <f t="shared" si="3"/>
        <v>-0.001646186959</v>
      </c>
      <c r="I49" s="56">
        <f t="shared" si="4"/>
        <v>-0.001476723386</v>
      </c>
      <c r="J49" s="62">
        <f t="shared" si="5"/>
        <v>-0.001549809647</v>
      </c>
      <c r="K49" s="85"/>
      <c r="L49" s="5">
        <f t="shared" si="6"/>
        <v>0.3442552774</v>
      </c>
      <c r="M49" s="5">
        <f t="shared" ref="M49:P49" si="70">G49*627.5096*4.184</f>
        <v>-5.211917415</v>
      </c>
      <c r="N49" s="5">
        <f t="shared" si="70"/>
        <v>-4.322064135</v>
      </c>
      <c r="O49" s="5">
        <f t="shared" si="70"/>
        <v>-3.877137496</v>
      </c>
      <c r="P49" s="5">
        <f t="shared" si="70"/>
        <v>-4.069025487</v>
      </c>
    </row>
    <row r="50">
      <c r="A50" s="67" t="s">
        <v>91</v>
      </c>
      <c r="B50" s="71">
        <v>4.0</v>
      </c>
      <c r="C50" s="67" t="s">
        <v>47</v>
      </c>
      <c r="D50" s="72">
        <f>-224.829985347678--224.833710120428</f>
        <v>0.00372477275</v>
      </c>
      <c r="E50" s="72">
        <f>-0.194882041879615--0.194391134495182</f>
        <v>-0.0004909073844</v>
      </c>
      <c r="F50" s="72">
        <f>-0.529790995921977- -0.52877044376124</f>
        <v>-0.001020552161</v>
      </c>
      <c r="G50" s="73">
        <f t="shared" si="2"/>
        <v>-0.001511459545</v>
      </c>
      <c r="H50" s="75">
        <f t="shared" si="3"/>
        <v>-0.001388298388</v>
      </c>
      <c r="I50" s="56">
        <f t="shared" si="4"/>
        <v>-0.001326717809</v>
      </c>
      <c r="J50" s="62">
        <f t="shared" si="5"/>
        <v>-0.00104149139</v>
      </c>
      <c r="K50" s="85"/>
      <c r="L50" s="5">
        <f t="shared" si="6"/>
        <v>5.811053819</v>
      </c>
      <c r="M50" s="5">
        <f t="shared" ref="M50:P50" si="71">G50*627.5096*4.184</f>
        <v>-3.968337287</v>
      </c>
      <c r="N50" s="5">
        <f t="shared" si="71"/>
        <v>-3.644977648</v>
      </c>
      <c r="O50" s="5">
        <f t="shared" si="71"/>
        <v>-3.483297828</v>
      </c>
      <c r="P50" s="5">
        <f t="shared" si="71"/>
        <v>-2.734435818</v>
      </c>
    </row>
    <row r="51">
      <c r="A51" s="67" t="s">
        <v>91</v>
      </c>
      <c r="B51" s="71">
        <v>4.0</v>
      </c>
      <c r="C51" s="67" t="s">
        <v>48</v>
      </c>
      <c r="D51" s="72">
        <f>-224.888260592856--224.892304078092</f>
        <v>0.004043485236</v>
      </c>
      <c r="E51" s="72">
        <f> -0.228112391822416- -0.227576325664435</f>
        <v>-0.000536066158</v>
      </c>
      <c r="F51" s="72">
        <f>-0.65681392392406- -0.655878588895825</f>
        <v>-0.0009353350282</v>
      </c>
      <c r="G51" s="73">
        <f t="shared" si="2"/>
        <v>-0.001471401186</v>
      </c>
      <c r="H51" s="75">
        <f t="shared" si="3"/>
        <v>-0.001301090753</v>
      </c>
      <c r="I51" s="56">
        <f t="shared" si="4"/>
        <v>-0.001215935537</v>
      </c>
      <c r="J51" s="62">
        <f t="shared" si="5"/>
        <v>-0.001065659355</v>
      </c>
      <c r="K51" s="85"/>
      <c r="L51" s="5">
        <f t="shared" si="6"/>
        <v>6.753006673</v>
      </c>
      <c r="M51" s="5">
        <f t="shared" ref="M51:P51" si="72">G51*627.5096*4.184</f>
        <v>-3.863164059</v>
      </c>
      <c r="N51" s="5">
        <f t="shared" si="72"/>
        <v>-3.416013989</v>
      </c>
      <c r="O51" s="5">
        <f t="shared" si="72"/>
        <v>-3.192438954</v>
      </c>
      <c r="P51" s="5">
        <f t="shared" si="72"/>
        <v>-2.797888814</v>
      </c>
    </row>
    <row r="52">
      <c r="A52" s="67" t="s">
        <v>91</v>
      </c>
      <c r="B52" s="71">
        <v>4.0</v>
      </c>
      <c r="C52" s="67" t="s">
        <v>49</v>
      </c>
      <c r="D52" s="72">
        <f>-224.903735008417--224.907794302922</f>
        <v>0.004059294505</v>
      </c>
      <c r="E52" s="72">
        <f>-0.23736835067385--0.236814060418982</f>
        <v>-0.0005542902549</v>
      </c>
      <c r="F52" s="72">
        <f>-0.7048596562747--0.703923089083292</f>
        <v>-0.0009365671914</v>
      </c>
      <c r="G52" s="73">
        <f t="shared" si="2"/>
        <v>-0.001490857446</v>
      </c>
      <c r="H52" s="75">
        <f t="shared" si="3"/>
        <v>-0.001308644048</v>
      </c>
      <c r="I52" s="56">
        <f t="shared" si="4"/>
        <v>-0.001217537349</v>
      </c>
      <c r="J52" s="62">
        <f t="shared" si="5"/>
        <v>-0.001089661305</v>
      </c>
      <c r="K52" s="85"/>
      <c r="L52" s="5">
        <f t="shared" si="6"/>
        <v>6.743431498</v>
      </c>
      <c r="M52" s="5">
        <f t="shared" ref="M52:P52" si="73">G52*627.5096*4.184</f>
        <v>-3.914246473</v>
      </c>
      <c r="N52" s="5">
        <f t="shared" si="73"/>
        <v>-3.435845166</v>
      </c>
      <c r="O52" s="5">
        <f t="shared" si="73"/>
        <v>-3.196644512</v>
      </c>
      <c r="P52" s="5">
        <f t="shared" si="73"/>
        <v>-2.860905938</v>
      </c>
    </row>
    <row r="53">
      <c r="A53" s="67" t="s">
        <v>91</v>
      </c>
      <c r="B53" s="71">
        <v>4.0</v>
      </c>
      <c r="C53" s="67" t="s">
        <v>50</v>
      </c>
      <c r="D53" s="72">
        <f>D52</f>
        <v>0.004059294505</v>
      </c>
      <c r="E53" s="75">
        <f t="shared" ref="E53:F53" si="74">(3^3*E51-4^3*E52)/(3^3-4^3)</f>
        <v>-0.0005675889202</v>
      </c>
      <c r="F53" s="75">
        <f t="shared" si="74"/>
        <v>-0.0009374663375</v>
      </c>
      <c r="G53" s="73">
        <f t="shared" si="2"/>
        <v>-0.001505055258</v>
      </c>
      <c r="H53" s="75">
        <f t="shared" si="3"/>
        <v>-0.001314155912</v>
      </c>
      <c r="I53" s="56">
        <f t="shared" si="4"/>
        <v>-0.001218706239</v>
      </c>
      <c r="J53" s="62">
        <f t="shared" si="5"/>
        <v>-0.001107176242</v>
      </c>
      <c r="K53" s="85"/>
      <c r="L53" s="5">
        <f t="shared" si="6"/>
        <v>6.706155144</v>
      </c>
      <c r="M53" s="5">
        <f t="shared" ref="M53:P53" si="75">G53*627.5096*4.184</f>
        <v>-3.951522829</v>
      </c>
      <c r="N53" s="5">
        <f t="shared" si="75"/>
        <v>-3.450316565</v>
      </c>
      <c r="O53" s="5">
        <f t="shared" si="75"/>
        <v>-3.199713433</v>
      </c>
      <c r="P53" s="5">
        <f t="shared" si="75"/>
        <v>-2.906891408</v>
      </c>
    </row>
    <row r="54">
      <c r="A54" s="67" t="s">
        <v>54</v>
      </c>
      <c r="B54" s="71">
        <v>2.0</v>
      </c>
      <c r="C54" s="67" t="s">
        <v>47</v>
      </c>
      <c r="D54" s="72">
        <f>-383.382216736647--383.382009719274</f>
        <v>-0.000207017373</v>
      </c>
      <c r="E54" s="72">
        <f>-0.350261733865209--0.350295785998561</f>
        <v>0.00003405213335</v>
      </c>
      <c r="F54" s="72">
        <f>-0.94846259184737--0.948844758078325</f>
        <v>0.000382166231</v>
      </c>
      <c r="G54" s="73">
        <f t="shared" si="2"/>
        <v>0.0004162183643</v>
      </c>
      <c r="H54" s="75">
        <f t="shared" si="3"/>
        <v>0.0004699501883</v>
      </c>
      <c r="I54" s="56">
        <f t="shared" si="4"/>
        <v>0.0004968161002</v>
      </c>
      <c r="J54" s="62">
        <f t="shared" si="5"/>
        <v>0.0001967937444</v>
      </c>
      <c r="K54" s="85"/>
      <c r="L54" s="5">
        <f t="shared" si="6"/>
        <v>0.5492572026</v>
      </c>
      <c r="M54" s="5">
        <f t="shared" ref="M54:P54" si="76">G54*627.5096*4.184</f>
        <v>1.092781385</v>
      </c>
      <c r="N54" s="5">
        <f t="shared" si="76"/>
        <v>1.233854297</v>
      </c>
      <c r="O54" s="5">
        <f t="shared" si="76"/>
        <v>1.304390754</v>
      </c>
      <c r="P54" s="5">
        <f t="shared" si="76"/>
        <v>0.5166820087</v>
      </c>
    </row>
    <row r="55">
      <c r="A55" s="67" t="s">
        <v>54</v>
      </c>
      <c r="B55" s="71">
        <v>2.0</v>
      </c>
      <c r="C55" s="67" t="s">
        <v>48</v>
      </c>
      <c r="D55" s="72">
        <f>-383.472261949027--383.471823665918</f>
        <v>-0.000438283109</v>
      </c>
      <c r="E55" s="72">
        <f>-0.404161080890556--0.404160397814315</f>
        <v>-0.000000683076241</v>
      </c>
      <c r="F55" s="72">
        <f>-1.16714955377592--1.16738958657144</f>
        <v>0.0002400327955</v>
      </c>
      <c r="G55" s="73">
        <f t="shared" si="2"/>
        <v>0.0002393497193</v>
      </c>
      <c r="H55" s="75">
        <f t="shared" si="3"/>
        <v>0.0002878116625</v>
      </c>
      <c r="I55" s="56">
        <f t="shared" si="4"/>
        <v>0.0003120426342</v>
      </c>
      <c r="J55" s="62">
        <f t="shared" si="5"/>
        <v>0.00009513194986</v>
      </c>
      <c r="K55" s="85"/>
      <c r="L55" s="5">
        <f t="shared" si="6"/>
        <v>-0.5222996146</v>
      </c>
      <c r="M55" s="5">
        <f t="shared" ref="M55:P55" si="77">G55*627.5096*4.184</f>
        <v>0.6284127278</v>
      </c>
      <c r="N55" s="5">
        <f t="shared" si="77"/>
        <v>0.7556495679</v>
      </c>
      <c r="O55" s="5">
        <f t="shared" si="77"/>
        <v>0.819267988</v>
      </c>
      <c r="P55" s="5">
        <f t="shared" si="77"/>
        <v>0.2497689502</v>
      </c>
    </row>
    <row r="56">
      <c r="A56" s="67" t="s">
        <v>54</v>
      </c>
      <c r="B56" s="71">
        <v>2.0</v>
      </c>
      <c r="C56" s="67" t="s">
        <v>49</v>
      </c>
      <c r="D56" s="72">
        <f>-383.495268828467--383.494814850062</f>
        <v>-0.0004539784049</v>
      </c>
      <c r="E56" s="72">
        <f>-0.418726768723871--0.41872550071272</f>
        <v>-0.000001268011151</v>
      </c>
      <c r="F56" s="72">
        <f>-1.24846538127978- -1.24867989863968</f>
        <v>0.0002145173599</v>
      </c>
      <c r="G56" s="73">
        <f t="shared" si="2"/>
        <v>0.0002132493487</v>
      </c>
      <c r="H56" s="75">
        <f t="shared" si="3"/>
        <v>0.0002569981615</v>
      </c>
      <c r="I56" s="56">
        <f t="shared" si="4"/>
        <v>0.0002788725679</v>
      </c>
      <c r="J56" s="62">
        <f t="shared" si="5"/>
        <v>0.00008417120958</v>
      </c>
      <c r="K56" s="85"/>
      <c r="L56" s="5">
        <f t="shared" si="6"/>
        <v>-0.6320341371</v>
      </c>
      <c r="M56" s="5">
        <f t="shared" ref="M56:P56" si="78">G56*627.5096*4.184</f>
        <v>0.5598862006</v>
      </c>
      <c r="N56" s="5">
        <f t="shared" si="78"/>
        <v>0.6747487158</v>
      </c>
      <c r="O56" s="5">
        <f t="shared" si="78"/>
        <v>0.7321799733</v>
      </c>
      <c r="P56" s="5">
        <f t="shared" si="78"/>
        <v>0.2209915247</v>
      </c>
    </row>
    <row r="57">
      <c r="A57" s="67" t="s">
        <v>54</v>
      </c>
      <c r="B57" s="71">
        <v>2.0</v>
      </c>
      <c r="C57" s="67" t="s">
        <v>50</v>
      </c>
      <c r="D57" s="72">
        <f>D56</f>
        <v>-0.0004539784049</v>
      </c>
      <c r="E57" s="75">
        <f t="shared" ref="E57:F57" si="79">(3^3*E55-4^3*E56)/(3^3-4^3)</f>
        <v>-0.000001694855545</v>
      </c>
      <c r="F57" s="75">
        <f t="shared" si="79"/>
        <v>0.000195897988</v>
      </c>
      <c r="G57" s="73">
        <f t="shared" si="2"/>
        <v>0.0001942031324</v>
      </c>
      <c r="H57" s="75">
        <f t="shared" si="3"/>
        <v>0.0002345126337</v>
      </c>
      <c r="I57" s="56">
        <f t="shared" si="4"/>
        <v>0.0002546673843</v>
      </c>
      <c r="J57" s="62">
        <f t="shared" si="5"/>
        <v>0.00007617283153</v>
      </c>
      <c r="K57" s="85"/>
      <c r="L57" s="91">
        <f t="shared" si="6"/>
        <v>-0.682039978</v>
      </c>
      <c r="M57" s="5">
        <f t="shared" ref="M57:P57" si="80">G57*627.5096*4.184</f>
        <v>0.5098803565</v>
      </c>
      <c r="N57" s="5">
        <f t="shared" si="80"/>
        <v>0.6157129588</v>
      </c>
      <c r="O57" s="5">
        <f t="shared" si="80"/>
        <v>0.66862926</v>
      </c>
      <c r="P57" s="5">
        <f t="shared" si="80"/>
        <v>0.1999917819</v>
      </c>
    </row>
    <row r="58">
      <c r="A58" s="67" t="s">
        <v>55</v>
      </c>
      <c r="B58" s="71">
        <v>4.0</v>
      </c>
      <c r="C58" s="67" t="s">
        <v>47</v>
      </c>
      <c r="D58" s="72">
        <f>-376.390626540139--376.40410109684</f>
        <v>0.0134745567</v>
      </c>
      <c r="E58" s="72">
        <f>-0.272538323525305--0.273580328575695</f>
        <v>0.00104200505</v>
      </c>
      <c r="F58" s="72">
        <f> -0.716077264380574--0.71673173463795</f>
        <v>0.0006544702574</v>
      </c>
      <c r="G58" s="73">
        <f t="shared" si="2"/>
        <v>0.001696475308</v>
      </c>
      <c r="H58" s="75">
        <f t="shared" si="3"/>
        <v>0.001132699326</v>
      </c>
      <c r="I58" s="56">
        <f t="shared" si="4"/>
        <v>0.0008508113346</v>
      </c>
      <c r="J58" s="62">
        <f t="shared" si="5"/>
        <v>0.001605974618</v>
      </c>
      <c r="K58" s="85"/>
      <c r="L58" s="5">
        <f t="shared" si="6"/>
        <v>39.83154454</v>
      </c>
      <c r="M58" s="5">
        <f t="shared" ref="M58:P58" si="81">G58*627.5096*4.184</f>
        <v>4.454096203</v>
      </c>
      <c r="N58" s="5">
        <f t="shared" si="81"/>
        <v>2.973902268</v>
      </c>
      <c r="O58" s="5">
        <f t="shared" si="81"/>
        <v>2.233805301</v>
      </c>
      <c r="P58" s="5">
        <f t="shared" si="81"/>
        <v>4.216486627</v>
      </c>
    </row>
    <row r="59">
      <c r="A59" s="67" t="s">
        <v>55</v>
      </c>
      <c r="B59" s="71">
        <v>4.0</v>
      </c>
      <c r="C59" s="67" t="s">
        <v>48</v>
      </c>
      <c r="D59" s="72">
        <f>-376.50310259834- -376.517413735177</f>
        <v>0.01431113684</v>
      </c>
      <c r="E59" s="72">
        <f>-0.328907963677156--0.33008489902425</f>
        <v>0.001176935347</v>
      </c>
      <c r="F59" s="72">
        <f>-0.914763159328663--0.915621019740235</f>
        <v>0.0008578604116</v>
      </c>
      <c r="G59" s="73">
        <f t="shared" si="2"/>
        <v>0.002034795759</v>
      </c>
      <c r="H59" s="75">
        <f t="shared" si="3"/>
        <v>0.001421744276</v>
      </c>
      <c r="I59" s="56">
        <f t="shared" si="4"/>
        <v>0.001115218535</v>
      </c>
      <c r="J59" s="62">
        <f t="shared" si="5"/>
        <v>0.001861390762</v>
      </c>
      <c r="K59" s="85"/>
      <c r="L59" s="5">
        <f t="shared" si="6"/>
        <v>42.91624603</v>
      </c>
      <c r="M59" s="5">
        <f t="shared" ref="M59:P59" si="82">G59*627.5096*4.184</f>
        <v>5.342356603</v>
      </c>
      <c r="N59" s="5">
        <f t="shared" si="82"/>
        <v>3.732789834</v>
      </c>
      <c r="O59" s="5">
        <f t="shared" si="82"/>
        <v>2.928006449</v>
      </c>
      <c r="P59" s="5">
        <f t="shared" si="82"/>
        <v>4.887081756</v>
      </c>
    </row>
    <row r="60">
      <c r="A60" s="67" t="s">
        <v>55</v>
      </c>
      <c r="B60" s="71">
        <v>4.0</v>
      </c>
      <c r="C60" s="67" t="s">
        <v>49</v>
      </c>
      <c r="D60" s="72">
        <f>-376.531524781039--376.546115488184</f>
        <v>0.01459070714</v>
      </c>
      <c r="E60" s="72">
        <f>-0.345338514644557- -0.346396735978568</f>
        <v>0.001058221334</v>
      </c>
      <c r="F60" s="72">
        <f>-0.993777631345881--0.994439402541436</f>
        <v>0.0006617711956</v>
      </c>
      <c r="G60" s="73">
        <f t="shared" si="2"/>
        <v>0.00171999253</v>
      </c>
      <c r="H60" s="75">
        <f t="shared" si="3"/>
        <v>0.001146865879</v>
      </c>
      <c r="I60" s="56">
        <f t="shared" si="4"/>
        <v>0.0008603025542</v>
      </c>
      <c r="J60" s="62">
        <f t="shared" si="5"/>
        <v>0.001629813999</v>
      </c>
      <c r="K60" s="85"/>
      <c r="L60" s="5">
        <f t="shared" si="6"/>
        <v>42.823742</v>
      </c>
      <c r="M60" s="5">
        <f t="shared" ref="M60:P60" si="83">G60*627.5096*4.184</f>
        <v>4.515840673</v>
      </c>
      <c r="N60" s="5">
        <f t="shared" si="83"/>
        <v>3.011096557</v>
      </c>
      <c r="O60" s="5">
        <f t="shared" si="83"/>
        <v>2.258724499</v>
      </c>
      <c r="P60" s="5">
        <f t="shared" si="83"/>
        <v>4.279076926</v>
      </c>
    </row>
    <row r="61">
      <c r="A61" s="67" t="s">
        <v>55</v>
      </c>
      <c r="B61" s="71">
        <v>4.0</v>
      </c>
      <c r="C61" s="67" t="s">
        <v>50</v>
      </c>
      <c r="D61" s="72">
        <f>D60</f>
        <v>0.01459070714</v>
      </c>
      <c r="E61" s="75">
        <f t="shared" ref="E61:F61" si="84">(3^3*E59-4^3*E60)/(3^3-4^3)</f>
        <v>0.0009715921893</v>
      </c>
      <c r="F61" s="75">
        <f t="shared" si="84"/>
        <v>0.0005186790649</v>
      </c>
      <c r="G61" s="73">
        <f t="shared" si="2"/>
        <v>0.001490271254</v>
      </c>
      <c r="H61" s="75">
        <f t="shared" si="3"/>
        <v>0.000946278941</v>
      </c>
      <c r="I61" s="56">
        <f t="shared" si="4"/>
        <v>0.0006742827844</v>
      </c>
      <c r="J61" s="62">
        <f t="shared" si="5"/>
        <v>0.00146082555</v>
      </c>
      <c r="K61" s="85"/>
      <c r="L61" s="5">
        <f t="shared" si="6"/>
        <v>42.22060879</v>
      </c>
      <c r="M61" s="5">
        <f t="shared" ref="M61:P61" si="85">G61*627.5096*4.184</f>
        <v>3.912707426</v>
      </c>
      <c r="N61" s="5">
        <f t="shared" si="85"/>
        <v>2.484455517</v>
      </c>
      <c r="O61" s="5">
        <f t="shared" si="85"/>
        <v>1.770329563</v>
      </c>
      <c r="P61" s="5">
        <f t="shared" si="85"/>
        <v>3.835397725</v>
      </c>
    </row>
    <row r="62">
      <c r="A62" s="67" t="s">
        <v>56</v>
      </c>
      <c r="B62" s="71">
        <v>2.0</v>
      </c>
      <c r="C62" s="67" t="s">
        <v>47</v>
      </c>
      <c r="D62" s="72">
        <f>-376.388162246333--376.40410109684</f>
        <v>0.01593885051</v>
      </c>
      <c r="E62" s="72">
        <f>-0.273171448377186--0.273580328575695</f>
        <v>0.0004088801985</v>
      </c>
      <c r="F62" s="72">
        <f>-0.717766557380812--0.716731734637951</f>
        <v>-0.001034822743</v>
      </c>
      <c r="G62" s="73">
        <f t="shared" si="2"/>
        <v>-0.0006259425444</v>
      </c>
      <c r="H62" s="75">
        <f t="shared" si="3"/>
        <v>-0.001105493892</v>
      </c>
      <c r="I62" s="56">
        <f t="shared" si="4"/>
        <v>-0.001345269566</v>
      </c>
      <c r="J62" s="62">
        <f t="shared" si="5"/>
        <v>0.0001135263589</v>
      </c>
      <c r="K62" s="85"/>
      <c r="L62" s="5">
        <f t="shared" si="6"/>
        <v>40.20403986</v>
      </c>
      <c r="M62" s="5">
        <f t="shared" ref="M62:P62" si="86">G62*627.5096*4.184</f>
        <v>-1.643412254</v>
      </c>
      <c r="N62" s="5">
        <f t="shared" si="86"/>
        <v>-2.902474397</v>
      </c>
      <c r="O62" s="5">
        <f t="shared" si="86"/>
        <v>-3.532005469</v>
      </c>
      <c r="P62" s="5">
        <f t="shared" si="86"/>
        <v>0.2980634743</v>
      </c>
    </row>
    <row r="63">
      <c r="A63" s="67" t="s">
        <v>56</v>
      </c>
      <c r="B63" s="71">
        <v>2.0</v>
      </c>
      <c r="C63" s="67" t="s">
        <v>48</v>
      </c>
      <c r="D63" s="72">
        <f>-376.50014318944--376.517413735177</f>
        <v>0.01727054574</v>
      </c>
      <c r="E63" s="72">
        <f>-0.329550078518139--0.33008489902425</f>
        <v>0.0005348205061</v>
      </c>
      <c r="F63" s="72">
        <f>-0.916411830078319- -0.915621019740235</f>
        <v>-0.0007908103381</v>
      </c>
      <c r="G63" s="73">
        <f t="shared" si="2"/>
        <v>-0.000255989832</v>
      </c>
      <c r="H63" s="75">
        <f t="shared" si="3"/>
        <v>-0.0007706989037</v>
      </c>
      <c r="I63" s="56">
        <f t="shared" si="4"/>
        <v>-0.00102805344</v>
      </c>
      <c r="J63" s="62">
        <f t="shared" si="5"/>
        <v>0.0003735943176</v>
      </c>
      <c r="K63" s="85"/>
      <c r="L63" s="5">
        <f t="shared" si="6"/>
        <v>44.67171653</v>
      </c>
      <c r="M63" s="5">
        <f t="shared" ref="M63:P63" si="87">G63*627.5096*4.184</f>
        <v>-0.6721013464</v>
      </c>
      <c r="N63" s="5">
        <f t="shared" si="87"/>
        <v>-2.0234701</v>
      </c>
      <c r="O63" s="5">
        <f t="shared" si="87"/>
        <v>-2.699154476</v>
      </c>
      <c r="P63" s="5">
        <f t="shared" si="87"/>
        <v>0.9808719432</v>
      </c>
    </row>
    <row r="64">
      <c r="A64" s="67" t="s">
        <v>56</v>
      </c>
      <c r="B64" s="71">
        <v>2.0</v>
      </c>
      <c r="C64" s="67" t="s">
        <v>49</v>
      </c>
      <c r="D64" s="72">
        <f>-376.528428403873--376.546115488183</f>
        <v>0.01768708431</v>
      </c>
      <c r="E64" s="72">
        <f>-0.3459778210385--0.346396735978569</f>
        <v>0.0004189149401</v>
      </c>
      <c r="F64" s="72">
        <f>-0.995362770279212--0.994439402541436</f>
        <v>-0.0009233677378</v>
      </c>
      <c r="G64" s="73">
        <f t="shared" si="2"/>
        <v>-0.0005044527977</v>
      </c>
      <c r="H64" s="75">
        <f t="shared" si="3"/>
        <v>-0.000968402972</v>
      </c>
      <c r="I64" s="56">
        <f t="shared" si="4"/>
        <v>-0.001200378059</v>
      </c>
      <c r="J64" s="62">
        <f t="shared" si="5"/>
        <v>0.0001710531776</v>
      </c>
      <c r="K64" s="85"/>
      <c r="L64" s="5">
        <f t="shared" si="6"/>
        <v>45.11299904</v>
      </c>
      <c r="M64" s="5">
        <f t="shared" ref="M64:P64" si="88">G64*627.5096*4.184</f>
        <v>-1.324440904</v>
      </c>
      <c r="N64" s="5">
        <f t="shared" si="88"/>
        <v>-2.542542164</v>
      </c>
      <c r="O64" s="5">
        <f t="shared" si="88"/>
        <v>-3.151592794</v>
      </c>
      <c r="P64" s="5">
        <f t="shared" si="88"/>
        <v>0.4491001462</v>
      </c>
    </row>
    <row r="65">
      <c r="A65" s="67" t="s">
        <v>56</v>
      </c>
      <c r="B65" s="71">
        <v>2.0</v>
      </c>
      <c r="C65" s="67" t="s">
        <v>50</v>
      </c>
      <c r="D65" s="72">
        <f>D64</f>
        <v>0.01768708431</v>
      </c>
      <c r="E65" s="75">
        <f t="shared" ref="E65:F65" si="89">(3^3*E63-4^3*E64)/(3^3-4^3)</f>
        <v>0.0003343352027</v>
      </c>
      <c r="F65" s="75">
        <f t="shared" si="89"/>
        <v>-0.001020098813</v>
      </c>
      <c r="G65" s="73">
        <f t="shared" si="2"/>
        <v>-0.0006857636105</v>
      </c>
      <c r="H65" s="75">
        <f t="shared" si="3"/>
        <v>-0.001112673508</v>
      </c>
      <c r="I65" s="56">
        <f t="shared" si="4"/>
        <v>-0.001326128457</v>
      </c>
      <c r="J65" s="62">
        <f t="shared" si="5"/>
        <v>0.00002325288618</v>
      </c>
      <c r="K65" s="85"/>
      <c r="L65" s="5">
        <f t="shared" si="6"/>
        <v>44.6369675</v>
      </c>
      <c r="M65" s="5">
        <f t="shared" ref="M65:P65" si="90">G65*627.5096*4.184</f>
        <v>-1.800472474</v>
      </c>
      <c r="N65" s="5">
        <f t="shared" si="90"/>
        <v>-2.921324481</v>
      </c>
      <c r="O65" s="5">
        <f t="shared" si="90"/>
        <v>-3.481750485</v>
      </c>
      <c r="P65" s="5">
        <f t="shared" si="90"/>
        <v>0.06105045652</v>
      </c>
    </row>
    <row r="66">
      <c r="A66" s="67" t="s">
        <v>28</v>
      </c>
      <c r="B66" s="71">
        <v>2.0</v>
      </c>
      <c r="C66" s="67" t="s">
        <v>47</v>
      </c>
      <c r="D66" s="72">
        <f>-262.70125840015--262.701641863884</f>
        <v>0.000383463734</v>
      </c>
      <c r="E66" s="72">
        <f>-0.227058791496518--0.22700938866868</f>
        <v>-0.00004940282784</v>
      </c>
      <c r="F66" s="72">
        <f>-0.610401784630286--0.610264114771216</f>
        <v>-0.0001376698591</v>
      </c>
      <c r="G66" s="73">
        <f t="shared" si="2"/>
        <v>-0.0001870726869</v>
      </c>
      <c r="H66" s="75">
        <f t="shared" si="3"/>
        <v>-0.0001816714402</v>
      </c>
      <c r="I66" s="56">
        <f t="shared" si="4"/>
        <v>-0.0001789708168</v>
      </c>
      <c r="J66" s="62">
        <f t="shared" si="5"/>
        <v>-0.0001187975915</v>
      </c>
      <c r="K66" s="85"/>
      <c r="L66" s="5">
        <f t="shared" si="6"/>
        <v>0.5156246942</v>
      </c>
      <c r="M66" s="5">
        <f t="shared" ref="M66:P66" si="91">G66*627.5096*4.184</f>
        <v>-0.4911593706</v>
      </c>
      <c r="N66" s="5">
        <f t="shared" si="91"/>
        <v>-0.4769783964</v>
      </c>
      <c r="O66" s="5">
        <f t="shared" si="91"/>
        <v>-0.4698879093</v>
      </c>
      <c r="P66" s="5">
        <f t="shared" si="91"/>
        <v>-0.3119030964</v>
      </c>
    </row>
    <row r="67">
      <c r="A67" s="67" t="s">
        <v>28</v>
      </c>
      <c r="B67" s="71">
        <v>2.0</v>
      </c>
      <c r="C67" s="67" t="s">
        <v>48</v>
      </c>
      <c r="D67" s="72">
        <f>-262.76572526789- -262.766129985726</f>
        <v>0.000404717836</v>
      </c>
      <c r="E67" s="72">
        <f>-0.264416467735985--0.264370250214385</f>
        <v>-0.0000462175216</v>
      </c>
      <c r="F67" s="72">
        <f>-0.756606819874208--0.756483167659339</f>
        <v>-0.0001236522149</v>
      </c>
      <c r="G67" s="73">
        <f t="shared" si="2"/>
        <v>-0.0001698697365</v>
      </c>
      <c r="H67" s="75">
        <f t="shared" si="3"/>
        <v>-0.0001637884984</v>
      </c>
      <c r="I67" s="56">
        <f t="shared" si="4"/>
        <v>-0.0001607478793</v>
      </c>
      <c r="J67" s="62">
        <f t="shared" si="5"/>
        <v>-0.0001090814888</v>
      </c>
      <c r="K67" s="85"/>
      <c r="L67" s="5">
        <f t="shared" si="6"/>
        <v>0.6165936854</v>
      </c>
      <c r="M67" s="5">
        <f t="shared" ref="M67:P67" si="92">G67*627.5096*4.184</f>
        <v>-0.4459930214</v>
      </c>
      <c r="N67" s="5">
        <f t="shared" si="92"/>
        <v>-0.4300267297</v>
      </c>
      <c r="O67" s="5">
        <f t="shared" si="92"/>
        <v>-0.4220435839</v>
      </c>
      <c r="P67" s="5">
        <f t="shared" si="92"/>
        <v>-0.286393467</v>
      </c>
    </row>
    <row r="68">
      <c r="A68" s="67" t="s">
        <v>28</v>
      </c>
      <c r="B68" s="71">
        <v>2.0</v>
      </c>
      <c r="C68" s="67" t="s">
        <v>49</v>
      </c>
      <c r="D68" s="72">
        <f>-262.782881826074--262.783283701495</f>
        <v>0.000401875421</v>
      </c>
      <c r="E68" s="72">
        <f>-0.274847799656578--0.274796929170654</f>
        <v>-0.00005087048592</v>
      </c>
      <c r="F68" s="72">
        <f>-0.811777613060864- -0.811648673608091</f>
        <v>-0.0001289394528</v>
      </c>
      <c r="G68" s="73">
        <f t="shared" si="2"/>
        <v>-0.0001798099387</v>
      </c>
      <c r="H68" s="75">
        <f t="shared" si="3"/>
        <v>-0.000171684172</v>
      </c>
      <c r="I68" s="56">
        <f t="shared" si="4"/>
        <v>-0.0001676212886</v>
      </c>
      <c r="J68" s="62">
        <f t="shared" si="5"/>
        <v>-0.000117198708</v>
      </c>
      <c r="K68" s="85"/>
      <c r="L68" s="5">
        <f t="shared" si="6"/>
        <v>0.5830329238</v>
      </c>
      <c r="M68" s="5">
        <f t="shared" ref="M68:P68" si="93">G68*627.5096*4.184</f>
        <v>-0.472091024</v>
      </c>
      <c r="N68" s="5">
        <f t="shared" si="93"/>
        <v>-0.4507568221</v>
      </c>
      <c r="O68" s="5">
        <f t="shared" si="93"/>
        <v>-0.4400897211</v>
      </c>
      <c r="P68" s="5">
        <f t="shared" si="93"/>
        <v>-0.3077052272</v>
      </c>
    </row>
    <row r="69">
      <c r="A69" s="67" t="s">
        <v>28</v>
      </c>
      <c r="B69" s="71">
        <v>2.0</v>
      </c>
      <c r="C69" s="67" t="s">
        <v>50</v>
      </c>
      <c r="D69" s="72">
        <f>D68</f>
        <v>0.000401875421</v>
      </c>
      <c r="E69" s="75">
        <f t="shared" ref="E69:F69" si="94">(3^3*E67-4^3*E68)/(3^3-4^3)</f>
        <v>-0.00005426589232</v>
      </c>
      <c r="F69" s="75">
        <f t="shared" si="94"/>
        <v>-0.0001327977075</v>
      </c>
      <c r="G69" s="73">
        <f t="shared" si="2"/>
        <v>-0.0001870635998</v>
      </c>
      <c r="H69" s="75">
        <f t="shared" si="3"/>
        <v>-0.0001774458797</v>
      </c>
      <c r="I69" s="56">
        <f t="shared" si="4"/>
        <v>-0.0001726370197</v>
      </c>
      <c r="J69" s="62">
        <f t="shared" si="5"/>
        <v>-0.0001231220841</v>
      </c>
      <c r="K69" s="85"/>
      <c r="L69" s="5">
        <f t="shared" si="6"/>
        <v>0.5639884366</v>
      </c>
      <c r="M69" s="5">
        <f t="shared" ref="M69:P69" si="95">G69*627.5096*4.184</f>
        <v>-0.4911355124</v>
      </c>
      <c r="N69" s="5">
        <f t="shared" si="95"/>
        <v>-0.4658841867</v>
      </c>
      <c r="O69" s="5">
        <f t="shared" si="95"/>
        <v>-0.4532585239</v>
      </c>
      <c r="P69" s="5">
        <f t="shared" si="95"/>
        <v>-0.3232570522</v>
      </c>
    </row>
    <row r="70">
      <c r="A70" s="67" t="s">
        <v>35</v>
      </c>
      <c r="B70" s="71">
        <v>8.0</v>
      </c>
      <c r="C70" s="67" t="s">
        <v>47</v>
      </c>
      <c r="D70" s="72">
        <f>-224.809933120226--224.813083372989</f>
        <v>0.003150252763</v>
      </c>
      <c r="E70" s="72">
        <f> -0.196357760913459--0.196054882122359</f>
        <v>-0.0003028787911</v>
      </c>
      <c r="F70" s="72">
        <f> -0.533033315824539- -0.532198368975005</f>
        <v>-0.0008349468495</v>
      </c>
      <c r="G70" s="73">
        <f t="shared" si="2"/>
        <v>-0.001137825641</v>
      </c>
      <c r="H70" s="75">
        <f t="shared" si="3"/>
        <v>-0.001102895816</v>
      </c>
      <c r="I70" s="56">
        <f t="shared" si="4"/>
        <v>-0.001085430904</v>
      </c>
      <c r="J70" s="62">
        <f t="shared" si="5"/>
        <v>-0.0007246923803</v>
      </c>
      <c r="K70" s="85"/>
      <c r="L70" s="5">
        <f t="shared" si="6"/>
        <v>5.28362741</v>
      </c>
      <c r="M70" s="5">
        <f t="shared" ref="M70:P70" si="96">G70*627.5096*4.184</f>
        <v>-2.987361409</v>
      </c>
      <c r="N70" s="5">
        <f t="shared" si="96"/>
        <v>-2.89565315</v>
      </c>
      <c r="O70" s="5">
        <f t="shared" si="96"/>
        <v>-2.84979902</v>
      </c>
      <c r="P70" s="5">
        <f t="shared" si="96"/>
        <v>-1.902679965</v>
      </c>
    </row>
    <row r="71">
      <c r="A71" s="67" t="s">
        <v>35</v>
      </c>
      <c r="B71" s="71">
        <v>8.0</v>
      </c>
      <c r="C71" s="67" t="s">
        <v>48</v>
      </c>
      <c r="D71" s="72">
        <f> -224.867845395476- -224.871237042591</f>
        <v>0.003391647115</v>
      </c>
      <c r="E71" s="72">
        <f>-0.229624916745546--0.229286265511819</f>
        <v>-0.0003386512337</v>
      </c>
      <c r="F71" s="72">
        <f> -0.659867626296944--0.659104828509382</f>
        <v>-0.0007627977876</v>
      </c>
      <c r="G71" s="73">
        <f t="shared" si="2"/>
        <v>-0.001101449021</v>
      </c>
      <c r="H71" s="75">
        <f t="shared" si="3"/>
        <v>-0.00102824109</v>
      </c>
      <c r="I71" s="56">
        <f t="shared" si="4"/>
        <v>-0.0009916371238</v>
      </c>
      <c r="J71" s="62">
        <f t="shared" si="5"/>
        <v>-0.0007419792065</v>
      </c>
      <c r="K71" s="85"/>
      <c r="L71" s="5">
        <f t="shared" si="6"/>
        <v>6.012915095</v>
      </c>
      <c r="M71" s="5">
        <f t="shared" ref="M71:P71" si="97">G71*627.5096*4.184</f>
        <v>-2.891854589</v>
      </c>
      <c r="N71" s="5">
        <f t="shared" si="97"/>
        <v>-2.699647152</v>
      </c>
      <c r="O71" s="5">
        <f t="shared" si="97"/>
        <v>-2.603543434</v>
      </c>
      <c r="P71" s="5">
        <f t="shared" si="97"/>
        <v>-1.94806653</v>
      </c>
    </row>
    <row r="72">
      <c r="A72" s="67" t="s">
        <v>35</v>
      </c>
      <c r="B72" s="71">
        <v>8.0</v>
      </c>
      <c r="C72" s="67" t="s">
        <v>49</v>
      </c>
      <c r="D72" s="72">
        <f> -224.883206908859--224.886595013833</f>
        <v>0.003388104974</v>
      </c>
      <c r="E72" s="67">
        <f> -0.238944824450886--0.23858507100251</f>
        <v>-0.0003597534484</v>
      </c>
      <c r="F72" s="67">
        <f> -0.707940529126086--0.707170978550408</f>
        <v>-0.0007695505757</v>
      </c>
      <c r="G72" s="73">
        <f t="shared" si="2"/>
        <v>-0.001129304024</v>
      </c>
      <c r="H72" s="75">
        <f t="shared" si="3"/>
        <v>-0.001043378507</v>
      </c>
      <c r="I72" s="56">
        <f t="shared" si="4"/>
        <v>-0.001000415748</v>
      </c>
      <c r="J72" s="62">
        <f t="shared" si="5"/>
        <v>-0.0007719021787</v>
      </c>
      <c r="K72" s="85"/>
      <c r="L72" s="5">
        <f t="shared" si="6"/>
        <v>5.930481894</v>
      </c>
      <c r="M72" s="5">
        <f t="shared" ref="M72:P72" si="98">G72*627.5096*4.184</f>
        <v>-2.964987903</v>
      </c>
      <c r="N72" s="5">
        <f t="shared" si="98"/>
        <v>-2.739390444</v>
      </c>
      <c r="O72" s="5">
        <f t="shared" si="98"/>
        <v>-2.626591714</v>
      </c>
      <c r="P72" s="5">
        <f t="shared" si="98"/>
        <v>-2.026629299</v>
      </c>
    </row>
    <row r="73">
      <c r="A73" s="67" t="s">
        <v>35</v>
      </c>
      <c r="B73" s="71">
        <v>8.0</v>
      </c>
      <c r="C73" s="67" t="s">
        <v>50</v>
      </c>
      <c r="D73" s="72">
        <f>D72</f>
        <v>0.003388104974</v>
      </c>
      <c r="E73" s="75">
        <f t="shared" ref="E73:F73" si="99">(3^3*E71-4^3*E72)/(3^3-4^3)</f>
        <v>-0.0003751523618</v>
      </c>
      <c r="F73" s="75">
        <f t="shared" si="99"/>
        <v>-0.0007744782859</v>
      </c>
      <c r="G73" s="73">
        <f t="shared" si="2"/>
        <v>-0.001149630648</v>
      </c>
      <c r="H73" s="75">
        <f t="shared" si="3"/>
        <v>-0.00105442473</v>
      </c>
      <c r="I73" s="56">
        <f t="shared" si="4"/>
        <v>-0.001006821772</v>
      </c>
      <c r="J73" s="62">
        <f t="shared" si="5"/>
        <v>-0.0007937378611</v>
      </c>
      <c r="K73" s="85"/>
      <c r="L73" s="5">
        <f t="shared" si="6"/>
        <v>5.877114344</v>
      </c>
      <c r="M73" s="5">
        <f t="shared" ref="M73:P73" si="100">G73*627.5096*4.184</f>
        <v>-3.018355457</v>
      </c>
      <c r="N73" s="5">
        <f t="shared" si="100"/>
        <v>-2.768392305</v>
      </c>
      <c r="O73" s="5">
        <f t="shared" si="100"/>
        <v>-2.643410729</v>
      </c>
      <c r="P73" s="5">
        <f t="shared" si="100"/>
        <v>-2.083958886</v>
      </c>
    </row>
    <row r="74">
      <c r="A74" s="67" t="s">
        <v>57</v>
      </c>
      <c r="B74" s="71">
        <v>2.0</v>
      </c>
      <c r="C74" s="67" t="s">
        <v>47</v>
      </c>
      <c r="D74" s="72">
        <f>-454.490123806227--454.503841909093</f>
        <v>0.01371810287</v>
      </c>
      <c r="E74" s="72">
        <f> -0.338650703020228--0.337838013438931</f>
        <v>-0.0008126895813</v>
      </c>
      <c r="F74" s="72">
        <f>-0.93072347109038--0.928890792195163</f>
        <v>-0.001832678895</v>
      </c>
      <c r="G74" s="73">
        <f t="shared" si="2"/>
        <v>-0.002645368477</v>
      </c>
      <c r="H74" s="75">
        <f t="shared" si="3"/>
        <v>-0.002470111201</v>
      </c>
      <c r="I74" s="56">
        <f t="shared" si="4"/>
        <v>-0.002382482564</v>
      </c>
      <c r="J74" s="62">
        <f t="shared" si="5"/>
        <v>-0.001781441118</v>
      </c>
      <c r="K74" s="85"/>
      <c r="L74" s="5">
        <f t="shared" si="6"/>
        <v>29.07146414</v>
      </c>
      <c r="M74" s="5">
        <f t="shared" ref="M74:P74" si="101">G74*627.5096*4.184</f>
        <v>-6.945415375</v>
      </c>
      <c r="N74" s="5">
        <f t="shared" si="101"/>
        <v>-6.48527737</v>
      </c>
      <c r="O74" s="5">
        <f t="shared" si="101"/>
        <v>-6.255208368</v>
      </c>
      <c r="P74" s="5">
        <f t="shared" si="101"/>
        <v>-4.677173952</v>
      </c>
    </row>
    <row r="75">
      <c r="A75" s="67" t="s">
        <v>57</v>
      </c>
      <c r="B75" s="71">
        <v>2.0</v>
      </c>
      <c r="C75" s="67" t="s">
        <v>48</v>
      </c>
      <c r="D75" s="72">
        <f>-454.622786611143- -454.636945552151</f>
        <v>0.01415894101</v>
      </c>
      <c r="E75" s="72">
        <f> -0.407131090482086--0.406265450908152</f>
        <v>-0.0008656395739</v>
      </c>
      <c r="F75" s="72">
        <f>-1.18102861781537- -1.17928675039501</f>
        <v>-0.00174186742</v>
      </c>
      <c r="G75" s="73">
        <f t="shared" si="2"/>
        <v>-0.002607506994</v>
      </c>
      <c r="H75" s="75">
        <f t="shared" si="3"/>
        <v>-0.002378787429</v>
      </c>
      <c r="I75" s="56">
        <f t="shared" si="4"/>
        <v>-0.002264427646</v>
      </c>
      <c r="J75" s="62">
        <f t="shared" si="5"/>
        <v>-0.001813422019</v>
      </c>
      <c r="K75" s="85"/>
      <c r="L75" s="5">
        <f t="shared" si="6"/>
        <v>30.32829</v>
      </c>
      <c r="M75" s="5">
        <f t="shared" ref="M75:P75" si="102">G75*627.5096*4.184</f>
        <v>-6.846010047</v>
      </c>
      <c r="N75" s="5">
        <f t="shared" si="102"/>
        <v>-6.245506791</v>
      </c>
      <c r="O75" s="5">
        <f t="shared" si="102"/>
        <v>-5.945255163</v>
      </c>
      <c r="P75" s="5">
        <f t="shared" si="102"/>
        <v>-4.761139811</v>
      </c>
    </row>
    <row r="76">
      <c r="A76" s="67" t="s">
        <v>57</v>
      </c>
      <c r="B76" s="71">
        <v>2.0</v>
      </c>
      <c r="C76" s="67" t="s">
        <v>49</v>
      </c>
      <c r="D76" s="72">
        <f> -454.655843107714--454.669987036888</f>
        <v>0.01414392917</v>
      </c>
      <c r="E76" s="72">
        <f>-0.426732782418636- -0.425794361046357</f>
        <v>-0.0009384213723</v>
      </c>
      <c r="F76" s="72">
        <f>-1.27796179231703- -1.27617570370922</f>
        <v>-0.001786088608</v>
      </c>
      <c r="G76" s="73">
        <f t="shared" si="2"/>
        <v>-0.00272450998</v>
      </c>
      <c r="H76" s="75">
        <f t="shared" si="3"/>
        <v>-0.002456113453</v>
      </c>
      <c r="I76" s="56">
        <f t="shared" si="4"/>
        <v>-0.00232191519</v>
      </c>
      <c r="J76" s="62">
        <f t="shared" si="5"/>
        <v>-0.001924999013</v>
      </c>
      <c r="K76" s="85"/>
      <c r="L76" s="5">
        <f t="shared" si="6"/>
        <v>29.98168509</v>
      </c>
      <c r="M76" s="5">
        <f t="shared" ref="M76:P76" si="103">G76*627.5096*4.184</f>
        <v>-7.153201406</v>
      </c>
      <c r="N76" s="5">
        <f t="shared" si="103"/>
        <v>-6.448526281</v>
      </c>
      <c r="O76" s="5">
        <f t="shared" si="103"/>
        <v>-6.096188718</v>
      </c>
      <c r="P76" s="5">
        <f t="shared" si="103"/>
        <v>-5.05408523</v>
      </c>
    </row>
    <row r="77">
      <c r="A77" s="67" t="s">
        <v>57</v>
      </c>
      <c r="B77" s="71">
        <v>2.0</v>
      </c>
      <c r="C77" s="67" t="s">
        <v>50</v>
      </c>
      <c r="D77" s="72">
        <f>D76</f>
        <v>0.01414392917</v>
      </c>
      <c r="E77" s="75">
        <f t="shared" ref="E77:F77" si="104">(3^3*E75-4^3*E76)/(3^3-4^3)</f>
        <v>-0.0009915324143</v>
      </c>
      <c r="F77" s="75">
        <f t="shared" si="104"/>
        <v>-0.001818358123</v>
      </c>
      <c r="G77" s="73">
        <f t="shared" si="2"/>
        <v>-0.002809890537</v>
      </c>
      <c r="H77" s="75">
        <f t="shared" si="3"/>
        <v>-0.002512540552</v>
      </c>
      <c r="I77" s="56">
        <f t="shared" si="4"/>
        <v>-0.00236386556</v>
      </c>
      <c r="J77" s="62">
        <f t="shared" si="5"/>
        <v>-0.002006420064</v>
      </c>
      <c r="K77" s="85"/>
      <c r="L77" s="5">
        <f t="shared" si="6"/>
        <v>29.75751844</v>
      </c>
      <c r="M77" s="5">
        <f t="shared" ref="M77:P77" si="105">G77*627.5096*4.184</f>
        <v>-7.377368073</v>
      </c>
      <c r="N77" s="5">
        <f t="shared" si="105"/>
        <v>-6.596675638</v>
      </c>
      <c r="O77" s="5">
        <f t="shared" si="105"/>
        <v>-6.206329421</v>
      </c>
      <c r="P77" s="5">
        <f t="shared" si="105"/>
        <v>-5.267856211</v>
      </c>
    </row>
    <row r="78">
      <c r="A78" s="67" t="s">
        <v>30</v>
      </c>
      <c r="B78" s="71">
        <v>6.0</v>
      </c>
      <c r="C78" s="67" t="s">
        <v>47</v>
      </c>
      <c r="D78" s="72">
        <f> -278.715109451181--278.715599637183</f>
        <v>0.000490186002</v>
      </c>
      <c r="E78" s="72">
        <f> -0.234202350033964--0.234121682276258</f>
        <v>-0.00008066775771</v>
      </c>
      <c r="F78" s="72">
        <f>-0.619185535770174--0.619029801249947</f>
        <v>-0.0001557345202</v>
      </c>
      <c r="G78" s="73">
        <f t="shared" si="2"/>
        <v>-0.0002364022779</v>
      </c>
      <c r="H78" s="75">
        <f t="shared" si="3"/>
        <v>-0.0002137706768</v>
      </c>
      <c r="I78" s="56">
        <f t="shared" si="4"/>
        <v>-0.0002024548763</v>
      </c>
      <c r="J78" s="62">
        <f t="shared" si="5"/>
        <v>-0.0001663552155</v>
      </c>
      <c r="K78" s="85"/>
      <c r="L78" s="5">
        <f t="shared" si="6"/>
        <v>0.6663091676</v>
      </c>
      <c r="M78" s="5">
        <f t="shared" ref="M78:P78" si="106">G78*627.5096*4.184</f>
        <v>-0.6206742201</v>
      </c>
      <c r="N78" s="5">
        <f t="shared" si="106"/>
        <v>-0.5612549476</v>
      </c>
      <c r="O78" s="5">
        <f t="shared" si="106"/>
        <v>-0.5315453114</v>
      </c>
      <c r="P78" s="5">
        <f t="shared" si="106"/>
        <v>-0.4367656461</v>
      </c>
    </row>
    <row r="79">
      <c r="A79" s="67" t="s">
        <v>30</v>
      </c>
      <c r="B79" s="71">
        <v>6.0</v>
      </c>
      <c r="C79" s="67" t="s">
        <v>48</v>
      </c>
      <c r="D79" s="72">
        <f>-278.784380628369- -278.784852617341</f>
        <v>0.000471988972</v>
      </c>
      <c r="E79" s="72">
        <f>-0.273692633933091--0.273602484239212</f>
        <v>-0.00009014969388</v>
      </c>
      <c r="F79" s="72">
        <f>-0.770816894798894--0.770656225488025</f>
        <v>-0.0001606693109</v>
      </c>
      <c r="G79" s="73">
        <f t="shared" si="2"/>
        <v>-0.0002508190047</v>
      </c>
      <c r="H79" s="75">
        <f t="shared" si="3"/>
        <v>-0.000222853071</v>
      </c>
      <c r="I79" s="56">
        <f t="shared" si="4"/>
        <v>-0.0002088701041</v>
      </c>
      <c r="J79" s="62">
        <f t="shared" si="5"/>
        <v>-0.0001805608295</v>
      </c>
      <c r="K79" s="85"/>
      <c r="L79" s="5">
        <f t="shared" si="6"/>
        <v>0.5806817491</v>
      </c>
      <c r="M79" s="5">
        <f t="shared" ref="M79:P79" si="107">G79*627.5096*4.184</f>
        <v>-0.6585253387</v>
      </c>
      <c r="N79" s="5">
        <f t="shared" si="107"/>
        <v>-0.585100775</v>
      </c>
      <c r="O79" s="5">
        <f t="shared" si="107"/>
        <v>-0.5483884931</v>
      </c>
      <c r="P79" s="5">
        <f t="shared" si="107"/>
        <v>-0.4740624878</v>
      </c>
    </row>
    <row r="80">
      <c r="A80" s="67" t="s">
        <v>30</v>
      </c>
      <c r="B80" s="71">
        <v>6.0</v>
      </c>
      <c r="C80" s="67" t="s">
        <v>49</v>
      </c>
      <c r="D80" s="72">
        <f>-278.803115954524- -278.803563276051</f>
        <v>0.000447321527</v>
      </c>
      <c r="E80" s="72">
        <f>-0.284843240002309- -0.28474575826909</f>
        <v>-0.00009748173322</v>
      </c>
      <c r="F80" s="72">
        <f>-0.828849909716961--0.828685166304353</f>
        <v>-0.0001647434126</v>
      </c>
      <c r="G80" s="73">
        <f t="shared" si="2"/>
        <v>-0.0002622251458</v>
      </c>
      <c r="H80" s="75">
        <f t="shared" si="3"/>
        <v>-0.0002301860062</v>
      </c>
      <c r="I80" s="56">
        <f t="shared" si="4"/>
        <v>-0.0002141664364</v>
      </c>
      <c r="J80" s="62">
        <f t="shared" si="5"/>
        <v>-0.0001916488009</v>
      </c>
      <c r="K80" s="85"/>
      <c r="L80" s="5">
        <f t="shared" si="6"/>
        <v>0.4859705488</v>
      </c>
      <c r="M80" s="5">
        <f t="shared" ref="M80:P80" si="108">G80*627.5096*4.184</f>
        <v>-0.688472164</v>
      </c>
      <c r="N80" s="5">
        <f t="shared" si="108"/>
        <v>-0.6043533976</v>
      </c>
      <c r="O80" s="5">
        <f t="shared" si="108"/>
        <v>-0.5622940144</v>
      </c>
      <c r="P80" s="5">
        <f t="shared" si="108"/>
        <v>-0.5031739586</v>
      </c>
    </row>
    <row r="81">
      <c r="A81" s="67" t="s">
        <v>30</v>
      </c>
      <c r="B81" s="71">
        <v>6.0</v>
      </c>
      <c r="C81" s="67" t="s">
        <v>50</v>
      </c>
      <c r="D81" s="72">
        <f>D80</f>
        <v>0.000447321527</v>
      </c>
      <c r="E81" s="75">
        <f t="shared" ref="E81:F81" si="109">(3^3*E79-4^3*E80)/(3^3-4^3)</f>
        <v>-0.0001028321403</v>
      </c>
      <c r="F81" s="75">
        <f t="shared" si="109"/>
        <v>-0.0001677164058</v>
      </c>
      <c r="G81" s="73">
        <f t="shared" si="2"/>
        <v>-0.0002705485461</v>
      </c>
      <c r="H81" s="75">
        <f t="shared" si="3"/>
        <v>-0.000235537067</v>
      </c>
      <c r="I81" s="56">
        <f t="shared" si="4"/>
        <v>-0.0002180313275</v>
      </c>
      <c r="J81" s="62">
        <f t="shared" si="5"/>
        <v>-0.0001997400233</v>
      </c>
      <c r="K81" s="85"/>
      <c r="L81" s="5">
        <f t="shared" si="6"/>
        <v>0.4641174615</v>
      </c>
      <c r="M81" s="5">
        <f t="shared" ref="M81:P81" si="110">G81*627.5096*4.184</f>
        <v>-0.7103252527</v>
      </c>
      <c r="N81" s="5">
        <f t="shared" si="110"/>
        <v>-0.6184026087</v>
      </c>
      <c r="O81" s="5">
        <f t="shared" si="110"/>
        <v>-0.5724412866</v>
      </c>
      <c r="P81" s="5">
        <f t="shared" si="110"/>
        <v>-0.5244174644</v>
      </c>
    </row>
    <row r="82">
      <c r="A82" s="67" t="s">
        <v>36</v>
      </c>
      <c r="B82" s="71">
        <v>6.0</v>
      </c>
      <c r="C82" s="67" t="s">
        <v>47</v>
      </c>
      <c r="D82" s="72">
        <f> -341.672190533774--341.673934280019</f>
        <v>0.001743746245</v>
      </c>
      <c r="E82" s="72">
        <f>-0.247251011923868--0.2471875781975</f>
        <v>-0.00006343372637</v>
      </c>
      <c r="F82" s="72">
        <f>-0.714469614507488--0.713719223005734</f>
        <v>-0.0007503915018</v>
      </c>
      <c r="G82" s="73">
        <f t="shared" si="2"/>
        <v>-0.0008138252281</v>
      </c>
      <c r="H82" s="75">
        <f t="shared" si="3"/>
        <v>-0.0009216143776</v>
      </c>
      <c r="I82" s="56">
        <f t="shared" si="4"/>
        <v>-0.0009755089523</v>
      </c>
      <c r="J82" s="62">
        <f t="shared" si="5"/>
        <v>-0.0003819861077</v>
      </c>
      <c r="K82" s="85"/>
      <c r="L82" s="5">
        <f t="shared" si="6"/>
        <v>2.44150763</v>
      </c>
      <c r="M82" s="5">
        <f t="shared" ref="M82:P82" si="111">G82*627.5096*4.184</f>
        <v>-2.136698272</v>
      </c>
      <c r="N82" s="5">
        <f t="shared" si="111"/>
        <v>-2.419698702</v>
      </c>
      <c r="O82" s="5">
        <f t="shared" si="111"/>
        <v>-2.561198917</v>
      </c>
      <c r="P82" s="5">
        <f t="shared" si="111"/>
        <v>-1.002904589</v>
      </c>
    </row>
    <row r="83">
      <c r="A83" s="67" t="s">
        <v>36</v>
      </c>
      <c r="B83" s="71">
        <v>6.0</v>
      </c>
      <c r="C83" s="67" t="s">
        <v>48</v>
      </c>
      <c r="D83" s="72">
        <f>-341.778528921886- -341.780164053811</f>
        <v>0.001635131925</v>
      </c>
      <c r="E83" s="72">
        <f>-0.301268909083786- -0.301168344442842</f>
        <v>-0.0001005646409</v>
      </c>
      <c r="F83" s="72">
        <f>-0.908231664944267- -0.907339550883407</f>
        <v>-0.0008921140609</v>
      </c>
      <c r="G83" s="73">
        <f t="shared" si="2"/>
        <v>-0.0009926787018</v>
      </c>
      <c r="H83" s="75">
        <f t="shared" si="3"/>
        <v>-0.00110405842</v>
      </c>
      <c r="I83" s="56">
        <f t="shared" si="4"/>
        <v>-0.001159748279</v>
      </c>
      <c r="J83" s="62">
        <f t="shared" si="5"/>
        <v>-0.0004865740112</v>
      </c>
      <c r="K83" s="85"/>
      <c r="L83" s="5">
        <f t="shared" si="6"/>
        <v>1.686760938</v>
      </c>
      <c r="M83" s="5">
        <f t="shared" ref="M83:P83" si="112">G83*627.5096*4.184</f>
        <v>-2.606278097</v>
      </c>
      <c r="N83" s="5">
        <f t="shared" si="112"/>
        <v>-2.898705565</v>
      </c>
      <c r="O83" s="5">
        <f t="shared" si="112"/>
        <v>-3.0449193</v>
      </c>
      <c r="P83" s="5">
        <f t="shared" si="112"/>
        <v>-1.277500147</v>
      </c>
    </row>
    <row r="84">
      <c r="A84" s="67" t="s">
        <v>36</v>
      </c>
      <c r="B84" s="71">
        <v>6.0</v>
      </c>
      <c r="C84" s="67" t="s">
        <v>49</v>
      </c>
      <c r="D84" s="72">
        <f>-341.803266837181- -341.804915864169</f>
        <v>0.001649026988</v>
      </c>
      <c r="E84" s="67">
        <f>-0.316398211967967--0.316287868681437</f>
        <v>-0.0001103432865</v>
      </c>
      <c r="F84" s="67">
        <f>-0.981389832586895- -0.980515333614148</f>
        <v>-0.0008744989727</v>
      </c>
      <c r="G84" s="73">
        <f t="shared" si="2"/>
        <v>-0.0009848422593</v>
      </c>
      <c r="H84" s="75">
        <f t="shared" si="3"/>
        <v>-0.001086179863</v>
      </c>
      <c r="I84" s="56">
        <f t="shared" si="4"/>
        <v>-0.001136848665</v>
      </c>
      <c r="J84" s="62">
        <f t="shared" si="5"/>
        <v>-0.0004921424287</v>
      </c>
      <c r="K84" s="85"/>
      <c r="L84" s="5">
        <f t="shared" si="6"/>
        <v>1.743817005</v>
      </c>
      <c r="M84" s="5">
        <f t="shared" ref="M84:P84" si="113">G84*627.5096*4.184</f>
        <v>-2.585703516</v>
      </c>
      <c r="N84" s="5">
        <f t="shared" si="113"/>
        <v>-2.851765411</v>
      </c>
      <c r="O84" s="5">
        <f t="shared" si="113"/>
        <v>-2.984796358</v>
      </c>
      <c r="P84" s="5">
        <f t="shared" si="113"/>
        <v>-1.292120029</v>
      </c>
    </row>
    <row r="85">
      <c r="A85" s="67" t="s">
        <v>36</v>
      </c>
      <c r="B85" s="71">
        <v>6.0</v>
      </c>
      <c r="C85" s="67" t="s">
        <v>50</v>
      </c>
      <c r="D85" s="72">
        <f>D84</f>
        <v>0.001649026988</v>
      </c>
      <c r="E85" s="75">
        <f t="shared" ref="E85:F85" si="114">(3^3*E83-4^3*E84)/(3^3-4^3)</f>
        <v>-0.0001174790549</v>
      </c>
      <c r="F85" s="75">
        <f t="shared" si="114"/>
        <v>-0.0008616447193</v>
      </c>
      <c r="G85" s="73">
        <f t="shared" si="2"/>
        <v>-0.0009791237742</v>
      </c>
      <c r="H85" s="75">
        <f t="shared" si="3"/>
        <v>-0.001073133348</v>
      </c>
      <c r="I85" s="56">
        <f t="shared" si="4"/>
        <v>-0.001120138135</v>
      </c>
      <c r="J85" s="62">
        <f t="shared" si="5"/>
        <v>-0.0004962058686</v>
      </c>
      <c r="K85" s="85"/>
      <c r="L85" s="5">
        <f t="shared" si="6"/>
        <v>1.758830888</v>
      </c>
      <c r="M85" s="5">
        <f t="shared" ref="M85:P85" si="115">G85*627.5096*4.184</f>
        <v>-2.570689632</v>
      </c>
      <c r="N85" s="5">
        <f t="shared" si="115"/>
        <v>-2.817511784</v>
      </c>
      <c r="O85" s="5">
        <f t="shared" si="115"/>
        <v>-2.94092286</v>
      </c>
      <c r="P85" s="5">
        <f t="shared" si="115"/>
        <v>-1.30278859</v>
      </c>
    </row>
    <row r="86">
      <c r="A86" s="67" t="s">
        <v>37</v>
      </c>
      <c r="B86" s="71">
        <v>4.0</v>
      </c>
      <c r="C86" s="67" t="s">
        <v>47</v>
      </c>
      <c r="D86" s="72">
        <f>-412.493437465333--412.50217960883</f>
        <v>0.008742143497</v>
      </c>
      <c r="E86" s="72">
        <f> -0.327038635665243--0.325716315233301</f>
        <v>-0.001322320432</v>
      </c>
      <c r="F86" s="72">
        <f>-0.867115499125194- -0.864987229149256</f>
        <v>-0.002128269976</v>
      </c>
      <c r="G86" s="73">
        <f t="shared" si="2"/>
        <v>-0.003450590408</v>
      </c>
      <c r="H86" s="75">
        <f t="shared" si="3"/>
        <v>-0.002994697448</v>
      </c>
      <c r="I86" s="56">
        <f t="shared" si="4"/>
        <v>-0.002766750969</v>
      </c>
      <c r="J86" s="62">
        <f t="shared" si="5"/>
        <v>-0.002557101348</v>
      </c>
      <c r="K86" s="85"/>
      <c r="L86" s="5">
        <f t="shared" si="6"/>
        <v>13.89297264</v>
      </c>
      <c r="M86" s="5">
        <f t="shared" ref="M86:P86" si="116">G86*627.5096*4.184</f>
        <v>-9.05952569</v>
      </c>
      <c r="N86" s="5">
        <f t="shared" si="116"/>
        <v>-7.862578649</v>
      </c>
      <c r="O86" s="5">
        <f t="shared" si="116"/>
        <v>-7.264105129</v>
      </c>
      <c r="P86" s="5">
        <f t="shared" si="116"/>
        <v>-6.713670014</v>
      </c>
    </row>
    <row r="87">
      <c r="A87" s="67" t="s">
        <v>37</v>
      </c>
      <c r="B87" s="71">
        <v>4.0</v>
      </c>
      <c r="C87" s="67" t="s">
        <v>48</v>
      </c>
      <c r="D87" s="72">
        <f>-412.606616778132- -412.615563705705</f>
        <v>0.008946927573</v>
      </c>
      <c r="E87" s="72">
        <f>-0.388196465660513--0.38674059667911</f>
        <v>-0.001455868981</v>
      </c>
      <c r="F87" s="72">
        <f>-1.09147748470264- -1.0892369596631</f>
        <v>-0.00224052504</v>
      </c>
      <c r="G87" s="73">
        <f t="shared" si="2"/>
        <v>-0.003696394021</v>
      </c>
      <c r="H87" s="75">
        <f t="shared" si="3"/>
        <v>-0.003173919708</v>
      </c>
      <c r="I87" s="56">
        <f t="shared" si="4"/>
        <v>-0.002912682551</v>
      </c>
      <c r="J87" s="62">
        <f t="shared" si="5"/>
        <v>-0.002774281002</v>
      </c>
      <c r="K87" s="85"/>
      <c r="L87" s="5">
        <f t="shared" si="6"/>
        <v>13.78527584</v>
      </c>
      <c r="M87" s="5">
        <f t="shared" ref="M87:P87" si="117">G87*627.5096*4.184</f>
        <v>-9.704883117</v>
      </c>
      <c r="N87" s="5">
        <f t="shared" si="117"/>
        <v>-8.333126721</v>
      </c>
      <c r="O87" s="5">
        <f t="shared" si="117"/>
        <v>-7.647248523</v>
      </c>
      <c r="P87" s="5">
        <f t="shared" si="117"/>
        <v>-7.283875232</v>
      </c>
    </row>
    <row r="88">
      <c r="A88" s="67" t="s">
        <v>37</v>
      </c>
      <c r="B88" s="71">
        <v>4.0</v>
      </c>
      <c r="C88" s="67" t="s">
        <v>49</v>
      </c>
      <c r="D88" s="72">
        <f>-412.635801553257- -412.644749446228</f>
        <v>0.008947892971</v>
      </c>
      <c r="E88" s="67">
        <f> -0.405674902217098--0.404147167747796</f>
        <v>-0.001527734469</v>
      </c>
      <c r="F88" s="67">
        <f>-1.17887824762072--1.17654437806736</f>
        <v>-0.002333869553</v>
      </c>
      <c r="G88" s="73">
        <f t="shared" si="2"/>
        <v>-0.003861604023</v>
      </c>
      <c r="H88" s="75">
        <f t="shared" si="3"/>
        <v>-0.003309888287</v>
      </c>
      <c r="I88" s="56">
        <f t="shared" si="4"/>
        <v>-0.003034030419</v>
      </c>
      <c r="J88" s="62">
        <f t="shared" si="5"/>
        <v>-0.002904325287</v>
      </c>
      <c r="K88" s="85"/>
      <c r="L88" s="5">
        <f t="shared" si="6"/>
        <v>13.35405163</v>
      </c>
      <c r="M88" s="5">
        <f t="shared" ref="M88:P88" si="118">G88*627.5096*4.184</f>
        <v>-10.138642</v>
      </c>
      <c r="N88" s="5">
        <f t="shared" si="118"/>
        <v>-8.690112249</v>
      </c>
      <c r="O88" s="5">
        <f t="shared" si="118"/>
        <v>-7.965847371</v>
      </c>
      <c r="P88" s="5">
        <f t="shared" si="118"/>
        <v>-7.625306524</v>
      </c>
    </row>
    <row r="89">
      <c r="A89" s="67" t="s">
        <v>37</v>
      </c>
      <c r="B89" s="71">
        <v>4.0</v>
      </c>
      <c r="C89" s="67" t="s">
        <v>50</v>
      </c>
      <c r="D89" s="72">
        <f>D88</f>
        <v>0.008947892971</v>
      </c>
      <c r="E89" s="75">
        <f t="shared" ref="E89:F89" si="119">(3^3*E87-4^3*E88)/(3^3-4^3)</f>
        <v>-0.001580176852</v>
      </c>
      <c r="F89" s="75">
        <f t="shared" si="119"/>
        <v>-0.00240198582</v>
      </c>
      <c r="G89" s="73">
        <f t="shared" si="2"/>
        <v>-0.003982162673</v>
      </c>
      <c r="H89" s="75">
        <f t="shared" si="3"/>
        <v>-0.003409108602</v>
      </c>
      <c r="I89" s="56">
        <f t="shared" si="4"/>
        <v>-0.003122581566</v>
      </c>
      <c r="J89" s="62">
        <f t="shared" si="5"/>
        <v>-0.002999222468</v>
      </c>
      <c r="K89" s="85"/>
      <c r="L89" s="5">
        <f t="shared" si="6"/>
        <v>13.0375249</v>
      </c>
      <c r="M89" s="5">
        <f t="shared" ref="M89:P89" si="120">G89*627.5096*4.184</f>
        <v>-10.45516876</v>
      </c>
      <c r="N89" s="5">
        <f t="shared" si="120"/>
        <v>-8.950615201</v>
      </c>
      <c r="O89" s="5">
        <f t="shared" si="120"/>
        <v>-8.198338422</v>
      </c>
      <c r="P89" s="5">
        <f t="shared" si="120"/>
        <v>-7.874459088</v>
      </c>
    </row>
    <row r="90">
      <c r="A90" s="67" t="s">
        <v>31</v>
      </c>
      <c r="B90" s="71">
        <v>2.0</v>
      </c>
      <c r="C90" s="67" t="s">
        <v>47</v>
      </c>
      <c r="D90" s="72">
        <f>-223.998652533111- -224.008655939285</f>
        <v>0.01000340617</v>
      </c>
      <c r="E90" s="72">
        <f>-0.171361344109439- -0.170804388042463</f>
        <v>-0.000556956067</v>
      </c>
      <c r="F90" s="72">
        <f>-0.476054332807859- -0.475930625065712</f>
        <v>-0.0001237077421</v>
      </c>
      <c r="G90" s="73">
        <f t="shared" si="2"/>
        <v>-0.0006806638091</v>
      </c>
      <c r="H90" s="75">
        <f t="shared" si="3"/>
        <v>-0.0003341013129</v>
      </c>
      <c r="I90" s="56">
        <f t="shared" si="4"/>
        <v>-0.0001608200648</v>
      </c>
      <c r="J90" s="62">
        <f t="shared" si="5"/>
        <v>-0.0007679564233</v>
      </c>
      <c r="L90" s="5">
        <f t="shared" si="6"/>
        <v>24.47686008</v>
      </c>
      <c r="M90" s="5">
        <f t="shared" ref="M90:P90" si="121">G90*627.5096*4.184</f>
        <v>-1.787082944</v>
      </c>
      <c r="N90" s="5">
        <f t="shared" si="121"/>
        <v>-0.8771830526</v>
      </c>
      <c r="O90" s="5">
        <f t="shared" si="121"/>
        <v>-0.4222331069</v>
      </c>
      <c r="P90" s="5">
        <f t="shared" si="121"/>
        <v>-2.016269717</v>
      </c>
    </row>
    <row r="91">
      <c r="A91" s="67" t="s">
        <v>31</v>
      </c>
      <c r="B91" s="71">
        <v>2.0</v>
      </c>
      <c r="C91" s="67" t="s">
        <v>48</v>
      </c>
      <c r="D91" s="72">
        <f>-224.068966808571--224.078123844697</f>
        <v>0.009157036126</v>
      </c>
      <c r="E91" s="72">
        <f>-0.206292165867895- -0.205559088041574</f>
        <v>-0.0007330778263</v>
      </c>
      <c r="F91" s="72">
        <f>-0.605508762801742--0.60510203882967</f>
        <v>-0.0004067239721</v>
      </c>
      <c r="G91" s="73">
        <f t="shared" si="2"/>
        <v>-0.001139801798</v>
      </c>
      <c r="H91" s="75">
        <f t="shared" si="3"/>
        <v>-0.0007324280419</v>
      </c>
      <c r="I91" s="56">
        <f t="shared" si="4"/>
        <v>-0.0005287411637</v>
      </c>
      <c r="J91" s="62">
        <f t="shared" si="5"/>
        <v>-0.001108359985</v>
      </c>
      <c r="L91" s="5">
        <f t="shared" si="6"/>
        <v>21.04924873</v>
      </c>
      <c r="M91" s="5">
        <f t="shared" ref="M91:P91" si="122">G91*627.5096*4.184</f>
        <v>-2.992549811</v>
      </c>
      <c r="N91" s="5">
        <f t="shared" si="122"/>
        <v>-1.922989946</v>
      </c>
      <c r="O91" s="5">
        <f t="shared" si="122"/>
        <v>-1.388210013</v>
      </c>
      <c r="P91" s="5">
        <f t="shared" si="122"/>
        <v>-2.909999324</v>
      </c>
    </row>
    <row r="92">
      <c r="A92" s="67" t="s">
        <v>31</v>
      </c>
      <c r="B92" s="71">
        <v>2.0</v>
      </c>
      <c r="C92" s="67" t="s">
        <v>49</v>
      </c>
      <c r="D92" s="72">
        <f>-224.08664106886--224.095505801405</f>
        <v>0.008864732545</v>
      </c>
      <c r="E92" s="72">
        <f>-0.216406267883339--0.215531429715211</f>
        <v>-0.0008748381681</v>
      </c>
      <c r="F92" s="72">
        <f> -0.655137673296749- -0.654506467250169</f>
        <v>-0.0006312060466</v>
      </c>
      <c r="G92" s="73">
        <f t="shared" si="2"/>
        <v>-0.001506044215</v>
      </c>
      <c r="H92" s="75">
        <f t="shared" si="3"/>
        <v>-0.001049059979</v>
      </c>
      <c r="I92" s="56">
        <f t="shared" si="4"/>
        <v>-0.0008205678606</v>
      </c>
      <c r="J92" s="62">
        <f t="shared" si="5"/>
        <v>-0.001381023656</v>
      </c>
      <c r="L92" s="5">
        <f t="shared" si="6"/>
        <v>19.32023621</v>
      </c>
      <c r="M92" s="5">
        <f t="shared" ref="M92:P92" si="123">G92*627.5096*4.184</f>
        <v>-3.954119336</v>
      </c>
      <c r="N92" s="5">
        <f t="shared" si="123"/>
        <v>-2.754307148</v>
      </c>
      <c r="O92" s="5">
        <f t="shared" si="123"/>
        <v>-2.154401054</v>
      </c>
      <c r="P92" s="5">
        <f t="shared" si="123"/>
        <v>-3.625877837</v>
      </c>
    </row>
    <row r="93">
      <c r="A93" s="67" t="s">
        <v>31</v>
      </c>
      <c r="B93" s="71">
        <v>2.0</v>
      </c>
      <c r="C93" s="67" t="s">
        <v>50</v>
      </c>
      <c r="D93" s="72">
        <f>D92</f>
        <v>0.008864732545</v>
      </c>
      <c r="E93" s="75">
        <f t="shared" ref="E93:F93" si="124">(3^3*E91-4^3*E92)/(3^3-4^3)</f>
        <v>-0.000978284904</v>
      </c>
      <c r="F93" s="75">
        <f t="shared" si="124"/>
        <v>-0.0007950172901</v>
      </c>
      <c r="G93" s="73">
        <f t="shared" si="2"/>
        <v>-0.001773302194</v>
      </c>
      <c r="H93" s="75">
        <f t="shared" si="3"/>
        <v>-0.001280115716</v>
      </c>
      <c r="I93" s="56">
        <f t="shared" si="4"/>
        <v>-0.001033522477</v>
      </c>
      <c r="J93" s="62">
        <f t="shared" si="5"/>
        <v>-0.001579994442</v>
      </c>
      <c r="L93" s="5">
        <f t="shared" si="6"/>
        <v>18.61855039</v>
      </c>
      <c r="M93" s="5">
        <f t="shared" ref="M93:P93" si="125">G93*627.5096*4.184</f>
        <v>-4.655805206</v>
      </c>
      <c r="N93" s="5">
        <f t="shared" si="125"/>
        <v>-3.360944026</v>
      </c>
      <c r="O93" s="5">
        <f t="shared" si="125"/>
        <v>-2.713513436</v>
      </c>
      <c r="P93" s="5">
        <f t="shared" si="125"/>
        <v>-4.148275671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119</v>
      </c>
      <c r="E1" s="1" t="s">
        <v>120</v>
      </c>
    </row>
    <row r="2">
      <c r="A2" s="66" t="s">
        <v>6</v>
      </c>
      <c r="D2" s="1" t="s">
        <v>121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</row>
    <row r="3">
      <c r="A3" s="66" t="s">
        <v>3</v>
      </c>
      <c r="D3" s="1" t="s">
        <v>127</v>
      </c>
      <c r="E3" s="1">
        <v>6.2</v>
      </c>
      <c r="F3" s="1">
        <v>2.7</v>
      </c>
      <c r="G3" s="1">
        <v>2.7</v>
      </c>
      <c r="H3" s="92">
        <v>12.1</v>
      </c>
      <c r="I3" s="1">
        <v>68.96</v>
      </c>
    </row>
    <row r="4">
      <c r="A4" s="66" t="s">
        <v>116</v>
      </c>
      <c r="D4" s="1" t="s">
        <v>128</v>
      </c>
      <c r="E4" s="92">
        <v>8.8</v>
      </c>
      <c r="F4" s="1">
        <v>3.4</v>
      </c>
      <c r="G4" s="1">
        <v>3.4</v>
      </c>
      <c r="H4" s="1">
        <v>8.7</v>
      </c>
      <c r="I4" s="1">
        <v>51.12</v>
      </c>
    </row>
    <row r="5">
      <c r="A5" s="66" t="s">
        <v>8</v>
      </c>
      <c r="D5" s="1" t="s">
        <v>129</v>
      </c>
      <c r="E5" s="92">
        <v>28.6</v>
      </c>
      <c r="F5" s="1">
        <v>3.2</v>
      </c>
      <c r="G5" s="1">
        <v>8.0</v>
      </c>
      <c r="H5" s="1">
        <v>10.3</v>
      </c>
      <c r="I5" s="1">
        <v>49.45</v>
      </c>
    </row>
    <row r="6">
      <c r="A6" s="66" t="s">
        <v>4</v>
      </c>
      <c r="D6" s="1" t="s">
        <v>130</v>
      </c>
      <c r="E6" s="1">
        <v>5.8</v>
      </c>
      <c r="F6" s="1">
        <v>3.0</v>
      </c>
      <c r="G6" s="1">
        <v>3.0</v>
      </c>
      <c r="H6" s="92">
        <v>8.7</v>
      </c>
      <c r="I6" s="1">
        <v>44.53</v>
      </c>
    </row>
    <row r="7">
      <c r="A7" s="66" t="s">
        <v>117</v>
      </c>
      <c r="D7" s="1" t="s">
        <v>131</v>
      </c>
      <c r="E7" s="1">
        <v>2.9</v>
      </c>
      <c r="F7" s="1">
        <v>2.9</v>
      </c>
      <c r="G7" s="1">
        <v>2.9</v>
      </c>
      <c r="H7" s="92">
        <v>12.0</v>
      </c>
      <c r="I7" s="1">
        <v>39.25</v>
      </c>
    </row>
    <row r="8">
      <c r="A8" s="66" t="s">
        <v>110</v>
      </c>
      <c r="D8" s="1" t="s">
        <v>132</v>
      </c>
      <c r="E8" s="92">
        <v>15.4</v>
      </c>
      <c r="F8" s="1">
        <v>3.3</v>
      </c>
      <c r="G8" s="1">
        <v>5.9</v>
      </c>
      <c r="H8" s="1">
        <v>10.0</v>
      </c>
      <c r="I8" s="1">
        <v>38.58</v>
      </c>
    </row>
    <row r="9">
      <c r="A9" s="66" t="s">
        <v>109</v>
      </c>
    </row>
    <row r="12">
      <c r="A12" s="1" t="s">
        <v>109</v>
      </c>
    </row>
    <row r="13">
      <c r="A13" s="1" t="s">
        <v>116</v>
      </c>
    </row>
    <row r="14">
      <c r="A14" s="1" t="s">
        <v>6</v>
      </c>
    </row>
    <row r="15">
      <c r="A15" s="1" t="s">
        <v>3</v>
      </c>
    </row>
    <row r="16">
      <c r="A16" s="1" t="s">
        <v>8</v>
      </c>
    </row>
    <row r="17">
      <c r="A17" s="1" t="s">
        <v>4</v>
      </c>
    </row>
    <row r="18">
      <c r="A18" s="1" t="s">
        <v>110</v>
      </c>
    </row>
    <row r="19">
      <c r="A19" s="1" t="s">
        <v>2</v>
      </c>
    </row>
    <row r="23">
      <c r="H23" s="1" t="s">
        <v>84</v>
      </c>
      <c r="I23" s="1" t="s">
        <v>83</v>
      </c>
      <c r="J23" s="1" t="s">
        <v>133</v>
      </c>
      <c r="K23" s="1" t="s">
        <v>134</v>
      </c>
    </row>
    <row r="24">
      <c r="C24" s="1" t="s">
        <v>135</v>
      </c>
      <c r="D24" s="1" t="s">
        <v>136</v>
      </c>
      <c r="E24" s="1" t="s">
        <v>137</v>
      </c>
      <c r="H24" s="93">
        <v>-0.740224519736842</v>
      </c>
      <c r="I24" s="93">
        <v>-2.1699972808421</v>
      </c>
      <c r="J24" s="13">
        <v>-0.348390674613663</v>
      </c>
      <c r="K24" s="13">
        <v>-1.06299941647919</v>
      </c>
    </row>
    <row r="25">
      <c r="A25" s="94" t="s">
        <v>33</v>
      </c>
      <c r="B25" s="94" t="s">
        <v>47</v>
      </c>
      <c r="C25" s="79">
        <v>-54.890512443876105</v>
      </c>
      <c r="D25" s="79">
        <v>131.99873483973258</v>
      </c>
      <c r="H25" s="93">
        <v>-0.860871309285714</v>
      </c>
      <c r="I25" s="93">
        <v>-2.65606433871428</v>
      </c>
      <c r="J25" s="13">
        <v>-0.405438159994916</v>
      </c>
      <c r="K25" s="13">
        <v>-1.30134141255433</v>
      </c>
    </row>
    <row r="26">
      <c r="A26" s="94" t="s">
        <v>33</v>
      </c>
      <c r="B26" s="94" t="s">
        <v>48</v>
      </c>
      <c r="C26" s="79">
        <v>-59.999144318794606</v>
      </c>
      <c r="D26" s="79">
        <v>158.67114022707833</v>
      </c>
      <c r="E26" s="1">
        <v>158.3</v>
      </c>
      <c r="H26" s="44">
        <v>-0.8841958350160549</v>
      </c>
      <c r="I26" s="44">
        <v>-2.8349282963487696</v>
      </c>
      <c r="J26" s="13">
        <v>-0.424948914855909</v>
      </c>
      <c r="K26" s="13">
        <v>-1.3848244533088</v>
      </c>
    </row>
    <row r="27">
      <c r="A27" s="94" t="s">
        <v>33</v>
      </c>
      <c r="B27" s="94" t="s">
        <v>49</v>
      </c>
      <c r="C27" s="79">
        <v>-60.96813831866257</v>
      </c>
      <c r="D27" s="79">
        <v>152.7115505519414</v>
      </c>
      <c r="E27" s="1">
        <v>132.3</v>
      </c>
      <c r="H27" s="44">
        <v>-0.9012164348733307</v>
      </c>
      <c r="I27" s="44">
        <v>-2.9654506438117756</v>
      </c>
      <c r="J27" s="65">
        <f t="shared" ref="J27:K27" si="1">(3^3*J25-4^3*J26)/(3^3-4^3)</f>
        <v>-0.4391864927</v>
      </c>
      <c r="K27" s="65">
        <f t="shared" si="1"/>
        <v>-1.44574451</v>
      </c>
    </row>
    <row r="28">
      <c r="A28" s="94" t="s">
        <v>33</v>
      </c>
      <c r="B28" s="94" t="s">
        <v>50</v>
      </c>
      <c r="C28" s="79">
        <v>-60.96813831866257</v>
      </c>
      <c r="D28" s="79">
        <v>149.13487324296682</v>
      </c>
      <c r="E28" s="1">
        <v>123.9</v>
      </c>
    </row>
    <row r="29">
      <c r="H29" s="1" t="s">
        <v>84</v>
      </c>
      <c r="I29" s="1" t="s">
        <v>83</v>
      </c>
      <c r="J29" s="1" t="s">
        <v>133</v>
      </c>
      <c r="K29" s="1" t="s">
        <v>134</v>
      </c>
    </row>
    <row r="30">
      <c r="H30" s="5">
        <f t="shared" ref="H30:H33" si="2">1.29*H24</f>
        <v>-0.9548896305</v>
      </c>
      <c r="I30" s="5">
        <f t="shared" ref="I30:I33" si="3">0.4*I24</f>
        <v>-0.8679989123</v>
      </c>
      <c r="J30" s="5">
        <f t="shared" ref="J30:J33" si="4">1.29*J24</f>
        <v>-0.4494239703</v>
      </c>
      <c r="K30" s="5">
        <f t="shared" ref="K30:K33" si="5">0.4*K24</f>
        <v>-0.4251997666</v>
      </c>
    </row>
    <row r="31">
      <c r="H31" s="5">
        <f t="shared" si="2"/>
        <v>-1.110523989</v>
      </c>
      <c r="I31" s="5">
        <f t="shared" si="3"/>
        <v>-1.062425735</v>
      </c>
      <c r="J31" s="5">
        <f t="shared" si="4"/>
        <v>-0.5230152264</v>
      </c>
      <c r="K31" s="5">
        <f t="shared" si="5"/>
        <v>-0.520536565</v>
      </c>
    </row>
    <row r="32">
      <c r="H32" s="5">
        <f t="shared" si="2"/>
        <v>-1.140612627</v>
      </c>
      <c r="I32" s="5">
        <f t="shared" si="3"/>
        <v>-1.133971319</v>
      </c>
      <c r="J32" s="5">
        <f t="shared" si="4"/>
        <v>-0.5481841002</v>
      </c>
      <c r="K32" s="5">
        <f t="shared" si="5"/>
        <v>-0.5539297813</v>
      </c>
    </row>
    <row r="33">
      <c r="H33" s="5">
        <f t="shared" si="2"/>
        <v>-1.162569201</v>
      </c>
      <c r="I33" s="5">
        <f t="shared" si="3"/>
        <v>-1.186180258</v>
      </c>
      <c r="J33" s="5">
        <f t="shared" si="4"/>
        <v>-0.5665505756</v>
      </c>
      <c r="K33" s="5">
        <f t="shared" si="5"/>
        <v>-0.578297804</v>
      </c>
    </row>
    <row r="37">
      <c r="A37" s="8"/>
      <c r="B37" s="8"/>
      <c r="C37" s="7" t="s">
        <v>135</v>
      </c>
      <c r="D37" s="7" t="s">
        <v>109</v>
      </c>
      <c r="E37" s="7" t="s">
        <v>116</v>
      </c>
      <c r="F37" s="7" t="s">
        <v>117</v>
      </c>
      <c r="G37" s="7" t="s">
        <v>138</v>
      </c>
      <c r="H37" s="8"/>
    </row>
    <row r="38">
      <c r="A38" s="7" t="s">
        <v>33</v>
      </c>
      <c r="B38" s="7" t="s">
        <v>47</v>
      </c>
      <c r="C38" s="8">
        <v>-54.890512443876105</v>
      </c>
      <c r="D38" s="8">
        <v>131.99873483973258</v>
      </c>
      <c r="E38" s="8">
        <v>89.39243692748691</v>
      </c>
      <c r="F38" s="8">
        <v>68.08928797180745</v>
      </c>
      <c r="G38" s="8">
        <v>100.76668391844844</v>
      </c>
      <c r="H38" s="8"/>
    </row>
    <row r="39">
      <c r="A39" s="7" t="s">
        <v>33</v>
      </c>
      <c r="B39" s="7" t="s">
        <v>48</v>
      </c>
      <c r="C39" s="8">
        <v>-59.999144318794606</v>
      </c>
      <c r="D39" s="8">
        <v>158.67114022707833</v>
      </c>
      <c r="E39" s="8">
        <v>111.27507714835806</v>
      </c>
      <c r="F39" s="8">
        <v>87.57704560899795</v>
      </c>
      <c r="G39" s="8">
        <v>119.29584976627726</v>
      </c>
      <c r="H39" s="8"/>
    </row>
    <row r="40">
      <c r="A40" s="7" t="s">
        <v>33</v>
      </c>
      <c r="B40" s="7" t="s">
        <v>49</v>
      </c>
      <c r="C40" s="8">
        <v>-60.96813831866257</v>
      </c>
      <c r="D40" s="8">
        <v>151.70521981068487</v>
      </c>
      <c r="E40" s="8">
        <v>128.16134554299143</v>
      </c>
      <c r="F40" s="8">
        <v>116.38940840914469</v>
      </c>
      <c r="G40" s="8">
        <v>90.16683685465408</v>
      </c>
      <c r="H40" s="8"/>
    </row>
    <row r="41">
      <c r="A41" s="7" t="s">
        <v>33</v>
      </c>
      <c r="B41" s="7" t="s">
        <v>50</v>
      </c>
      <c r="C41" s="8">
        <v>-60.96813831866257</v>
      </c>
      <c r="D41" s="8">
        <v>147.39419304200226</v>
      </c>
      <c r="E41" s="8">
        <v>141.25597006870606</v>
      </c>
      <c r="F41" s="8">
        <v>138.18685858220576</v>
      </c>
      <c r="G41" s="8">
        <v>69.68274258918886</v>
      </c>
      <c r="H41" s="8"/>
    </row>
    <row r="42">
      <c r="A42" s="7" t="s">
        <v>68</v>
      </c>
      <c r="B42" s="7" t="s">
        <v>47</v>
      </c>
      <c r="C42" s="8">
        <v>-52.940298433020416</v>
      </c>
      <c r="D42" s="8">
        <v>60.4901053641132</v>
      </c>
      <c r="E42" s="8">
        <v>33.76500348876014</v>
      </c>
      <c r="F42" s="8">
        <v>20.402452550861913</v>
      </c>
      <c r="G42" s="8">
        <v>43.62520453681578</v>
      </c>
      <c r="H42" s="8"/>
    </row>
    <row r="43">
      <c r="A43" s="7" t="s">
        <v>68</v>
      </c>
      <c r="B43" s="7" t="s">
        <v>48</v>
      </c>
      <c r="C43" s="8">
        <v>-54.36307448901516</v>
      </c>
      <c r="D43" s="8">
        <v>81.71015139463508</v>
      </c>
      <c r="E43" s="8">
        <v>51.74808310765563</v>
      </c>
      <c r="F43" s="8">
        <v>36.767048964018116</v>
      </c>
      <c r="G43" s="8">
        <v>59.626839699535296</v>
      </c>
      <c r="H43" s="8"/>
    </row>
    <row r="44">
      <c r="A44" s="7" t="s">
        <v>68</v>
      </c>
      <c r="B44" s="7" t="s">
        <v>49</v>
      </c>
      <c r="C44" s="8">
        <v>-54.58774262490351</v>
      </c>
      <c r="D44" s="8">
        <v>76.83206610007659</v>
      </c>
      <c r="E44" s="8">
        <v>63.589767613227835</v>
      </c>
      <c r="F44" s="8">
        <v>56.968618369729555</v>
      </c>
      <c r="G44" s="8">
        <v>39.44570030118067</v>
      </c>
      <c r="H44" s="8"/>
    </row>
    <row r="45">
      <c r="A45" s="7" t="s">
        <v>68</v>
      </c>
      <c r="B45" s="7" t="s">
        <v>50</v>
      </c>
      <c r="C45" s="8">
        <v>-54.58774262490351</v>
      </c>
      <c r="D45" s="8">
        <v>73.37982947332698</v>
      </c>
      <c r="E45" s="8">
        <v>72.33844408393479</v>
      </c>
      <c r="F45" s="8">
        <v>71.81775138938649</v>
      </c>
      <c r="G45" s="8">
        <v>24.82637013935629</v>
      </c>
      <c r="H45" s="8"/>
    </row>
  </sheetData>
  <conditionalFormatting sqref="I3:I8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69</v>
      </c>
      <c r="C1" s="13" t="s">
        <v>70</v>
      </c>
      <c r="D1" s="13" t="s">
        <v>39</v>
      </c>
      <c r="E1" s="13" t="s">
        <v>71</v>
      </c>
      <c r="F1" s="13" t="s">
        <v>72</v>
      </c>
      <c r="G1" s="13" t="s">
        <v>40</v>
      </c>
      <c r="H1" s="13" t="s">
        <v>73</v>
      </c>
      <c r="I1" s="13" t="s">
        <v>74</v>
      </c>
      <c r="J1" s="13" t="s">
        <v>75</v>
      </c>
      <c r="K1" s="13" t="s">
        <v>76</v>
      </c>
      <c r="L1" s="13" t="s">
        <v>77</v>
      </c>
      <c r="M1" s="13" t="s">
        <v>78</v>
      </c>
    </row>
    <row r="2">
      <c r="A2" s="13" t="s">
        <v>33</v>
      </c>
      <c r="B2" s="13">
        <v>1.0</v>
      </c>
      <c r="C2" s="17">
        <f t="shared" ref="C2:C5" si="1">1/8</f>
        <v>0.125</v>
      </c>
      <c r="D2" s="13" t="s">
        <v>47</v>
      </c>
      <c r="E2" s="13">
        <v>-1072.328458393</v>
      </c>
      <c r="F2" s="13">
        <v>-1072.07294566691</v>
      </c>
      <c r="G2" s="17">
        <f t="shared" ref="G2:G3" si="2">E2+(-B2)*(F2-E2)/(C2-B2)</f>
        <v>-1072.036444</v>
      </c>
      <c r="H2" s="13">
        <v>-1.0202067930334</v>
      </c>
      <c r="I2" s="13">
        <v>-1.06103040857558</v>
      </c>
      <c r="J2" s="17">
        <f t="shared" ref="J2:J3" si="3">H2+(-B2)*(I2-H2)/(C2-B2)</f>
        <v>-1.066862354</v>
      </c>
      <c r="K2" s="13">
        <v>-2.64590865193906</v>
      </c>
      <c r="L2" s="13">
        <v>-2.71195120194118</v>
      </c>
      <c r="M2" s="17">
        <f t="shared" ref="M2:M3" si="4">K2+(-B2)*(L2-K2)/(C2-B2)</f>
        <v>-2.721385852</v>
      </c>
    </row>
    <row r="3">
      <c r="A3" s="13" t="s">
        <v>33</v>
      </c>
      <c r="B3" s="13">
        <v>1.0</v>
      </c>
      <c r="C3" s="17">
        <f t="shared" si="1"/>
        <v>0.125</v>
      </c>
      <c r="D3" s="13" t="s">
        <v>48</v>
      </c>
      <c r="E3" s="13">
        <v>-1072.56617814296</v>
      </c>
      <c r="F3" s="13">
        <v>-1072.31041248084</v>
      </c>
      <c r="G3" s="17">
        <f t="shared" si="2"/>
        <v>-1072.273875</v>
      </c>
      <c r="H3" s="13">
        <v>-1.18151998776776</v>
      </c>
      <c r="I3" s="13">
        <v>-1.22428156839434</v>
      </c>
      <c r="J3" s="17">
        <f t="shared" si="3"/>
        <v>-1.230390366</v>
      </c>
      <c r="K3" s="13">
        <v>-3.25690757450168</v>
      </c>
      <c r="L3" s="13">
        <v>-3.32643086341009</v>
      </c>
      <c r="M3" s="17">
        <f t="shared" si="4"/>
        <v>-3.336362762</v>
      </c>
    </row>
    <row r="4">
      <c r="A4" s="13" t="s">
        <v>33</v>
      </c>
      <c r="B4" s="13">
        <v>1.0</v>
      </c>
      <c r="C4" s="17">
        <f t="shared" si="1"/>
        <v>0.125</v>
      </c>
      <c r="D4" s="13" t="s">
        <v>49</v>
      </c>
      <c r="E4" s="13">
        <v>-1072.62725757641</v>
      </c>
      <c r="F4" s="13"/>
      <c r="G4" s="17">
        <f>G3-E3+E4</f>
        <v>-1072.334954</v>
      </c>
      <c r="H4" s="13">
        <v>-1.21481679601868</v>
      </c>
      <c r="I4" s="13"/>
      <c r="J4" s="19">
        <f>J3-H3+H4</f>
        <v>-1.263687174</v>
      </c>
      <c r="K4" s="13">
        <v>-3.48950354916595</v>
      </c>
      <c r="L4" s="13"/>
      <c r="M4" s="19">
        <f>M3-K3+K4</f>
        <v>-3.568958736</v>
      </c>
    </row>
    <row r="5">
      <c r="A5" s="13" t="s">
        <v>33</v>
      </c>
      <c r="B5" s="13">
        <v>1.0</v>
      </c>
      <c r="C5" s="17">
        <f t="shared" si="1"/>
        <v>0.125</v>
      </c>
      <c r="D5" s="13" t="s">
        <v>50</v>
      </c>
      <c r="E5" s="17">
        <f>E4</f>
        <v>-1072.627258</v>
      </c>
      <c r="F5" s="17"/>
      <c r="G5" s="17">
        <f>G3-E3+E5</f>
        <v>-1072.334954</v>
      </c>
      <c r="H5" s="17">
        <f>(3^3*H3-4^3*H4)/(3^3-4^3)</f>
        <v>-1.239114467</v>
      </c>
      <c r="I5" s="17"/>
      <c r="J5" s="19">
        <f>J3-H3+H5</f>
        <v>-1.287984845</v>
      </c>
      <c r="K5" s="17">
        <f>(3^3*K3-4^3*K4)/(3^3-4^3)</f>
        <v>-3.659235747</v>
      </c>
      <c r="L5" s="17"/>
      <c r="M5" s="19">
        <f>M3-K3+K5</f>
        <v>-3.738690934</v>
      </c>
    </row>
    <row r="7">
      <c r="E7" s="13" t="s">
        <v>93</v>
      </c>
      <c r="F7" s="13" t="s">
        <v>84</v>
      </c>
      <c r="G7" s="13" t="s">
        <v>83</v>
      </c>
      <c r="H7" s="56" t="s">
        <v>103</v>
      </c>
      <c r="I7" s="57" t="s">
        <v>104</v>
      </c>
      <c r="J7" s="56" t="s">
        <v>105</v>
      </c>
      <c r="K7" s="58" t="s">
        <v>139</v>
      </c>
    </row>
    <row r="8">
      <c r="A8" s="13" t="s">
        <v>33</v>
      </c>
      <c r="B8" s="13">
        <v>2.0</v>
      </c>
      <c r="D8" s="13" t="s">
        <v>47</v>
      </c>
      <c r="E8" s="13">
        <v>-536.039333660004</v>
      </c>
      <c r="F8" s="13">
        <v>-0.497957780034227</v>
      </c>
      <c r="G8" s="13">
        <v>-1.32483109449607</v>
      </c>
      <c r="H8" s="61">
        <f t="shared" ref="H8:H11" si="5">F8+G8</f>
        <v>-1.822788875</v>
      </c>
      <c r="I8" s="56">
        <f t="shared" ref="I8:I11" si="6">0.333*F8+1.2*G8</f>
        <v>-1.755617254</v>
      </c>
      <c r="J8" s="56">
        <f t="shared" ref="J8:J11" si="7">1.3*G8</f>
        <v>-1.722280423</v>
      </c>
      <c r="K8" s="62">
        <f t="shared" ref="K8:K9" si="8">1.29*F8+0.4*G8</f>
        <v>-1.172297974</v>
      </c>
    </row>
    <row r="9">
      <c r="A9" s="13" t="s">
        <v>33</v>
      </c>
      <c r="B9" s="13">
        <v>2.0</v>
      </c>
      <c r="D9" s="13" t="s">
        <v>48</v>
      </c>
      <c r="E9" s="13">
        <v>-536.160013858523</v>
      </c>
      <c r="F9" s="13">
        <v>-0.574520125269549</v>
      </c>
      <c r="G9" s="13">
        <v>-1.62428288814469</v>
      </c>
      <c r="H9" s="61">
        <f t="shared" si="5"/>
        <v>-2.198803013</v>
      </c>
      <c r="I9" s="56">
        <f t="shared" si="6"/>
        <v>-2.140454667</v>
      </c>
      <c r="J9" s="56">
        <f t="shared" si="7"/>
        <v>-2.111567755</v>
      </c>
      <c r="K9" s="62">
        <f t="shared" si="8"/>
        <v>-1.390844117</v>
      </c>
    </row>
    <row r="10">
      <c r="A10" s="13" t="s">
        <v>33</v>
      </c>
      <c r="B10" s="13">
        <v>2.0</v>
      </c>
      <c r="D10" s="13" t="s">
        <v>49</v>
      </c>
      <c r="E10" s="18">
        <v>-536.190926265248</v>
      </c>
      <c r="F10" s="13">
        <v>-0.602122787395045</v>
      </c>
      <c r="G10" s="13">
        <v>-1.73137047154092</v>
      </c>
      <c r="H10" s="61">
        <f t="shared" si="5"/>
        <v>-2.333493259</v>
      </c>
      <c r="I10" s="56">
        <f t="shared" si="6"/>
        <v>-2.278151454</v>
      </c>
      <c r="J10" s="56">
        <f t="shared" si="7"/>
        <v>-2.250781613</v>
      </c>
      <c r="K10" s="13">
        <v>-1.73137047154092</v>
      </c>
    </row>
    <row r="11">
      <c r="A11" s="13" t="s">
        <v>33</v>
      </c>
      <c r="B11" s="13">
        <v>2.0</v>
      </c>
      <c r="D11" s="13" t="s">
        <v>50</v>
      </c>
      <c r="E11" s="17">
        <f>E10</f>
        <v>-536.1909263</v>
      </c>
      <c r="F11" s="17">
        <f t="shared" ref="F11:G11" si="9">(3^3*F9-4^3*F10)/(3^3-4^3)</f>
        <v>-0.6222652706</v>
      </c>
      <c r="G11" s="17">
        <f t="shared" si="9"/>
        <v>-1.809515465</v>
      </c>
      <c r="H11" s="61">
        <f t="shared" si="5"/>
        <v>-2.431780735</v>
      </c>
      <c r="I11" s="56">
        <f t="shared" si="6"/>
        <v>-2.378632893</v>
      </c>
      <c r="J11" s="56">
        <f t="shared" si="7"/>
        <v>-2.352370104</v>
      </c>
      <c r="K11" s="62">
        <f>1.29*F11+0.4*G11</f>
        <v>-1.526528385</v>
      </c>
    </row>
    <row r="14">
      <c r="E14" s="7" t="s">
        <v>40</v>
      </c>
      <c r="F14" s="7" t="s">
        <v>42</v>
      </c>
      <c r="G14" s="1" t="s">
        <v>43</v>
      </c>
    </row>
    <row r="15">
      <c r="D15" s="1" t="s">
        <v>47</v>
      </c>
      <c r="E15" s="7"/>
      <c r="F15" s="5">
        <f>-((G2+J2+M2)/$B$8-(E8+H8)+relax_e!D14+relax_e!F14)*2600</f>
        <v>131.2173182</v>
      </c>
    </row>
    <row r="16">
      <c r="D16" s="1" t="s">
        <v>48</v>
      </c>
      <c r="F16" s="95">
        <f>-((G3+J3+M3)/$B$8-(E9+H9)+relax_e!D15+relax_e!F15)*2600</f>
        <v>158.2488163</v>
      </c>
    </row>
    <row r="17">
      <c r="D17" s="1" t="s">
        <v>49</v>
      </c>
      <c r="F17" s="5">
        <f>-((G4+J4+M4)/$B$8-(E10+H10)+relax_e!D16+relax_e!F16)*2600</f>
        <v>152.3333205</v>
      </c>
    </row>
    <row r="18">
      <c r="D18" s="1" t="s">
        <v>50</v>
      </c>
      <c r="F18" s="5">
        <f>-((G5+J5+M5)/$B$8-(E11+H11)+relax_e!D17+relax_e!G17)*2600</f>
        <v>149.1348732</v>
      </c>
      <c r="G18" s="5">
        <f>-((G5+1/3*J5+1.2*M5)/$B$8-(E11+I11)+relax_e!D17+relax_e!H17)*2600</f>
        <v>143.3445454</v>
      </c>
    </row>
    <row r="19">
      <c r="A19" s="13"/>
      <c r="B19" s="13"/>
      <c r="C19" s="17"/>
      <c r="D19" s="13"/>
      <c r="E19" s="13"/>
      <c r="F19" s="13"/>
      <c r="G19" s="17"/>
      <c r="H19" s="13"/>
      <c r="I19" s="13"/>
      <c r="J19" s="17"/>
      <c r="K19" s="13"/>
      <c r="L19" s="13"/>
      <c r="M19" s="17"/>
    </row>
    <row r="20">
      <c r="A20" s="13"/>
      <c r="B20" s="13"/>
      <c r="C20" s="17"/>
      <c r="D20" s="13"/>
      <c r="E20" s="13"/>
      <c r="F20" s="17">
        <v>-1072.3349539625585</v>
      </c>
      <c r="G20" s="17"/>
      <c r="H20" s="13"/>
      <c r="I20" s="13"/>
      <c r="J20" s="17"/>
      <c r="K20" s="13"/>
      <c r="L20" s="13"/>
      <c r="M20" s="17"/>
    </row>
    <row r="21">
      <c r="A21" s="13" t="s">
        <v>0</v>
      </c>
      <c r="B21" s="13" t="s">
        <v>69</v>
      </c>
      <c r="C21" s="13" t="s">
        <v>70</v>
      </c>
      <c r="D21" s="13" t="s">
        <v>39</v>
      </c>
      <c r="E21" s="13" t="s">
        <v>71</v>
      </c>
      <c r="F21" s="13" t="s">
        <v>72</v>
      </c>
      <c r="G21" s="13" t="s">
        <v>40</v>
      </c>
      <c r="H21" s="13" t="s">
        <v>73</v>
      </c>
      <c r="I21" s="13" t="s">
        <v>74</v>
      </c>
      <c r="J21" s="13" t="s">
        <v>75</v>
      </c>
      <c r="K21" s="13" t="s">
        <v>76</v>
      </c>
      <c r="L21" s="13" t="s">
        <v>77</v>
      </c>
      <c r="M21" s="13" t="s">
        <v>78</v>
      </c>
    </row>
    <row r="22">
      <c r="A22" s="13" t="s">
        <v>68</v>
      </c>
      <c r="B22" s="13">
        <f>1/8</f>
        <v>0.125</v>
      </c>
      <c r="C22" s="13"/>
      <c r="D22" s="13" t="s">
        <v>47</v>
      </c>
      <c r="E22" s="13"/>
      <c r="F22" s="13"/>
      <c r="G22" s="17"/>
      <c r="H22" s="13"/>
      <c r="I22" s="13"/>
      <c r="J22" s="17"/>
      <c r="K22" s="13"/>
      <c r="L22" s="13"/>
      <c r="M22" s="17"/>
    </row>
    <row r="23">
      <c r="A23" s="13" t="s">
        <v>68</v>
      </c>
      <c r="B23" s="13">
        <v>1.0</v>
      </c>
      <c r="C23" s="13"/>
      <c r="D23" s="13" t="s">
        <v>48</v>
      </c>
      <c r="E23" s="13"/>
      <c r="F23" s="13"/>
      <c r="G23" s="17"/>
      <c r="H23" s="13"/>
      <c r="I23" s="13"/>
      <c r="J23" s="17"/>
      <c r="K23" s="13"/>
      <c r="L23" s="13"/>
      <c r="M23" s="17"/>
    </row>
    <row r="24">
      <c r="A24" s="13" t="s">
        <v>68</v>
      </c>
      <c r="B24" s="13">
        <v>1.0</v>
      </c>
      <c r="C24" s="13"/>
      <c r="D24" s="13" t="s">
        <v>49</v>
      </c>
      <c r="E24" s="13"/>
      <c r="F24" s="13"/>
      <c r="G24" s="17"/>
      <c r="H24" s="13"/>
      <c r="I24" s="13"/>
      <c r="J24" s="19"/>
      <c r="K24" s="13"/>
      <c r="L24" s="13"/>
      <c r="M24" s="19"/>
    </row>
    <row r="25">
      <c r="A25" s="13" t="s">
        <v>68</v>
      </c>
      <c r="B25" s="13">
        <v>1.0</v>
      </c>
      <c r="C25" s="13"/>
      <c r="D25" s="13" t="s">
        <v>50</v>
      </c>
      <c r="E25" s="17"/>
      <c r="F25" s="17"/>
      <c r="G25" s="17"/>
      <c r="H25" s="17"/>
      <c r="I25" s="17"/>
      <c r="J25" s="19"/>
      <c r="K25" s="17"/>
      <c r="L25" s="17"/>
      <c r="M25" s="19"/>
    </row>
    <row r="27">
      <c r="E27" s="13" t="s">
        <v>93</v>
      </c>
      <c r="F27" s="13" t="s">
        <v>84</v>
      </c>
      <c r="G27" s="13" t="s">
        <v>83</v>
      </c>
      <c r="H27" s="56" t="s">
        <v>103</v>
      </c>
      <c r="I27" s="57" t="s">
        <v>104</v>
      </c>
      <c r="J27" s="56" t="s">
        <v>105</v>
      </c>
      <c r="K27" s="58" t="s">
        <v>139</v>
      </c>
    </row>
    <row r="28">
      <c r="A28" s="13" t="s">
        <v>68</v>
      </c>
      <c r="B28" s="13">
        <v>2.0</v>
      </c>
      <c r="D28" s="13" t="s">
        <v>47</v>
      </c>
      <c r="E28" s="13">
        <v>-536.039333660004</v>
      </c>
      <c r="F28" s="13">
        <v>-0.497957780034227</v>
      </c>
      <c r="G28" s="13">
        <v>-1.32483109449607</v>
      </c>
      <c r="H28" s="61">
        <f t="shared" ref="H28:H31" si="10">F28+G28</f>
        <v>-1.822788875</v>
      </c>
      <c r="I28" s="56">
        <f t="shared" ref="I28:I31" si="11">0.333*F28+1.2*G28</f>
        <v>-1.755617254</v>
      </c>
      <c r="J28" s="56">
        <f t="shared" ref="J28:J31" si="12">1.3*G28</f>
        <v>-1.722280423</v>
      </c>
      <c r="K28" s="62">
        <f t="shared" ref="K28:K29" si="13">1.29*F28+0.4*G28</f>
        <v>-1.172297974</v>
      </c>
    </row>
    <row r="29">
      <c r="A29" s="13" t="s">
        <v>68</v>
      </c>
      <c r="B29" s="13">
        <v>2.0</v>
      </c>
      <c r="D29" s="13" t="s">
        <v>48</v>
      </c>
      <c r="E29" s="13">
        <v>-536.160013858523</v>
      </c>
      <c r="F29" s="13">
        <v>-0.574520125269549</v>
      </c>
      <c r="G29" s="13">
        <v>-1.62428288814469</v>
      </c>
      <c r="H29" s="61">
        <f t="shared" si="10"/>
        <v>-2.198803013</v>
      </c>
      <c r="I29" s="56">
        <f t="shared" si="11"/>
        <v>-2.140454667</v>
      </c>
      <c r="J29" s="56">
        <f t="shared" si="12"/>
        <v>-2.111567755</v>
      </c>
      <c r="K29" s="62">
        <f t="shared" si="13"/>
        <v>-1.390844117</v>
      </c>
    </row>
    <row r="30">
      <c r="A30" s="13" t="s">
        <v>68</v>
      </c>
      <c r="B30" s="13">
        <v>2.0</v>
      </c>
      <c r="D30" s="13" t="s">
        <v>49</v>
      </c>
      <c r="E30" s="18">
        <v>-536.190926265248</v>
      </c>
      <c r="F30" s="13">
        <v>-0.602122787395045</v>
      </c>
      <c r="G30" s="13">
        <v>-1.73137047154092</v>
      </c>
      <c r="H30" s="61">
        <f t="shared" si="10"/>
        <v>-2.333493259</v>
      </c>
      <c r="I30" s="56">
        <f t="shared" si="11"/>
        <v>-2.278151454</v>
      </c>
      <c r="J30" s="56">
        <f t="shared" si="12"/>
        <v>-2.250781613</v>
      </c>
      <c r="K30" s="13">
        <v>-1.73137047154092</v>
      </c>
    </row>
    <row r="31">
      <c r="A31" s="13" t="s">
        <v>68</v>
      </c>
      <c r="B31" s="13">
        <v>2.0</v>
      </c>
      <c r="D31" s="13" t="s">
        <v>50</v>
      </c>
      <c r="E31" s="17">
        <f>E30</f>
        <v>-536.1909263</v>
      </c>
      <c r="F31" s="17">
        <f t="shared" ref="F31:G31" si="14">(3^3*F29-4^3*F30)/(3^3-4^3)</f>
        <v>-0.6222652706</v>
      </c>
      <c r="G31" s="17">
        <f t="shared" si="14"/>
        <v>-1.809515465</v>
      </c>
      <c r="H31" s="61">
        <f t="shared" si="10"/>
        <v>-2.431780735</v>
      </c>
      <c r="I31" s="56">
        <f t="shared" si="11"/>
        <v>-2.378632893</v>
      </c>
      <c r="J31" s="56">
        <f t="shared" si="12"/>
        <v>-2.352370104</v>
      </c>
      <c r="K31" s="62">
        <f>1.29*F31+0.4*G31</f>
        <v>-1.526528385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7" max="7" width="19.38"/>
  </cols>
  <sheetData>
    <row r="1">
      <c r="A1" s="1" t="s">
        <v>140</v>
      </c>
      <c r="B1" s="1" t="s">
        <v>71</v>
      </c>
      <c r="C1" s="1" t="s">
        <v>72</v>
      </c>
      <c r="D1" s="1" t="s">
        <v>141</v>
      </c>
      <c r="E1" s="1" t="s">
        <v>142</v>
      </c>
      <c r="F1" s="1" t="s">
        <v>143</v>
      </c>
      <c r="G1" s="1" t="s">
        <v>144</v>
      </c>
      <c r="M1" s="1" t="s">
        <v>145</v>
      </c>
      <c r="N1" s="1" t="s">
        <v>146</v>
      </c>
    </row>
    <row r="2">
      <c r="A2" s="96" t="s">
        <v>46</v>
      </c>
      <c r="B2" s="11">
        <v>-14.9012505</v>
      </c>
      <c r="C2" s="97">
        <v>-0.0104103214</v>
      </c>
      <c r="D2" s="11">
        <v>2.13425415</v>
      </c>
      <c r="E2" s="11">
        <v>-0.0272611957</v>
      </c>
      <c r="F2" s="11">
        <v>0.0</v>
      </c>
      <c r="M2" s="83">
        <f>1360^2*6*2512*16/1024^3</f>
        <v>415.4022217</v>
      </c>
    </row>
    <row r="3">
      <c r="A3" s="96" t="s">
        <v>68</v>
      </c>
      <c r="B3" s="11">
        <v>299.700988</v>
      </c>
      <c r="C3" s="97">
        <v>0.432164794</v>
      </c>
      <c r="D3" s="11">
        <v>0.00275735848</v>
      </c>
      <c r="E3" s="11">
        <v>0.0</v>
      </c>
      <c r="F3" s="11"/>
      <c r="M3" s="5">
        <f>2060^2*8*3752*16/1024^3</f>
        <v>1898.048782</v>
      </c>
      <c r="N3" s="1" t="s">
        <v>147</v>
      </c>
    </row>
    <row r="4">
      <c r="A4" s="96" t="s">
        <v>33</v>
      </c>
      <c r="B4" s="11">
        <v>15.9984058</v>
      </c>
      <c r="C4" s="11">
        <v>-14.566364</v>
      </c>
      <c r="D4" s="97">
        <v>0.213288491</v>
      </c>
      <c r="E4" s="11">
        <v>0.00200155791</v>
      </c>
      <c r="F4" s="11">
        <v>0.0</v>
      </c>
      <c r="M4" s="5">
        <f>2140^2*3988*8*16/1024^3</f>
        <v>2177.172279</v>
      </c>
    </row>
    <row r="5">
      <c r="A5" s="96" t="s">
        <v>34</v>
      </c>
      <c r="B5" s="11">
        <v>12.3425595</v>
      </c>
      <c r="C5" s="97">
        <v>-0.051417379</v>
      </c>
      <c r="D5" s="11">
        <v>2.20874202</v>
      </c>
      <c r="E5" s="11">
        <v>6.30909517E-4</v>
      </c>
      <c r="F5" s="11">
        <v>0.0</v>
      </c>
      <c r="G5" s="7">
        <v>0.0</v>
      </c>
      <c r="M5" s="5">
        <f>2360^2*3*4412*16/1024^3</f>
        <v>1098.502064</v>
      </c>
      <c r="N5" s="1" t="s">
        <v>147</v>
      </c>
    </row>
    <row r="6">
      <c r="A6" s="96" t="s">
        <v>35</v>
      </c>
      <c r="B6" s="97">
        <v>0.0275125175</v>
      </c>
      <c r="C6" s="11">
        <v>-4.59900951E-4</v>
      </c>
      <c r="D6" s="11">
        <v>-1.65749725E-6</v>
      </c>
      <c r="E6" s="11">
        <v>0.0</v>
      </c>
      <c r="F6" s="11"/>
      <c r="M6" s="5">
        <f>3160^2*5872*16/1024^3</f>
        <v>873.7361908</v>
      </c>
      <c r="N6" s="1" t="s">
        <v>147</v>
      </c>
    </row>
    <row r="7">
      <c r="A7" s="96" t="s">
        <v>30</v>
      </c>
      <c r="B7" s="11">
        <v>17.8794149</v>
      </c>
      <c r="C7" s="97">
        <v>0.0132888773</v>
      </c>
      <c r="D7" s="11">
        <v>1.18733851E-5</v>
      </c>
      <c r="E7" s="11">
        <v>0.0</v>
      </c>
      <c r="F7" s="11"/>
      <c r="M7" s="5">
        <f>2520^2*8*4734*16/1024^3</f>
        <v>3583.764267</v>
      </c>
    </row>
    <row r="8">
      <c r="A8" s="96" t="s">
        <v>36</v>
      </c>
      <c r="B8" s="97">
        <v>0.972757097</v>
      </c>
      <c r="C8" s="11">
        <v>-4.65083728E-4</v>
      </c>
      <c r="D8" s="11">
        <v>-5.63386493E-7</v>
      </c>
      <c r="E8" s="11">
        <v>0.0</v>
      </c>
      <c r="F8" s="11"/>
      <c r="M8" s="5">
        <f>3060^2*5652*16/1024^3</f>
        <v>788.6151552</v>
      </c>
    </row>
    <row r="9">
      <c r="A9" s="96" t="s">
        <v>37</v>
      </c>
      <c r="B9" s="11">
        <v>58.71312795</v>
      </c>
      <c r="C9" s="97">
        <v>0.3192344</v>
      </c>
      <c r="D9" s="11">
        <v>-32.68141285</v>
      </c>
      <c r="E9" s="11">
        <v>-0.0968281</v>
      </c>
      <c r="F9" s="11">
        <v>0.0</v>
      </c>
      <c r="M9" s="5">
        <f>2240^2*3*4208*16/1024^3</f>
        <v>943.8720703</v>
      </c>
    </row>
    <row r="10">
      <c r="A10" s="98" t="s">
        <v>18</v>
      </c>
      <c r="B10" s="97">
        <v>0.437026476</v>
      </c>
      <c r="C10" s="11">
        <v>0.00266357325</v>
      </c>
      <c r="D10" s="11">
        <v>9.77273089E-6</v>
      </c>
      <c r="E10" s="11">
        <v>0.0</v>
      </c>
      <c r="M10" s="5">
        <f>1800^2*3360*16/1024^3</f>
        <v>162.2200012</v>
      </c>
    </row>
    <row r="11">
      <c r="A11" s="98" t="s">
        <v>20</v>
      </c>
      <c r="B11" s="11">
        <v>54.3924901</v>
      </c>
      <c r="C11" s="97">
        <v>-0.912248917</v>
      </c>
      <c r="D11" s="11">
        <v>1.63594869</v>
      </c>
      <c r="E11" s="11">
        <v>-0.0528824003</v>
      </c>
      <c r="F11" s="11">
        <v>0.0</v>
      </c>
      <c r="M11" s="5">
        <f>1020^2*3*1884/1024^3</f>
        <v>5.476494133</v>
      </c>
    </row>
    <row r="12">
      <c r="A12" s="98" t="s">
        <v>21</v>
      </c>
      <c r="B12" s="11">
        <v>15.4</v>
      </c>
      <c r="C12" s="97">
        <v>-0.629</v>
      </c>
      <c r="D12" s="11">
        <v>-8.46E-4</v>
      </c>
      <c r="E12" s="11">
        <v>0.0</v>
      </c>
      <c r="F12" s="99"/>
      <c r="M12" s="5">
        <f>910^2*8*1672/1024^3</f>
        <v>10.31594872</v>
      </c>
    </row>
    <row r="13">
      <c r="A13" s="98" t="s">
        <v>91</v>
      </c>
      <c r="B13" s="11">
        <v>11.0</v>
      </c>
      <c r="C13" s="97">
        <v>-5.09</v>
      </c>
      <c r="D13" s="11">
        <v>-0.202</v>
      </c>
      <c r="E13" s="11">
        <v>-8.43E-4</v>
      </c>
      <c r="F13" s="99" t="s">
        <v>148</v>
      </c>
      <c r="M13" s="5">
        <f>1580^2*2*2936/1024^3</f>
        <v>13.65212798</v>
      </c>
    </row>
    <row r="14">
      <c r="A14" s="98" t="s">
        <v>54</v>
      </c>
      <c r="B14" s="11">
        <v>41.1070226</v>
      </c>
      <c r="C14" s="97">
        <v>0.0741590707</v>
      </c>
      <c r="D14" s="11">
        <v>-9.52617836E-4</v>
      </c>
      <c r="E14" s="11">
        <v>0.0</v>
      </c>
      <c r="M14" s="5">
        <f>1580^2*8*2936/1024^3</f>
        <v>54.60851192</v>
      </c>
    </row>
    <row r="15">
      <c r="A15" s="98" t="s">
        <v>28</v>
      </c>
      <c r="B15" s="11">
        <v>156.815263</v>
      </c>
      <c r="C15" s="97">
        <v>3.83169555</v>
      </c>
      <c r="D15" s="11">
        <v>4.1935065</v>
      </c>
      <c r="E15" s="11">
        <v>-0.00109001882</v>
      </c>
      <c r="F15" s="7">
        <v>0.0</v>
      </c>
      <c r="M15" s="5">
        <f>900^2*6*1680/1024^3</f>
        <v>7.604062557</v>
      </c>
    </row>
    <row r="16">
      <c r="B16" s="1" t="s">
        <v>149</v>
      </c>
      <c r="C16" s="1" t="s">
        <v>150</v>
      </c>
      <c r="D16" s="1" t="s">
        <v>151</v>
      </c>
      <c r="E16" s="1" t="s">
        <v>152</v>
      </c>
      <c r="F16" s="1" t="s">
        <v>153</v>
      </c>
      <c r="G16" s="100"/>
    </row>
    <row r="17">
      <c r="B17" s="1">
        <v>111.0</v>
      </c>
      <c r="C17" s="101">
        <v>132.0</v>
      </c>
      <c r="D17" s="1">
        <v>222.0</v>
      </c>
      <c r="E17" s="1">
        <v>243.0</v>
      </c>
      <c r="F17" s="1">
        <v>333.0</v>
      </c>
    </row>
    <row r="18">
      <c r="B18" s="1">
        <v>111.0</v>
      </c>
      <c r="C18" s="101">
        <v>222.0</v>
      </c>
      <c r="D18" s="1">
        <v>333.0</v>
      </c>
      <c r="E18" s="1">
        <v>444.0</v>
      </c>
    </row>
    <row r="19">
      <c r="B19" s="1">
        <v>111.0</v>
      </c>
      <c r="C19" s="1">
        <v>121.0</v>
      </c>
      <c r="D19" s="101">
        <v>222.0</v>
      </c>
      <c r="E19" s="1">
        <v>242.0</v>
      </c>
      <c r="F19" s="1">
        <v>333.0</v>
      </c>
    </row>
    <row r="20">
      <c r="B20" s="1">
        <v>111.0</v>
      </c>
      <c r="C20" s="101">
        <v>113.0</v>
      </c>
      <c r="D20" s="1">
        <v>222.0</v>
      </c>
      <c r="E20" s="1">
        <v>226.0</v>
      </c>
      <c r="F20" s="1">
        <v>333.0</v>
      </c>
    </row>
    <row r="21">
      <c r="B21" s="101">
        <v>111.0</v>
      </c>
      <c r="C21" s="1">
        <v>222.0</v>
      </c>
      <c r="D21" s="1">
        <v>333.0</v>
      </c>
      <c r="E21" s="1">
        <v>444.0</v>
      </c>
    </row>
    <row r="22">
      <c r="B22" s="1">
        <v>111.0</v>
      </c>
      <c r="C22" s="101">
        <v>222.0</v>
      </c>
      <c r="D22" s="1">
        <v>333.0</v>
      </c>
      <c r="E22" s="1">
        <v>444.0</v>
      </c>
    </row>
    <row r="23">
      <c r="B23" s="101">
        <v>111.0</v>
      </c>
      <c r="C23" s="1">
        <v>222.0</v>
      </c>
      <c r="D23" s="1">
        <v>333.0</v>
      </c>
      <c r="E23" s="1">
        <v>444.0</v>
      </c>
    </row>
    <row r="24">
      <c r="B24" s="1">
        <v>111.0</v>
      </c>
      <c r="C24" s="101">
        <v>113.0</v>
      </c>
      <c r="D24" s="1">
        <v>222.0</v>
      </c>
      <c r="E24" s="1">
        <v>226.0</v>
      </c>
      <c r="F24" s="1">
        <v>333.0</v>
      </c>
    </row>
    <row r="25">
      <c r="B25" s="101">
        <v>111.0</v>
      </c>
      <c r="C25" s="1">
        <v>222.0</v>
      </c>
      <c r="D25" s="1">
        <v>333.0</v>
      </c>
      <c r="E25" s="1">
        <v>444.0</v>
      </c>
    </row>
    <row r="26">
      <c r="B26" s="1">
        <v>111.0</v>
      </c>
      <c r="C26" s="101">
        <v>311.0</v>
      </c>
      <c r="D26" s="1">
        <v>222.0</v>
      </c>
      <c r="E26" s="1">
        <v>622.0</v>
      </c>
      <c r="F26" s="1">
        <v>333.0</v>
      </c>
    </row>
    <row r="27">
      <c r="B27" s="1">
        <v>111.0</v>
      </c>
      <c r="C27" s="101">
        <v>222.0</v>
      </c>
      <c r="D27" s="1">
        <v>333.0</v>
      </c>
      <c r="E27" s="1">
        <v>444.0</v>
      </c>
    </row>
    <row r="28">
      <c r="B28" s="1">
        <v>111.0</v>
      </c>
      <c r="C28" s="101">
        <v>121.0</v>
      </c>
      <c r="D28" s="1">
        <v>222.0</v>
      </c>
      <c r="E28" s="1">
        <v>242.0</v>
      </c>
      <c r="F28" s="1">
        <v>333.0</v>
      </c>
    </row>
    <row r="29">
      <c r="B29" s="1">
        <v>111.0</v>
      </c>
      <c r="C29" s="101">
        <v>222.0</v>
      </c>
      <c r="D29" s="1">
        <v>333.0</v>
      </c>
      <c r="E29" s="1">
        <v>444.0</v>
      </c>
    </row>
    <row r="30">
      <c r="B30" s="1">
        <v>111.0</v>
      </c>
      <c r="C30" s="101">
        <v>123.0</v>
      </c>
      <c r="D30" s="1">
        <v>222.0</v>
      </c>
      <c r="E30" s="1">
        <v>234.0</v>
      </c>
      <c r="F30" s="1">
        <v>333.0</v>
      </c>
    </row>
    <row r="40">
      <c r="A40" s="1" t="s">
        <v>154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  <col customWidth="1" min="10" max="10" width="15.75"/>
  </cols>
  <sheetData>
    <row r="1">
      <c r="A1" s="1" t="s">
        <v>155</v>
      </c>
      <c r="B1" s="1" t="s">
        <v>38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158</v>
      </c>
    </row>
    <row r="2">
      <c r="A2" s="96" t="s">
        <v>46</v>
      </c>
      <c r="B2" s="1">
        <v>4.0</v>
      </c>
      <c r="C2" s="1">
        <v>111.0</v>
      </c>
      <c r="D2" s="1">
        <v>132.0</v>
      </c>
      <c r="E2" s="1">
        <v>222.0</v>
      </c>
      <c r="F2" s="1">
        <v>243.0</v>
      </c>
      <c r="G2" s="1">
        <v>333.0</v>
      </c>
      <c r="H2" s="1" t="s">
        <v>159</v>
      </c>
      <c r="I2" s="1" t="s">
        <v>160</v>
      </c>
      <c r="J2" s="59">
        <v>-0.292663</v>
      </c>
      <c r="K2" s="12"/>
    </row>
    <row r="3">
      <c r="A3" s="96" t="s">
        <v>68</v>
      </c>
      <c r="B3" s="1">
        <v>2.0</v>
      </c>
      <c r="C3" s="1">
        <v>111.0</v>
      </c>
      <c r="D3" s="1">
        <v>222.0</v>
      </c>
      <c r="E3" s="1">
        <v>333.0</v>
      </c>
      <c r="F3" s="1">
        <v>444.0</v>
      </c>
      <c r="H3" s="1" t="s">
        <v>161</v>
      </c>
      <c r="I3" s="1" t="s">
        <v>160</v>
      </c>
      <c r="J3" s="59">
        <v>-0.247713</v>
      </c>
      <c r="K3" s="59"/>
    </row>
    <row r="4">
      <c r="A4" s="96" t="s">
        <v>33</v>
      </c>
      <c r="B4" s="1">
        <v>2.0</v>
      </c>
      <c r="C4" s="1">
        <v>111.0</v>
      </c>
      <c r="D4" s="1">
        <v>121.0</v>
      </c>
      <c r="E4" s="1">
        <v>222.0</v>
      </c>
      <c r="F4" s="1">
        <v>242.0</v>
      </c>
      <c r="G4" s="1">
        <v>333.0</v>
      </c>
      <c r="H4" s="1" t="s">
        <v>162</v>
      </c>
      <c r="I4" s="1" t="s">
        <v>160</v>
      </c>
      <c r="J4" s="59">
        <v>-1.2712</v>
      </c>
      <c r="K4" s="59"/>
    </row>
    <row r="5">
      <c r="A5" s="96" t="s">
        <v>34</v>
      </c>
      <c r="B5" s="1">
        <v>4.0</v>
      </c>
      <c r="C5" s="1">
        <v>111.0</v>
      </c>
      <c r="D5" s="1">
        <v>113.0</v>
      </c>
      <c r="E5" s="1">
        <v>222.0</v>
      </c>
      <c r="F5" s="1">
        <v>226.0</v>
      </c>
      <c r="G5" s="1">
        <v>333.0</v>
      </c>
      <c r="H5" s="1" t="s">
        <v>163</v>
      </c>
      <c r="I5" s="1" t="s">
        <v>160</v>
      </c>
      <c r="J5" s="59">
        <v>-0.741277</v>
      </c>
      <c r="K5" s="59"/>
    </row>
    <row r="6">
      <c r="A6" s="96" t="s">
        <v>35</v>
      </c>
      <c r="B6" s="1">
        <v>8.0</v>
      </c>
      <c r="C6" s="1">
        <v>111.0</v>
      </c>
      <c r="D6" s="1">
        <v>222.0</v>
      </c>
      <c r="E6" s="1">
        <v>333.0</v>
      </c>
      <c r="F6" s="1">
        <v>444.0</v>
      </c>
      <c r="H6" s="1" t="s">
        <v>160</v>
      </c>
      <c r="I6" s="1" t="s">
        <v>164</v>
      </c>
      <c r="J6" s="59">
        <v>-0.128689</v>
      </c>
      <c r="K6" s="59"/>
    </row>
    <row r="7">
      <c r="A7" s="96" t="s">
        <v>30</v>
      </c>
      <c r="B7" s="1">
        <v>6.0</v>
      </c>
      <c r="C7" s="1">
        <v>111.0</v>
      </c>
      <c r="D7" s="1">
        <v>222.0</v>
      </c>
      <c r="E7" s="1">
        <v>333.0</v>
      </c>
      <c r="F7" s="1">
        <v>444.0</v>
      </c>
      <c r="H7" s="1" t="s">
        <v>160</v>
      </c>
      <c r="I7" s="1" t="s">
        <v>160</v>
      </c>
      <c r="J7" s="59">
        <v>-0.28651</v>
      </c>
      <c r="K7" s="59"/>
    </row>
    <row r="8">
      <c r="A8" s="96" t="s">
        <v>36</v>
      </c>
      <c r="B8" s="1">
        <v>6.0</v>
      </c>
      <c r="C8" s="1">
        <v>111.0</v>
      </c>
      <c r="D8" s="1">
        <v>222.0</v>
      </c>
      <c r="E8" s="1">
        <v>333.0</v>
      </c>
      <c r="F8" s="1">
        <v>444.0</v>
      </c>
      <c r="H8" s="1" t="s">
        <v>160</v>
      </c>
      <c r="I8" s="1" t="s">
        <v>160</v>
      </c>
      <c r="J8" s="59">
        <v>-0.0897</v>
      </c>
      <c r="K8" s="59"/>
    </row>
    <row r="9">
      <c r="A9" s="96" t="s">
        <v>37</v>
      </c>
      <c r="B9" s="1">
        <v>4.0</v>
      </c>
      <c r="C9" s="1">
        <v>111.0</v>
      </c>
      <c r="D9" s="1">
        <v>113.0</v>
      </c>
      <c r="E9" s="1">
        <v>222.0</v>
      </c>
      <c r="F9" s="1">
        <v>226.0</v>
      </c>
      <c r="G9" s="1">
        <v>333.0</v>
      </c>
      <c r="H9" s="1" t="s">
        <v>163</v>
      </c>
      <c r="I9" s="1" t="s">
        <v>160</v>
      </c>
      <c r="J9" s="59">
        <v>-0.634779</v>
      </c>
      <c r="K9" s="59"/>
    </row>
    <row r="10">
      <c r="A10" s="98" t="s">
        <v>18</v>
      </c>
      <c r="B10" s="1">
        <v>8.0</v>
      </c>
      <c r="C10" s="1">
        <v>111.0</v>
      </c>
      <c r="D10" s="1">
        <v>222.0</v>
      </c>
      <c r="E10" s="1">
        <v>333.0</v>
      </c>
      <c r="F10" s="1">
        <v>444.0</v>
      </c>
      <c r="H10" s="1" t="s">
        <v>160</v>
      </c>
      <c r="I10" s="1" t="s">
        <v>160</v>
      </c>
      <c r="J10" s="59">
        <v>-0.063607</v>
      </c>
      <c r="K10" s="59"/>
    </row>
    <row r="11">
      <c r="A11" s="98" t="s">
        <v>20</v>
      </c>
      <c r="B11" s="1">
        <v>4.0</v>
      </c>
      <c r="C11" s="1">
        <v>111.0</v>
      </c>
      <c r="D11" s="1">
        <v>311.0</v>
      </c>
      <c r="E11" s="1">
        <v>222.0</v>
      </c>
      <c r="F11" s="1">
        <v>622.0</v>
      </c>
      <c r="G11" s="1">
        <v>333.0</v>
      </c>
      <c r="H11" s="1" t="s">
        <v>165</v>
      </c>
      <c r="I11" s="1" t="s">
        <v>160</v>
      </c>
      <c r="J11" s="59">
        <v>0.160079</v>
      </c>
      <c r="K11" s="59"/>
    </row>
    <row r="12">
      <c r="A12" s="98" t="s">
        <v>21</v>
      </c>
      <c r="B12" s="1">
        <v>1.0</v>
      </c>
      <c r="C12" s="1">
        <v>111.0</v>
      </c>
      <c r="D12" s="1">
        <v>222.0</v>
      </c>
      <c r="E12" s="1">
        <v>333.0</v>
      </c>
      <c r="F12" s="1">
        <v>444.0</v>
      </c>
      <c r="H12" s="1" t="s">
        <v>161</v>
      </c>
      <c r="I12" s="1" t="s">
        <v>160</v>
      </c>
      <c r="J12" s="59">
        <v>-1.972754</v>
      </c>
      <c r="K12" s="59"/>
    </row>
    <row r="13">
      <c r="A13" s="98" t="s">
        <v>91</v>
      </c>
      <c r="B13" s="1">
        <v>4.0</v>
      </c>
      <c r="C13" s="1">
        <v>111.0</v>
      </c>
      <c r="D13" s="1">
        <v>121.0</v>
      </c>
      <c r="E13" s="1">
        <v>222.0</v>
      </c>
      <c r="F13" s="1">
        <v>242.0</v>
      </c>
      <c r="G13" s="1">
        <v>333.0</v>
      </c>
      <c r="H13" s="1" t="s">
        <v>162</v>
      </c>
      <c r="I13" s="1" t="s">
        <v>160</v>
      </c>
      <c r="J13" s="59">
        <v>0.00368459296441869</v>
      </c>
      <c r="K13" s="12"/>
    </row>
    <row r="14">
      <c r="A14" s="98" t="s">
        <v>54</v>
      </c>
      <c r="B14" s="1">
        <v>2.0</v>
      </c>
      <c r="C14" s="1">
        <v>111.0</v>
      </c>
      <c r="D14" s="1">
        <v>222.0</v>
      </c>
      <c r="E14" s="1">
        <v>333.0</v>
      </c>
      <c r="F14" s="1">
        <v>444.0</v>
      </c>
      <c r="H14" s="1" t="s">
        <v>161</v>
      </c>
      <c r="I14" s="1" t="s">
        <v>160</v>
      </c>
      <c r="J14" s="59">
        <v>-0.810161</v>
      </c>
      <c r="K14" s="59"/>
    </row>
    <row r="15">
      <c r="A15" s="98" t="s">
        <v>28</v>
      </c>
      <c r="B15" s="1">
        <v>2.0</v>
      </c>
      <c r="C15" s="1">
        <v>111.0</v>
      </c>
      <c r="D15" s="1">
        <v>132.0</v>
      </c>
      <c r="E15" s="1">
        <v>222.0</v>
      </c>
      <c r="F15" s="1">
        <v>234.0</v>
      </c>
      <c r="G15" s="1">
        <v>333.0</v>
      </c>
      <c r="H15" s="1" t="s">
        <v>166</v>
      </c>
      <c r="I15" s="1" t="s">
        <v>160</v>
      </c>
      <c r="J15" s="59">
        <v>0.877909</v>
      </c>
      <c r="K15" s="1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1" t="s">
        <v>38</v>
      </c>
      <c r="C1" s="7" t="s">
        <v>69</v>
      </c>
      <c r="D1" s="7" t="s">
        <v>70</v>
      </c>
      <c r="E1" s="7" t="s">
        <v>39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1" t="s">
        <v>167</v>
      </c>
      <c r="M1" s="94" t="s">
        <v>42</v>
      </c>
      <c r="N1" s="1" t="s">
        <v>168</v>
      </c>
    </row>
    <row r="2">
      <c r="A2" s="6" t="s">
        <v>14</v>
      </c>
      <c r="B2" s="7">
        <v>4.0</v>
      </c>
      <c r="C2" s="43">
        <v>0.125</v>
      </c>
      <c r="D2" s="43">
        <v>0.037037037037037035</v>
      </c>
      <c r="E2" s="6" t="s">
        <v>47</v>
      </c>
      <c r="F2" s="102">
        <v>-0.191399028444413</v>
      </c>
      <c r="G2" s="102">
        <v>-0.192295213207148</v>
      </c>
      <c r="H2" s="102">
        <f t="shared" ref="H2:H3" si="1">F2+(-C2)*(G2-F2)/(D2-C2)</f>
        <v>-0.1926725542</v>
      </c>
      <c r="I2" s="102">
        <v>-0.598245873079583</v>
      </c>
      <c r="J2" s="102">
        <v>-0.600159112716902</v>
      </c>
      <c r="K2" s="102">
        <f t="shared" ref="K2:K3" si="2">I2+(-C2)*(J2-I2)/(D2-C2)</f>
        <v>-0.6009646873</v>
      </c>
      <c r="L2" s="55">
        <f t="shared" ref="L2:L33" si="3">H2+K2</f>
        <v>-0.7936372415</v>
      </c>
      <c r="M2" s="55">
        <v>-0.793637241460915</v>
      </c>
      <c r="N2" s="55">
        <f t="shared" ref="N2:N33" si="4">(L2-M2)*2625.5/B2</f>
        <v>0</v>
      </c>
    </row>
    <row r="3">
      <c r="A3" s="6"/>
      <c r="B3" s="7">
        <v>4.0</v>
      </c>
      <c r="C3" s="43">
        <v>0.125</v>
      </c>
      <c r="D3" s="43">
        <v>0.037037037037037035</v>
      </c>
      <c r="E3" s="6" t="s">
        <v>48</v>
      </c>
      <c r="F3" s="102">
        <v>-0.233471341435229</v>
      </c>
      <c r="G3" s="102">
        <v>-0.234641515816492</v>
      </c>
      <c r="H3" s="102">
        <f t="shared" si="1"/>
        <v>-0.2351342208</v>
      </c>
      <c r="I3" s="102">
        <v>-0.756336809695743</v>
      </c>
      <c r="J3" s="102">
        <v>-0.758663220011367</v>
      </c>
      <c r="K3" s="102">
        <f t="shared" si="2"/>
        <v>-0.7596427612</v>
      </c>
      <c r="L3" s="55">
        <f t="shared" si="3"/>
        <v>-0.994776982</v>
      </c>
      <c r="M3" s="55">
        <v>-0.9947769820160219</v>
      </c>
      <c r="N3" s="55">
        <f t="shared" si="4"/>
        <v>0</v>
      </c>
    </row>
    <row r="4">
      <c r="A4" s="6"/>
      <c r="B4" s="7">
        <v>4.0</v>
      </c>
      <c r="C4" s="43">
        <v>0.125</v>
      </c>
      <c r="D4" s="43">
        <v>0.037037037037037035</v>
      </c>
      <c r="E4" s="6" t="s">
        <v>49</v>
      </c>
      <c r="F4" s="102">
        <v>-0.241496580633391</v>
      </c>
      <c r="G4" s="102"/>
      <c r="H4" s="103">
        <f>H3-F3+F4</f>
        <v>-0.24315946</v>
      </c>
      <c r="I4" s="102">
        <v>-0.812953479415889</v>
      </c>
      <c r="J4" s="102"/>
      <c r="K4" s="103">
        <f>K3-I3+I4</f>
        <v>-0.8162594309</v>
      </c>
      <c r="L4" s="55">
        <f t="shared" si="3"/>
        <v>-1.059418891</v>
      </c>
      <c r="M4" s="55">
        <v>-1.059531536179695</v>
      </c>
      <c r="N4" s="55">
        <f t="shared" si="4"/>
        <v>0.07393752293</v>
      </c>
    </row>
    <row r="5">
      <c r="A5" s="6"/>
      <c r="B5" s="7">
        <v>4.0</v>
      </c>
      <c r="C5" s="43">
        <v>0.125</v>
      </c>
      <c r="D5" s="43">
        <v>0.037037037037037035</v>
      </c>
      <c r="E5" s="6" t="s">
        <v>50</v>
      </c>
      <c r="F5" s="102">
        <f>(3^3*F3-4^3*F4)/(3^3-4^3)</f>
        <v>-0.2473528363</v>
      </c>
      <c r="G5" s="102"/>
      <c r="H5" s="103">
        <f>H3-F3+F5</f>
        <v>-0.2490157156</v>
      </c>
      <c r="I5" s="102">
        <f>(3^3*I3-4^3*I4)/(3^3-4^3)</f>
        <v>-0.8542683465</v>
      </c>
      <c r="J5" s="102"/>
      <c r="K5" s="103">
        <f>K3-I3+I5</f>
        <v>-0.857574298</v>
      </c>
      <c r="L5" s="55">
        <f t="shared" si="3"/>
        <v>-1.106590014</v>
      </c>
      <c r="M5" s="55">
        <v>-1.1067848594883212</v>
      </c>
      <c r="N5" s="55">
        <f t="shared" si="4"/>
        <v>0.1278919315</v>
      </c>
    </row>
    <row r="6">
      <c r="A6" s="6" t="s">
        <v>51</v>
      </c>
      <c r="B6" s="7">
        <v>4.0</v>
      </c>
      <c r="C6" s="43">
        <v>1.0</v>
      </c>
      <c r="D6" s="43">
        <v>0.125</v>
      </c>
      <c r="E6" s="6" t="s">
        <v>47</v>
      </c>
      <c r="F6" s="102">
        <v>-0.539109740962677</v>
      </c>
      <c r="G6" s="102">
        <v>-0.553103793729042</v>
      </c>
      <c r="H6" s="102">
        <f t="shared" ref="H6:H7" si="5">F6+(-C6)*(G6-F6)/(D6-C6)</f>
        <v>-0.5551029441</v>
      </c>
      <c r="I6" s="102">
        <v>-1.37333999439524</v>
      </c>
      <c r="J6" s="102">
        <v>-1.39667220605606</v>
      </c>
      <c r="K6" s="102">
        <f t="shared" ref="K6:K7" si="6">I6+(-C6)*(J6-I6)/(D6-C6)</f>
        <v>-1.400005379</v>
      </c>
      <c r="L6" s="55">
        <f t="shared" si="3"/>
        <v>-1.955108323</v>
      </c>
      <c r="M6" s="55">
        <v>-1.9551083232746995</v>
      </c>
      <c r="N6" s="55">
        <f t="shared" si="4"/>
        <v>0</v>
      </c>
    </row>
    <row r="7">
      <c r="A7" s="6"/>
      <c r="B7" s="7">
        <v>4.0</v>
      </c>
      <c r="C7" s="43">
        <v>1.0</v>
      </c>
      <c r="D7" s="43">
        <v>0.125</v>
      </c>
      <c r="E7" s="6" t="s">
        <v>48</v>
      </c>
      <c r="F7" s="102">
        <v>-0.648740155748248</v>
      </c>
      <c r="G7" s="102">
        <v>-0.665263955171269</v>
      </c>
      <c r="H7" s="102">
        <f t="shared" si="5"/>
        <v>-0.6676244979</v>
      </c>
      <c r="I7" s="102">
        <v>-1.74442297876952</v>
      </c>
      <c r="J7" s="102">
        <v>-1.77156486718417</v>
      </c>
      <c r="K7" s="102">
        <f t="shared" si="6"/>
        <v>-1.77544228</v>
      </c>
      <c r="L7" s="55">
        <f t="shared" si="3"/>
        <v>-2.443066778</v>
      </c>
      <c r="M7" s="55">
        <v>-2.4430667777608206</v>
      </c>
      <c r="N7" s="55">
        <f t="shared" si="4"/>
        <v>0</v>
      </c>
    </row>
    <row r="8">
      <c r="A8" s="6"/>
      <c r="B8" s="7">
        <v>4.0</v>
      </c>
      <c r="C8" s="43">
        <v>1.0</v>
      </c>
      <c r="D8" s="43">
        <v>0.125</v>
      </c>
      <c r="E8" s="6" t="s">
        <v>49</v>
      </c>
      <c r="F8" s="102">
        <v>-0.67348599543938</v>
      </c>
      <c r="G8" s="102"/>
      <c r="H8" s="103">
        <f>H7-F7+F8</f>
        <v>-0.6923703376</v>
      </c>
      <c r="I8" s="102">
        <v>-1.90098871254529</v>
      </c>
      <c r="J8" s="102"/>
      <c r="K8" s="103">
        <f>K7-I7+I8</f>
        <v>-1.932008014</v>
      </c>
      <c r="L8" s="55">
        <f t="shared" si="3"/>
        <v>-2.624378351</v>
      </c>
      <c r="M8" s="55">
        <v>-2.6254186825742254</v>
      </c>
      <c r="N8" s="55">
        <f t="shared" si="4"/>
        <v>0.6828474876</v>
      </c>
    </row>
    <row r="9">
      <c r="A9" s="6"/>
      <c r="B9" s="7">
        <v>4.0</v>
      </c>
      <c r="C9" s="43">
        <v>1.0</v>
      </c>
      <c r="D9" s="43">
        <v>0.125</v>
      </c>
      <c r="E9" s="6" t="s">
        <v>50</v>
      </c>
      <c r="F9" s="102">
        <f>(3^3*F7-4^3*F8)/(3^3-4^3)</f>
        <v>-0.6915437703</v>
      </c>
      <c r="G9" s="102"/>
      <c r="H9" s="103">
        <f>H7-F7+F9</f>
        <v>-0.7104281125</v>
      </c>
      <c r="I9" s="102">
        <f>(3^3*I7-4^3*I8)/(3^3-4^3)</f>
        <v>-2.015239383</v>
      </c>
      <c r="J9" s="102"/>
      <c r="K9" s="103">
        <f>K7-I7+I9</f>
        <v>-2.046258684</v>
      </c>
      <c r="L9" s="55">
        <f t="shared" si="3"/>
        <v>-2.756686797</v>
      </c>
      <c r="M9" s="55">
        <v>-2.758486288789413</v>
      </c>
      <c r="N9" s="55">
        <f t="shared" si="4"/>
        <v>1.1811416</v>
      </c>
    </row>
    <row r="10">
      <c r="A10" s="6" t="s">
        <v>18</v>
      </c>
      <c r="B10" s="7">
        <v>8.0</v>
      </c>
      <c r="C10" s="43">
        <v>1.0</v>
      </c>
      <c r="D10" s="43">
        <v>0.125</v>
      </c>
      <c r="E10" s="6" t="s">
        <v>47</v>
      </c>
      <c r="F10" s="102">
        <v>-1.01291375824555</v>
      </c>
      <c r="G10" s="102">
        <v>-1.02761812543526</v>
      </c>
      <c r="H10" s="102">
        <f t="shared" ref="H10:H11" si="7">F10+(-C10)*(G10-F10)/(D10-C10)</f>
        <v>-1.029718749</v>
      </c>
      <c r="I10" s="102">
        <v>-2.68292890264457</v>
      </c>
      <c r="J10" s="102">
        <v>-2.71015472663705</v>
      </c>
      <c r="K10" s="102">
        <f t="shared" ref="K10:K11" si="8">I10+(-C10)*(J10-I10)/(D10-C10)</f>
        <v>-2.71404413</v>
      </c>
      <c r="L10" s="55">
        <f t="shared" si="3"/>
        <v>-3.743762879</v>
      </c>
      <c r="M10" s="55">
        <v>-3.743762879384051</v>
      </c>
      <c r="N10" s="55">
        <f t="shared" si="4"/>
        <v>0</v>
      </c>
    </row>
    <row r="11">
      <c r="A11" s="6"/>
      <c r="B11" s="7">
        <v>8.0</v>
      </c>
      <c r="C11" s="43">
        <v>1.0</v>
      </c>
      <c r="D11" s="43">
        <v>0.125</v>
      </c>
      <c r="E11" s="6" t="s">
        <v>48</v>
      </c>
      <c r="F11" s="102">
        <v>-1.20023553402513</v>
      </c>
      <c r="G11" s="102">
        <v>-1.21848605186847</v>
      </c>
      <c r="H11" s="102">
        <f t="shared" si="7"/>
        <v>-1.221093269</v>
      </c>
      <c r="I11" s="102">
        <v>-3.3482857382954</v>
      </c>
      <c r="J11" s="102">
        <v>-3.38061269981624</v>
      </c>
      <c r="K11" s="102">
        <f t="shared" si="8"/>
        <v>-3.385230837</v>
      </c>
      <c r="L11" s="55">
        <f t="shared" si="3"/>
        <v>-4.606324106</v>
      </c>
      <c r="M11" s="55">
        <v>-4.606324105879592</v>
      </c>
      <c r="N11" s="55">
        <f t="shared" si="4"/>
        <v>0</v>
      </c>
    </row>
    <row r="12">
      <c r="A12" s="6"/>
      <c r="B12" s="7">
        <v>8.0</v>
      </c>
      <c r="C12" s="43">
        <v>1.0</v>
      </c>
      <c r="D12" s="43">
        <v>0.125</v>
      </c>
      <c r="E12" s="6" t="s">
        <v>49</v>
      </c>
      <c r="F12" s="102">
        <v>-1.23956106930199</v>
      </c>
      <c r="G12" s="102"/>
      <c r="H12" s="103">
        <f>H11-F11+F12</f>
        <v>-1.260418804</v>
      </c>
      <c r="I12" s="102">
        <v>-3.60778424912226</v>
      </c>
      <c r="J12" s="102"/>
      <c r="K12" s="103">
        <f>K11-I11+I12</f>
        <v>-3.644729348</v>
      </c>
      <c r="L12" s="55">
        <f t="shared" si="3"/>
        <v>-4.905148152</v>
      </c>
      <c r="M12" s="55">
        <v>-4.906517261445256</v>
      </c>
      <c r="N12" s="55">
        <f t="shared" si="4"/>
        <v>0.4493246115</v>
      </c>
    </row>
    <row r="13">
      <c r="A13" s="6"/>
      <c r="B13" s="7">
        <v>8.0</v>
      </c>
      <c r="C13" s="43">
        <v>1.0</v>
      </c>
      <c r="D13" s="43">
        <v>0.125</v>
      </c>
      <c r="E13" s="6" t="s">
        <v>50</v>
      </c>
      <c r="F13" s="102">
        <f>(3^3*F11-4^3*F12)/(3^3-4^3)</f>
        <v>-1.268258082</v>
      </c>
      <c r="G13" s="102"/>
      <c r="H13" s="103">
        <f>H11-F11+F13</f>
        <v>-1.289115816</v>
      </c>
      <c r="I13" s="102">
        <f>(3^3*I11-4^3*I12)/(3^3-4^3)</f>
        <v>-3.797148027</v>
      </c>
      <c r="J13" s="102"/>
      <c r="K13" s="103">
        <f>K11-I11+I13</f>
        <v>-3.834093126</v>
      </c>
      <c r="L13" s="55">
        <f t="shared" si="3"/>
        <v>-5.123208942</v>
      </c>
      <c r="M13" s="55">
        <v>-5.125577131722902</v>
      </c>
      <c r="N13" s="55">
        <f t="shared" si="4"/>
        <v>0.7772101389</v>
      </c>
    </row>
    <row r="14">
      <c r="A14" s="6" t="s">
        <v>52</v>
      </c>
      <c r="B14" s="7">
        <v>2.0</v>
      </c>
      <c r="C14" s="43">
        <v>0.5</v>
      </c>
      <c r="D14" s="43">
        <v>0.08333333333333333</v>
      </c>
      <c r="E14" s="6" t="s">
        <v>47</v>
      </c>
      <c r="F14" s="102">
        <v>-0.504280744039512</v>
      </c>
      <c r="G14" s="102">
        <v>-0.508854746205719</v>
      </c>
      <c r="H14" s="102">
        <f t="shared" ref="H14:H15" si="9">F14+(-C14)*(G14-F14)/(D14-C14)</f>
        <v>-0.5097695466</v>
      </c>
      <c r="I14" s="102">
        <v>-1.41776513732625</v>
      </c>
      <c r="J14" s="102">
        <v>-1.42729834293005</v>
      </c>
      <c r="K14" s="102">
        <f t="shared" ref="K14:K15" si="10">I14+(-C14)*(J14-I14)/(D14-C14)</f>
        <v>-1.429204984</v>
      </c>
      <c r="L14" s="55">
        <f t="shared" si="3"/>
        <v>-1.938974531</v>
      </c>
      <c r="M14" s="55">
        <v>-1.9389745306897705</v>
      </c>
      <c r="N14" s="55">
        <f t="shared" si="4"/>
        <v>0</v>
      </c>
    </row>
    <row r="15">
      <c r="A15" s="6"/>
      <c r="B15" s="7">
        <v>2.0</v>
      </c>
      <c r="C15" s="43">
        <v>0.5</v>
      </c>
      <c r="D15" s="43">
        <v>0.08333333333333333</v>
      </c>
      <c r="E15" s="6" t="s">
        <v>48</v>
      </c>
      <c r="F15" s="102">
        <v>-0.608453624691179</v>
      </c>
      <c r="G15" s="102">
        <v>-0.614226208827197</v>
      </c>
      <c r="H15" s="102">
        <f t="shared" si="9"/>
        <v>-0.6153807257</v>
      </c>
      <c r="I15" s="102">
        <v>-1.79068361629306</v>
      </c>
      <c r="J15" s="102">
        <v>-1.80204149167011</v>
      </c>
      <c r="K15" s="102">
        <f t="shared" si="10"/>
        <v>-1.804313067</v>
      </c>
      <c r="L15" s="55">
        <f t="shared" si="3"/>
        <v>-2.419693792</v>
      </c>
      <c r="M15" s="55">
        <v>-2.4196937923999204</v>
      </c>
      <c r="N15" s="55">
        <f t="shared" si="4"/>
        <v>0</v>
      </c>
    </row>
    <row r="16">
      <c r="A16" s="6"/>
      <c r="B16" s="7">
        <v>2.0</v>
      </c>
      <c r="C16" s="43">
        <v>0.5</v>
      </c>
      <c r="D16" s="43">
        <v>0.08333333333333333</v>
      </c>
      <c r="E16" s="6" t="s">
        <v>49</v>
      </c>
      <c r="F16" s="102">
        <v>-0.630287035167815</v>
      </c>
      <c r="G16" s="102"/>
      <c r="H16" s="103">
        <f>H15-F15+F16</f>
        <v>-0.6372141361</v>
      </c>
      <c r="I16" s="102">
        <v>-1.93502210827974</v>
      </c>
      <c r="J16" s="102"/>
      <c r="K16" s="103">
        <f>K15-I15+I16</f>
        <v>-1.948651559</v>
      </c>
      <c r="L16" s="55">
        <f t="shared" si="3"/>
        <v>-2.585865695</v>
      </c>
      <c r="M16" s="55">
        <v>-2.58630280475878</v>
      </c>
      <c r="N16" s="55">
        <f t="shared" si="4"/>
        <v>0.5738160154</v>
      </c>
    </row>
    <row r="17">
      <c r="A17" s="6"/>
      <c r="B17" s="7">
        <v>2.0</v>
      </c>
      <c r="C17" s="43">
        <v>0.5</v>
      </c>
      <c r="D17" s="43">
        <v>0.08333333333333333</v>
      </c>
      <c r="E17" s="6" t="s">
        <v>50</v>
      </c>
      <c r="F17" s="102">
        <f>(3^3*F15-4^3*F16)/(3^3-4^3)</f>
        <v>-0.6462195239</v>
      </c>
      <c r="G17" s="102"/>
      <c r="H17" s="103">
        <f>H15-F15+F17</f>
        <v>-0.6531466249</v>
      </c>
      <c r="I17" s="102">
        <f>(3^3*I15-4^3*I16)/(3^3-4^3)</f>
        <v>-2.040350197</v>
      </c>
      <c r="J17" s="102"/>
      <c r="K17" s="103">
        <f>K15-I15+I17</f>
        <v>-2.053979647</v>
      </c>
      <c r="L17" s="55">
        <f t="shared" si="3"/>
        <v>-2.707126272</v>
      </c>
      <c r="M17" s="55">
        <v>-2.707882354317947</v>
      </c>
      <c r="N17" s="55">
        <f t="shared" si="4"/>
        <v>0.9925466212</v>
      </c>
    </row>
    <row r="18">
      <c r="A18" s="6" t="s">
        <v>55</v>
      </c>
      <c r="B18" s="43">
        <v>4.0</v>
      </c>
      <c r="C18" s="43">
        <v>1.0</v>
      </c>
      <c r="D18" s="43">
        <v>0.125</v>
      </c>
      <c r="E18" s="6" t="s">
        <v>47</v>
      </c>
      <c r="F18" s="102">
        <v>-1.12146730319209</v>
      </c>
      <c r="G18" s="102">
        <v>-1.13762730915526</v>
      </c>
      <c r="H18" s="102">
        <f t="shared" ref="H18:H19" si="11">F18+(-C18)*(G18-F18)/(D18-C18)</f>
        <v>-1.139935881</v>
      </c>
      <c r="I18" s="102">
        <v>-2.86790748652791</v>
      </c>
      <c r="J18" s="102">
        <v>-2.89513152833369</v>
      </c>
      <c r="K18" s="102">
        <f t="shared" ref="K18:K19" si="12">I18+(-C18)*(J18-I18)/(D18-C18)</f>
        <v>-2.899020677</v>
      </c>
      <c r="L18" s="55">
        <f t="shared" si="3"/>
        <v>-4.038956559</v>
      </c>
      <c r="M18" s="55">
        <v>-4.0389565585988</v>
      </c>
      <c r="N18" s="55">
        <f t="shared" si="4"/>
        <v>0</v>
      </c>
    </row>
    <row r="19">
      <c r="A19" s="6"/>
      <c r="B19" s="43">
        <v>4.0</v>
      </c>
      <c r="C19" s="43">
        <v>1.0</v>
      </c>
      <c r="D19" s="43">
        <v>0.125</v>
      </c>
      <c r="E19" s="6" t="s">
        <v>48</v>
      </c>
      <c r="F19" s="102">
        <v>-1.36096080847236</v>
      </c>
      <c r="G19" s="102">
        <v>-1.38106292989247</v>
      </c>
      <c r="H19" s="102">
        <f t="shared" si="11"/>
        <v>-1.383934662</v>
      </c>
      <c r="I19" s="102">
        <v>-3.66516624986355</v>
      </c>
      <c r="J19" s="102">
        <v>-3.69812539204545</v>
      </c>
      <c r="K19" s="102">
        <f t="shared" si="12"/>
        <v>-3.702833841</v>
      </c>
      <c r="L19" s="55">
        <f t="shared" si="3"/>
        <v>-5.086768502</v>
      </c>
      <c r="M19" s="55">
        <v>-5.086768502452493</v>
      </c>
      <c r="N19" s="55">
        <f t="shared" si="4"/>
        <v>0</v>
      </c>
    </row>
    <row r="20">
      <c r="A20" s="6"/>
      <c r="B20" s="43">
        <v>4.0</v>
      </c>
      <c r="C20" s="43">
        <v>1.0</v>
      </c>
      <c r="D20" s="43">
        <v>0.125</v>
      </c>
      <c r="E20" s="6" t="s">
        <v>49</v>
      </c>
      <c r="F20" s="102">
        <v>-1.41258966055534</v>
      </c>
      <c r="G20" s="102"/>
      <c r="H20" s="103">
        <f>H19-F19+F20</f>
        <v>-1.435563514</v>
      </c>
      <c r="I20" s="102">
        <v>-3.98675385641407</v>
      </c>
      <c r="J20" s="102"/>
      <c r="K20" s="103">
        <f>K19-I19+I20</f>
        <v>-4.024421447</v>
      </c>
      <c r="L20" s="55">
        <f t="shared" si="3"/>
        <v>-5.459984961</v>
      </c>
      <c r="M20" s="55">
        <v>-5.461681735108449</v>
      </c>
      <c r="N20" s="55">
        <f t="shared" si="4"/>
        <v>1.113720049</v>
      </c>
    </row>
    <row r="21">
      <c r="A21" s="6"/>
      <c r="B21" s="43">
        <v>4.0</v>
      </c>
      <c r="C21" s="43">
        <v>1.0</v>
      </c>
      <c r="D21" s="43">
        <v>0.125</v>
      </c>
      <c r="E21" s="6" t="s">
        <v>50</v>
      </c>
      <c r="F21" s="102">
        <f>(3^3*F19-4^3*F20)/(3^3-4^3)</f>
        <v>-1.450264769</v>
      </c>
      <c r="G21" s="102"/>
      <c r="H21" s="103">
        <f>H19-F19+F21</f>
        <v>-1.473238622</v>
      </c>
      <c r="I21" s="102">
        <f>(3^3*I19-4^3*I20)/(3^3-4^3)</f>
        <v>-4.221425894</v>
      </c>
      <c r="J21" s="102"/>
      <c r="K21" s="103">
        <f>K19-I19+I21</f>
        <v>-4.259093485</v>
      </c>
      <c r="L21" s="55">
        <f t="shared" si="3"/>
        <v>-5.732332107</v>
      </c>
      <c r="M21" s="55">
        <v>-5.73526706704658</v>
      </c>
      <c r="N21" s="55">
        <f t="shared" si="4"/>
        <v>1.926434679</v>
      </c>
    </row>
    <row r="22">
      <c r="A22" s="6" t="s">
        <v>56</v>
      </c>
      <c r="B22" s="43">
        <v>2.0</v>
      </c>
      <c r="C22" s="43">
        <v>1.0</v>
      </c>
      <c r="D22" s="43">
        <v>0.125</v>
      </c>
      <c r="E22" s="6" t="s">
        <v>47</v>
      </c>
      <c r="F22" s="102">
        <v>-0.554322734158574</v>
      </c>
      <c r="G22" s="102">
        <v>-0.569656207412956</v>
      </c>
      <c r="H22" s="102">
        <f t="shared" ref="H22:H23" si="13">F22+(-C22)*(G22-F22)/(D22-C22)</f>
        <v>-0.5718467036</v>
      </c>
      <c r="I22" s="102">
        <v>-1.42143241636956</v>
      </c>
      <c r="J22" s="102">
        <v>-1.44912524946507</v>
      </c>
      <c r="K22" s="102">
        <f t="shared" ref="K22:K23" si="14">I22+(-C22)*(J22-I22)/(D22-C22)</f>
        <v>-1.453081368</v>
      </c>
      <c r="L22" s="55">
        <f t="shared" si="3"/>
        <v>-2.024928072</v>
      </c>
      <c r="M22" s="55">
        <v>-2.0249280720708676</v>
      </c>
      <c r="N22" s="55">
        <f t="shared" si="4"/>
        <v>0</v>
      </c>
    </row>
    <row r="23">
      <c r="A23" s="6"/>
      <c r="B23" s="43">
        <v>2.0</v>
      </c>
      <c r="C23" s="43">
        <v>1.0</v>
      </c>
      <c r="D23" s="43">
        <v>0.125</v>
      </c>
      <c r="E23" s="6" t="s">
        <v>48</v>
      </c>
      <c r="F23" s="102">
        <v>-0.671635453281352</v>
      </c>
      <c r="G23" s="102">
        <v>-0.690774436202992</v>
      </c>
      <c r="H23" s="102">
        <f t="shared" si="13"/>
        <v>-0.6935085766</v>
      </c>
      <c r="I23" s="102">
        <v>-1.81727516484506</v>
      </c>
      <c r="J23" s="102">
        <v>-1.84995841794601</v>
      </c>
      <c r="K23" s="102">
        <f t="shared" si="14"/>
        <v>-1.854627454</v>
      </c>
      <c r="L23" s="55">
        <f t="shared" si="3"/>
        <v>-2.548136031</v>
      </c>
      <c r="M23" s="55">
        <v>-2.548136030723658</v>
      </c>
      <c r="N23" s="55">
        <f t="shared" si="4"/>
        <v>0</v>
      </c>
    </row>
    <row r="24">
      <c r="A24" s="6"/>
      <c r="B24" s="43">
        <v>2.0</v>
      </c>
      <c r="C24" s="43">
        <v>1.0</v>
      </c>
      <c r="D24" s="43">
        <v>0.125</v>
      </c>
      <c r="E24" s="6" t="s">
        <v>49</v>
      </c>
      <c r="F24" s="102">
        <v>-0.696938386002115</v>
      </c>
      <c r="G24" s="102"/>
      <c r="H24" s="103">
        <f>H23-F23+F24</f>
        <v>-0.7188115093</v>
      </c>
      <c r="I24" s="102">
        <v>-1.97716936082477</v>
      </c>
      <c r="J24" s="102"/>
      <c r="K24" s="103">
        <f>K23-I23+I24</f>
        <v>-2.01452165</v>
      </c>
      <c r="L24" s="55">
        <f t="shared" si="3"/>
        <v>-2.733333159</v>
      </c>
      <c r="M24" s="55">
        <v>-2.7352839987313886</v>
      </c>
      <c r="N24" s="55">
        <f t="shared" si="4"/>
        <v>2.560964301</v>
      </c>
    </row>
    <row r="25">
      <c r="A25" s="6"/>
      <c r="B25" s="43">
        <v>2.0</v>
      </c>
      <c r="C25" s="43">
        <v>1.0</v>
      </c>
      <c r="D25" s="43">
        <v>0.125</v>
      </c>
      <c r="E25" s="6" t="s">
        <v>50</v>
      </c>
      <c r="F25" s="102">
        <f>(3^3*F23-4^3*F24)/(3^3-4^3)</f>
        <v>-0.7154026883</v>
      </c>
      <c r="G25" s="102"/>
      <c r="H25" s="103">
        <f>H23-F23+F25</f>
        <v>-0.7372758116</v>
      </c>
      <c r="I25" s="102">
        <f>(3^3*I23-4^3*I24)/(3^3-4^3)</f>
        <v>-2.093848909</v>
      </c>
      <c r="J25" s="102"/>
      <c r="K25" s="103">
        <f>K23-I23+I25</f>
        <v>-2.131201199</v>
      </c>
      <c r="L25" s="55">
        <f t="shared" si="3"/>
        <v>-2.86847701</v>
      </c>
      <c r="M25" s="55">
        <v>-2.8718514348451385</v>
      </c>
      <c r="N25" s="55">
        <f t="shared" si="4"/>
        <v>4.429776088</v>
      </c>
    </row>
    <row r="26">
      <c r="A26" s="6" t="s">
        <v>28</v>
      </c>
      <c r="B26" s="43">
        <v>2.0</v>
      </c>
      <c r="C26" s="43">
        <v>0.16666666666666666</v>
      </c>
      <c r="D26" s="43">
        <v>0.041666666666666664</v>
      </c>
      <c r="E26" s="6" t="s">
        <v>47</v>
      </c>
      <c r="F26" s="102">
        <v>-0.482936019533664</v>
      </c>
      <c r="G26" s="102">
        <v>-0.487984586771853</v>
      </c>
      <c r="H26" s="102">
        <f t="shared" ref="H26:H27" si="15">F26+(-C26)*(G26-F26)/(D26-C26)</f>
        <v>-0.4896674425</v>
      </c>
      <c r="I26" s="102">
        <v>-1.24915055134258</v>
      </c>
      <c r="J26" s="102">
        <v>-1.2567977020799</v>
      </c>
      <c r="K26" s="102">
        <f t="shared" ref="K26:K27" si="16">I26+(-C26)*(J26-I26)/(D26-C26)</f>
        <v>-1.259346752</v>
      </c>
      <c r="L26" s="55">
        <f t="shared" si="3"/>
        <v>-1.749014195</v>
      </c>
      <c r="M26" s="55">
        <v>-1.749014194843589</v>
      </c>
      <c r="N26" s="55">
        <f t="shared" si="4"/>
        <v>0</v>
      </c>
    </row>
    <row r="27">
      <c r="A27" s="6"/>
      <c r="B27" s="43">
        <v>2.0</v>
      </c>
      <c r="C27" s="43">
        <v>0.16666666666666666</v>
      </c>
      <c r="D27" s="43">
        <v>0.041666666666666664</v>
      </c>
      <c r="E27" s="6" t="s">
        <v>48</v>
      </c>
      <c r="F27" s="102">
        <v>-0.563365950121011</v>
      </c>
      <c r="G27" s="102">
        <v>-0.568636598640326</v>
      </c>
      <c r="H27" s="102">
        <f t="shared" si="15"/>
        <v>-0.5703934815</v>
      </c>
      <c r="I27" s="102">
        <v>-1.54471810037769</v>
      </c>
      <c r="J27" s="102">
        <v>-1.55279221072486</v>
      </c>
      <c r="K27" s="102">
        <f t="shared" si="16"/>
        <v>-1.555483581</v>
      </c>
      <c r="L27" s="55">
        <f t="shared" si="3"/>
        <v>-2.125877062</v>
      </c>
      <c r="M27" s="55">
        <v>-2.125877062320681</v>
      </c>
      <c r="N27" s="55">
        <f t="shared" si="4"/>
        <v>0</v>
      </c>
    </row>
    <row r="28">
      <c r="A28" s="6"/>
      <c r="B28" s="43">
        <v>2.0</v>
      </c>
      <c r="C28" s="43">
        <v>0.16666666666666666</v>
      </c>
      <c r="D28" s="43">
        <v>0.041666666666666664</v>
      </c>
      <c r="E28" s="6" t="s">
        <v>49</v>
      </c>
      <c r="F28" s="102">
        <v>-0.580545777970504</v>
      </c>
      <c r="G28" s="102"/>
      <c r="H28" s="103">
        <f>H27-F27+F28</f>
        <v>-0.5875733093</v>
      </c>
      <c r="I28" s="102">
        <v>-1.65859969335042</v>
      </c>
      <c r="J28" s="102"/>
      <c r="K28" s="103">
        <f>K27-I27+I28</f>
        <v>-1.669365174</v>
      </c>
      <c r="L28" s="55">
        <f t="shared" si="3"/>
        <v>-2.256938483</v>
      </c>
      <c r="M28" s="55">
        <v>-2.2569486810571107</v>
      </c>
      <c r="N28" s="55">
        <f t="shared" si="4"/>
        <v>0.01338731187</v>
      </c>
    </row>
    <row r="29">
      <c r="A29" s="6"/>
      <c r="B29" s="43">
        <v>2.0</v>
      </c>
      <c r="C29" s="43">
        <v>0.16666666666666666</v>
      </c>
      <c r="D29" s="43">
        <v>0.041666666666666664</v>
      </c>
      <c r="E29" s="6" t="s">
        <v>50</v>
      </c>
      <c r="F29" s="102">
        <f>(3^3*F27-4^3*F28)/(3^3-4^3)</f>
        <v>-0.5930824091</v>
      </c>
      <c r="G29" s="102"/>
      <c r="H29" s="103">
        <f>H27-F27+F29</f>
        <v>-0.6001099405</v>
      </c>
      <c r="I29" s="102">
        <f>(3^3*I27-4^3*I28)/(3^3-4^3)</f>
        <v>-1.741702477</v>
      </c>
      <c r="J29" s="102"/>
      <c r="K29" s="103">
        <f>K27-I27+I29</f>
        <v>-1.752467958</v>
      </c>
      <c r="L29" s="55">
        <f t="shared" si="3"/>
        <v>-2.352577898</v>
      </c>
      <c r="M29" s="55">
        <v>-2.3525955379728836</v>
      </c>
      <c r="N29" s="55">
        <f t="shared" si="4"/>
        <v>0.02315643135</v>
      </c>
    </row>
    <row r="30">
      <c r="A30" s="7" t="s">
        <v>31</v>
      </c>
      <c r="B30" s="43">
        <v>2.0</v>
      </c>
      <c r="C30" s="8">
        <v>1.0</v>
      </c>
      <c r="D30" s="8">
        <v>0.125</v>
      </c>
      <c r="E30" s="7" t="s">
        <v>47</v>
      </c>
      <c r="F30" s="104">
        <v>-0.345189652091805</v>
      </c>
      <c r="G30" s="104">
        <v>-0.360281904644816</v>
      </c>
      <c r="H30" s="55">
        <f t="shared" ref="H30:H31" si="17">F30+(-C30)*(G30-F30)/(D30-C30)</f>
        <v>-0.3624379407</v>
      </c>
      <c r="I30" s="104">
        <v>-0.940497337156511</v>
      </c>
      <c r="J30" s="104">
        <v>-0.965088098412901</v>
      </c>
      <c r="K30" s="55">
        <f t="shared" ref="K30:K31" si="18">I30+(-C30)*(J30-I30)/(D30-C30)</f>
        <v>-0.9686010643</v>
      </c>
      <c r="L30" s="55">
        <f t="shared" si="3"/>
        <v>-1.331039005</v>
      </c>
      <c r="M30" s="55">
        <v>-1.3310390050304886</v>
      </c>
      <c r="N30" s="55">
        <f t="shared" si="4"/>
        <v>0</v>
      </c>
    </row>
    <row r="31">
      <c r="A31" s="8"/>
      <c r="B31" s="43">
        <v>2.0</v>
      </c>
      <c r="C31" s="8">
        <v>1.0</v>
      </c>
      <c r="D31" s="8">
        <v>0.125</v>
      </c>
      <c r="E31" s="7" t="s">
        <v>48</v>
      </c>
      <c r="F31" s="104">
        <v>-0.418478030410621</v>
      </c>
      <c r="G31" s="104">
        <v>-0.436212665096809</v>
      </c>
      <c r="H31" s="55">
        <f t="shared" si="17"/>
        <v>-0.4387461843</v>
      </c>
      <c r="I31" s="104">
        <v>-1.19920881368186</v>
      </c>
      <c r="J31" s="104">
        <v>-1.22772899836383</v>
      </c>
      <c r="K31" s="55">
        <f t="shared" si="18"/>
        <v>-1.23180331</v>
      </c>
      <c r="L31" s="55">
        <f t="shared" si="3"/>
        <v>-1.670549495</v>
      </c>
      <c r="M31" s="55">
        <v>-1.6705494947989472</v>
      </c>
      <c r="N31" s="55">
        <f t="shared" si="4"/>
        <v>0</v>
      </c>
    </row>
    <row r="32">
      <c r="A32" s="8"/>
      <c r="B32" s="43">
        <v>2.0</v>
      </c>
      <c r="C32" s="8">
        <v>1.0</v>
      </c>
      <c r="D32" s="8">
        <v>0.125</v>
      </c>
      <c r="E32" s="7" t="s">
        <v>49</v>
      </c>
      <c r="F32" s="104">
        <v>-0.434490461439446</v>
      </c>
      <c r="G32" s="104"/>
      <c r="H32" s="105">
        <f>H31-F31+F32</f>
        <v>-0.4547586154</v>
      </c>
      <c r="I32" s="104">
        <v>-1.30066420493183</v>
      </c>
      <c r="J32" s="104"/>
      <c r="K32" s="105">
        <f>K31-I31+I32</f>
        <v>-1.333258702</v>
      </c>
      <c r="L32" s="55">
        <f t="shared" si="3"/>
        <v>-1.788017317</v>
      </c>
      <c r="M32" s="55">
        <v>-1.7887033695376429</v>
      </c>
      <c r="N32" s="55">
        <f t="shared" si="4"/>
        <v>0.9006153667</v>
      </c>
    </row>
    <row r="33">
      <c r="A33" s="8"/>
      <c r="B33" s="43">
        <v>2.0</v>
      </c>
      <c r="C33" s="8">
        <v>1.0</v>
      </c>
      <c r="D33" s="8">
        <v>0.125</v>
      </c>
      <c r="E33" s="7" t="s">
        <v>50</v>
      </c>
      <c r="F33" s="55">
        <f>(3^3*F31-4^3*F32)/(3^3-4^3)</f>
        <v>-0.4461752084</v>
      </c>
      <c r="G33" s="55"/>
      <c r="H33" s="105">
        <f>H31-F31+F33</f>
        <v>-0.4664433623</v>
      </c>
      <c r="I33" s="55">
        <f>(3^3*I31-4^3*I32)/(3^3-4^3)</f>
        <v>-1.37469922</v>
      </c>
      <c r="J33" s="55"/>
      <c r="K33" s="105">
        <f>K31-I31+I33</f>
        <v>-1.407293717</v>
      </c>
      <c r="L33" s="55">
        <f t="shared" si="3"/>
        <v>-1.873737079</v>
      </c>
      <c r="M33" s="55">
        <v>-1.8749237646172319</v>
      </c>
      <c r="N33" s="55">
        <f t="shared" si="4"/>
        <v>1.557821175</v>
      </c>
    </row>
    <row r="34">
      <c r="F34" s="55"/>
      <c r="G34" s="55"/>
      <c r="H34" s="55"/>
      <c r="I34" s="55"/>
      <c r="J34" s="55"/>
      <c r="K34" s="55"/>
      <c r="L34" s="55"/>
      <c r="M34" s="55"/>
      <c r="N34" s="55"/>
    </row>
    <row r="35">
      <c r="F35" s="55"/>
      <c r="G35" s="55"/>
      <c r="H35" s="55"/>
      <c r="I35" s="55"/>
      <c r="J35" s="55"/>
      <c r="K35" s="55"/>
      <c r="L35" s="55"/>
      <c r="M35" s="55"/>
      <c r="N35" s="55"/>
    </row>
    <row r="36">
      <c r="F36" s="55"/>
      <c r="G36" s="55"/>
      <c r="H36" s="55"/>
      <c r="I36" s="55"/>
      <c r="J36" s="55"/>
      <c r="K36" s="55"/>
      <c r="L36" s="55"/>
      <c r="M36" s="55"/>
      <c r="N36" s="55"/>
    </row>
    <row r="37">
      <c r="F37" s="55"/>
      <c r="G37" s="55"/>
      <c r="H37" s="55"/>
      <c r="I37" s="55"/>
      <c r="J37" s="55"/>
      <c r="K37" s="55"/>
      <c r="L37" s="55"/>
      <c r="M37" s="55"/>
      <c r="N37" s="55"/>
    </row>
    <row r="38">
      <c r="F38" s="55"/>
      <c r="G38" s="55"/>
      <c r="H38" s="55"/>
      <c r="I38" s="55"/>
      <c r="J38" s="55"/>
      <c r="K38" s="55"/>
      <c r="L38" s="55"/>
      <c r="M38" s="55"/>
      <c r="N38" s="55"/>
    </row>
    <row r="39">
      <c r="F39" s="55"/>
      <c r="G39" s="55"/>
      <c r="H39" s="55"/>
      <c r="I39" s="55"/>
      <c r="J39" s="55"/>
      <c r="K39" s="55"/>
      <c r="L39" s="55"/>
      <c r="M39" s="55"/>
      <c r="N39" s="55"/>
    </row>
    <row r="40">
      <c r="F40" s="55"/>
      <c r="G40" s="55"/>
      <c r="H40" s="55"/>
      <c r="I40" s="55"/>
      <c r="J40" s="55"/>
      <c r="K40" s="55"/>
      <c r="L40" s="55"/>
      <c r="M40" s="55"/>
      <c r="N40" s="55"/>
    </row>
    <row r="41">
      <c r="F41" s="55"/>
      <c r="G41" s="55"/>
      <c r="H41" s="55"/>
      <c r="I41" s="55"/>
      <c r="J41" s="55"/>
      <c r="K41" s="55"/>
      <c r="L41" s="55"/>
      <c r="M41" s="55"/>
      <c r="N41" s="55"/>
    </row>
    <row r="42">
      <c r="F42" s="55"/>
      <c r="G42" s="55"/>
      <c r="H42" s="55"/>
      <c r="I42" s="55"/>
      <c r="J42" s="55"/>
      <c r="K42" s="55"/>
      <c r="L42" s="55"/>
      <c r="M42" s="55"/>
      <c r="N42" s="55"/>
    </row>
    <row r="43">
      <c r="F43" s="55"/>
      <c r="G43" s="55"/>
      <c r="H43" s="55"/>
      <c r="I43" s="55"/>
      <c r="J43" s="55"/>
      <c r="K43" s="55"/>
      <c r="L43" s="55"/>
      <c r="M43" s="55"/>
      <c r="N43" s="55"/>
    </row>
    <row r="44">
      <c r="F44" s="55"/>
      <c r="G44" s="55"/>
      <c r="H44" s="55"/>
      <c r="I44" s="55"/>
      <c r="J44" s="55"/>
      <c r="K44" s="55"/>
      <c r="L44" s="55"/>
      <c r="M44" s="55"/>
      <c r="N44" s="55"/>
    </row>
    <row r="45">
      <c r="F45" s="55"/>
      <c r="G45" s="55"/>
      <c r="H45" s="55"/>
      <c r="I45" s="55"/>
      <c r="J45" s="55"/>
      <c r="K45" s="55"/>
      <c r="L45" s="55"/>
      <c r="M45" s="55"/>
      <c r="N45" s="55"/>
    </row>
    <row r="46">
      <c r="F46" s="55"/>
      <c r="G46" s="55"/>
      <c r="H46" s="55"/>
      <c r="I46" s="55"/>
      <c r="J46" s="55"/>
      <c r="K46" s="55"/>
      <c r="L46" s="55"/>
      <c r="M46" s="55"/>
      <c r="N46" s="55"/>
    </row>
    <row r="47">
      <c r="F47" s="55"/>
      <c r="G47" s="55"/>
      <c r="H47" s="55"/>
      <c r="I47" s="55"/>
      <c r="J47" s="55"/>
      <c r="K47" s="55"/>
      <c r="L47" s="55"/>
      <c r="M47" s="55"/>
      <c r="N47" s="55"/>
    </row>
    <row r="48">
      <c r="F48" s="55"/>
      <c r="G48" s="55"/>
      <c r="H48" s="55"/>
      <c r="I48" s="55"/>
      <c r="J48" s="55"/>
      <c r="K48" s="55"/>
      <c r="L48" s="55"/>
      <c r="M48" s="55"/>
      <c r="N48" s="55"/>
    </row>
    <row r="49">
      <c r="F49" s="55"/>
      <c r="G49" s="55"/>
      <c r="H49" s="55"/>
      <c r="I49" s="55"/>
      <c r="J49" s="55"/>
      <c r="K49" s="55"/>
      <c r="L49" s="55"/>
      <c r="M49" s="55"/>
      <c r="N49" s="55"/>
    </row>
  </sheetData>
  <conditionalFormatting sqref="N2:N33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1" t="s">
        <v>38</v>
      </c>
      <c r="C1" s="7" t="s">
        <v>69</v>
      </c>
      <c r="D1" s="7" t="s">
        <v>70</v>
      </c>
      <c r="E1" s="7" t="s">
        <v>39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1" t="s">
        <v>167</v>
      </c>
      <c r="M1" s="94" t="s">
        <v>42</v>
      </c>
      <c r="N1" s="1" t="s">
        <v>168</v>
      </c>
    </row>
    <row r="2">
      <c r="A2" s="6" t="s">
        <v>14</v>
      </c>
      <c r="B2" s="7">
        <v>4.0</v>
      </c>
      <c r="C2" s="43">
        <v>0.125</v>
      </c>
      <c r="D2" s="43">
        <v>0.037037037037037035</v>
      </c>
      <c r="E2" s="6" t="s">
        <v>47</v>
      </c>
      <c r="F2" s="43">
        <v>-0.191399028444413</v>
      </c>
      <c r="G2" s="43">
        <v>-0.192295213207148</v>
      </c>
      <c r="H2" s="43">
        <f>F2+(-C2)*(G2-F2)/(D2-C2)</f>
        <v>-0.1926725542</v>
      </c>
      <c r="I2" s="43">
        <v>-0.598245873079583</v>
      </c>
      <c r="J2" s="43">
        <v>-0.600159112716902</v>
      </c>
      <c r="K2" s="43">
        <f>I2+(-C2)*(J2-I2)/(D2-C2)</f>
        <v>-0.6009646873</v>
      </c>
      <c r="L2" s="8">
        <f t="shared" ref="L2:L33" si="1">H2+K2</f>
        <v>-0.7936372415</v>
      </c>
      <c r="M2" s="8">
        <v>-0.793637241460915</v>
      </c>
      <c r="N2" s="8">
        <f t="shared" ref="N2:N33" si="2">(L2-M2)*2600/B2</f>
        <v>0</v>
      </c>
    </row>
    <row r="3">
      <c r="A3" s="6"/>
      <c r="B3" s="7">
        <v>4.0</v>
      </c>
      <c r="C3" s="43">
        <v>0.125</v>
      </c>
      <c r="D3" s="43">
        <v>0.037037037037037035</v>
      </c>
      <c r="E3" s="6" t="s">
        <v>48</v>
      </c>
      <c r="F3" s="43">
        <v>-0.233471341435229</v>
      </c>
      <c r="G3" s="43"/>
      <c r="H3" s="106">
        <f>H2-F2+F3</f>
        <v>-0.2347448672</v>
      </c>
      <c r="I3" s="43">
        <v>-0.756336809695743</v>
      </c>
      <c r="J3" s="43"/>
      <c r="K3" s="106">
        <f>K2-I2+I3</f>
        <v>-0.7590556239</v>
      </c>
      <c r="L3" s="8">
        <f t="shared" si="1"/>
        <v>-0.9938004911</v>
      </c>
      <c r="M3" s="8">
        <v>-0.9947769820160219</v>
      </c>
      <c r="N3" s="8">
        <f t="shared" si="2"/>
        <v>0.6347191163</v>
      </c>
    </row>
    <row r="4">
      <c r="A4" s="6"/>
      <c r="B4" s="7">
        <v>4.0</v>
      </c>
      <c r="C4" s="43">
        <v>0.125</v>
      </c>
      <c r="D4" s="43">
        <v>0.037037037037037035</v>
      </c>
      <c r="E4" s="6" t="s">
        <v>49</v>
      </c>
      <c r="F4" s="43">
        <v>-0.241496580633391</v>
      </c>
      <c r="G4" s="43"/>
      <c r="H4" s="106">
        <f>H2-F2+F4</f>
        <v>-0.2427701063</v>
      </c>
      <c r="I4" s="43">
        <v>-0.812953479415889</v>
      </c>
      <c r="J4" s="43"/>
      <c r="K4" s="106">
        <f>K2-I2+I4</f>
        <v>-0.8156722936</v>
      </c>
      <c r="L4" s="8">
        <f t="shared" si="1"/>
        <v>-1.0584424</v>
      </c>
      <c r="M4" s="8">
        <v>-1.059531536179695</v>
      </c>
      <c r="N4" s="8">
        <f t="shared" si="2"/>
        <v>0.7079385258</v>
      </c>
    </row>
    <row r="5">
      <c r="A5" s="6"/>
      <c r="B5" s="7">
        <v>4.0</v>
      </c>
      <c r="C5" s="43">
        <v>0.125</v>
      </c>
      <c r="D5" s="43">
        <v>0.037037037037037035</v>
      </c>
      <c r="E5" s="6" t="s">
        <v>50</v>
      </c>
      <c r="F5" s="43">
        <f>(3^3*F3-4^3*F4)/(3^3-4^3)</f>
        <v>-0.2473528363</v>
      </c>
      <c r="G5" s="43"/>
      <c r="H5" s="106">
        <f>H2-F2+F5</f>
        <v>-0.248626362</v>
      </c>
      <c r="I5" s="43">
        <f>(3^3*I3-4^3*I4)/(3^3-4^3)</f>
        <v>-0.8542683465</v>
      </c>
      <c r="J5" s="43"/>
      <c r="K5" s="106">
        <f>K2-I2+I5</f>
        <v>-0.8569871607</v>
      </c>
      <c r="L5" s="8">
        <f t="shared" si="1"/>
        <v>-1.105613523</v>
      </c>
      <c r="M5" s="8">
        <v>-1.1067848594883212</v>
      </c>
      <c r="N5" s="8">
        <f t="shared" si="2"/>
        <v>0.7613689057</v>
      </c>
    </row>
    <row r="6">
      <c r="A6" s="6" t="s">
        <v>51</v>
      </c>
      <c r="B6" s="7">
        <v>4.0</v>
      </c>
      <c r="C6" s="43">
        <v>1.0</v>
      </c>
      <c r="D6" s="43">
        <v>0.125</v>
      </c>
      <c r="E6" s="6" t="s">
        <v>47</v>
      </c>
      <c r="F6" s="43">
        <v>-0.539109740962677</v>
      </c>
      <c r="G6" s="43">
        <v>-0.553103793729042</v>
      </c>
      <c r="H6" s="43">
        <f>F6+(-C6)*(G6-F6)/(D6-C6)</f>
        <v>-0.5551029441</v>
      </c>
      <c r="I6" s="43">
        <v>-1.37333999439524</v>
      </c>
      <c r="J6" s="43">
        <v>-1.39667220605606</v>
      </c>
      <c r="K6" s="43">
        <f>I6+(-C6)*(J6-I6)/(D6-C6)</f>
        <v>-1.400005379</v>
      </c>
      <c r="L6" s="8">
        <f t="shared" si="1"/>
        <v>-1.955108323</v>
      </c>
      <c r="M6" s="8">
        <v>-1.9551083232746995</v>
      </c>
      <c r="N6" s="8">
        <f t="shared" si="2"/>
        <v>0</v>
      </c>
    </row>
    <row r="7">
      <c r="A7" s="6"/>
      <c r="B7" s="7">
        <v>4.0</v>
      </c>
      <c r="C7" s="43">
        <v>1.0</v>
      </c>
      <c r="D7" s="43">
        <v>0.125</v>
      </c>
      <c r="E7" s="6" t="s">
        <v>48</v>
      </c>
      <c r="F7" s="43">
        <v>-0.648740155748248</v>
      </c>
      <c r="G7" s="43"/>
      <c r="H7" s="106">
        <f>H6-F6+F7</f>
        <v>-0.6647333589</v>
      </c>
      <c r="I7" s="43">
        <v>-1.74442297876952</v>
      </c>
      <c r="J7" s="43"/>
      <c r="K7" s="106">
        <f>K6-I6+I7</f>
        <v>-1.771088364</v>
      </c>
      <c r="L7" s="8">
        <f t="shared" si="1"/>
        <v>-2.435821722</v>
      </c>
      <c r="M7" s="8">
        <v>-2.4430667777608206</v>
      </c>
      <c r="N7" s="8">
        <f t="shared" si="2"/>
        <v>4.709285962</v>
      </c>
    </row>
    <row r="8">
      <c r="A8" s="6"/>
      <c r="B8" s="7">
        <v>4.0</v>
      </c>
      <c r="C8" s="43">
        <v>1.0</v>
      </c>
      <c r="D8" s="43">
        <v>0.125</v>
      </c>
      <c r="E8" s="6" t="s">
        <v>49</v>
      </c>
      <c r="F8" s="43">
        <v>-0.67348599543938</v>
      </c>
      <c r="G8" s="43"/>
      <c r="H8" s="106">
        <f>H6-F6+F8</f>
        <v>-0.6894791986</v>
      </c>
      <c r="I8" s="43">
        <v>-1.90098871254529</v>
      </c>
      <c r="J8" s="43"/>
      <c r="K8" s="106">
        <f>K6-I6+I8</f>
        <v>-1.927654097</v>
      </c>
      <c r="L8" s="8">
        <f t="shared" si="1"/>
        <v>-2.617133296</v>
      </c>
      <c r="M8" s="8">
        <v>-2.6254186825742254</v>
      </c>
      <c r="N8" s="8">
        <f t="shared" si="2"/>
        <v>5.385501337</v>
      </c>
    </row>
    <row r="9">
      <c r="A9" s="6"/>
      <c r="B9" s="7">
        <v>4.0</v>
      </c>
      <c r="C9" s="43">
        <v>1.0</v>
      </c>
      <c r="D9" s="43">
        <v>0.125</v>
      </c>
      <c r="E9" s="6" t="s">
        <v>50</v>
      </c>
      <c r="F9" s="43">
        <f>(3^3*F7-4^3*F8)/(3^3-4^3)</f>
        <v>-0.6915437703</v>
      </c>
      <c r="G9" s="43"/>
      <c r="H9" s="106">
        <f>H6-F6+F9</f>
        <v>-0.7075369735</v>
      </c>
      <c r="I9" s="43">
        <f>(3^3*I7-4^3*I8)/(3^3-4^3)</f>
        <v>-2.015239383</v>
      </c>
      <c r="J9" s="43"/>
      <c r="K9" s="106">
        <f>K6-I6+I9</f>
        <v>-2.041904768</v>
      </c>
      <c r="L9" s="8">
        <f t="shared" si="1"/>
        <v>-2.749441741</v>
      </c>
      <c r="M9" s="8">
        <v>-2.758486288789413</v>
      </c>
      <c r="N9" s="8">
        <f t="shared" si="2"/>
        <v>5.8789558</v>
      </c>
    </row>
    <row r="10">
      <c r="A10" s="6" t="s">
        <v>18</v>
      </c>
      <c r="B10" s="7">
        <v>8.0</v>
      </c>
      <c r="C10" s="43">
        <v>1.0</v>
      </c>
      <c r="D10" s="43">
        <v>0.125</v>
      </c>
      <c r="E10" s="6" t="s">
        <v>47</v>
      </c>
      <c r="F10" s="43">
        <v>-1.01291375824555</v>
      </c>
      <c r="G10" s="43">
        <v>-1.02761812543526</v>
      </c>
      <c r="H10" s="43">
        <f>F10+(-C10)*(G10-F10)/(D10-C10)</f>
        <v>-1.029718749</v>
      </c>
      <c r="I10" s="43">
        <v>-2.68292890264457</v>
      </c>
      <c r="J10" s="43">
        <v>-2.71015472663705</v>
      </c>
      <c r="K10" s="43">
        <f>I10+(-C10)*(J10-I10)/(D10-C10)</f>
        <v>-2.71404413</v>
      </c>
      <c r="L10" s="8">
        <f t="shared" si="1"/>
        <v>-3.743762879</v>
      </c>
      <c r="M10" s="8">
        <v>-3.743762879384051</v>
      </c>
      <c r="N10" s="8">
        <f t="shared" si="2"/>
        <v>0</v>
      </c>
    </row>
    <row r="11">
      <c r="A11" s="6"/>
      <c r="B11" s="7">
        <v>8.0</v>
      </c>
      <c r="C11" s="43">
        <v>1.0</v>
      </c>
      <c r="D11" s="43">
        <v>0.125</v>
      </c>
      <c r="E11" s="6" t="s">
        <v>48</v>
      </c>
      <c r="F11" s="43">
        <v>-1.20023553402513</v>
      </c>
      <c r="G11" s="43"/>
      <c r="H11" s="106">
        <f>H10-F10+F11</f>
        <v>-1.217040525</v>
      </c>
      <c r="I11" s="43">
        <v>-3.3482857382954</v>
      </c>
      <c r="J11" s="43"/>
      <c r="K11" s="106">
        <f>K10-I10+I11</f>
        <v>-3.379400966</v>
      </c>
      <c r="L11" s="8">
        <f t="shared" si="1"/>
        <v>-4.596441491</v>
      </c>
      <c r="M11" s="8">
        <v>-4.606324105879592</v>
      </c>
      <c r="N11" s="8">
        <f t="shared" si="2"/>
        <v>3.211849896</v>
      </c>
    </row>
    <row r="12">
      <c r="A12" s="6"/>
      <c r="B12" s="7">
        <v>8.0</v>
      </c>
      <c r="C12" s="43">
        <v>1.0</v>
      </c>
      <c r="D12" s="43">
        <v>0.125</v>
      </c>
      <c r="E12" s="6" t="s">
        <v>49</v>
      </c>
      <c r="F12" s="43">
        <v>-1.23956106930199</v>
      </c>
      <c r="G12" s="43"/>
      <c r="H12" s="106">
        <f>H10-F10+F12</f>
        <v>-1.25636606</v>
      </c>
      <c r="I12" s="43">
        <v>-3.60778424912226</v>
      </c>
      <c r="J12" s="43"/>
      <c r="K12" s="106">
        <f>K10-I10+I12</f>
        <v>-3.638899477</v>
      </c>
      <c r="L12" s="8">
        <f t="shared" si="1"/>
        <v>-4.895265537</v>
      </c>
      <c r="M12" s="8">
        <v>-4.906517261445256</v>
      </c>
      <c r="N12" s="8">
        <f t="shared" si="2"/>
        <v>3.656810471</v>
      </c>
    </row>
    <row r="13">
      <c r="A13" s="6"/>
      <c r="B13" s="7">
        <v>8.0</v>
      </c>
      <c r="C13" s="43">
        <v>1.0</v>
      </c>
      <c r="D13" s="43">
        <v>0.125</v>
      </c>
      <c r="E13" s="6" t="s">
        <v>50</v>
      </c>
      <c r="F13" s="43">
        <f>(3^3*F11-4^3*F12)/(3^3-4^3)</f>
        <v>-1.268258082</v>
      </c>
      <c r="G13" s="43"/>
      <c r="H13" s="106">
        <f>H10-F10+F13</f>
        <v>-1.285063073</v>
      </c>
      <c r="I13" s="43">
        <f>(3^3*I11-4^3*I12)/(3^3-4^3)</f>
        <v>-3.797148027</v>
      </c>
      <c r="J13" s="43"/>
      <c r="K13" s="106">
        <f>K10-I10+I13</f>
        <v>-3.828263255</v>
      </c>
      <c r="L13" s="8">
        <f t="shared" si="1"/>
        <v>-5.113326327</v>
      </c>
      <c r="M13" s="8">
        <v>-5.125577131722902</v>
      </c>
      <c r="N13" s="8">
        <f t="shared" si="2"/>
        <v>3.981511432</v>
      </c>
    </row>
    <row r="14">
      <c r="A14" s="6" t="s">
        <v>52</v>
      </c>
      <c r="B14" s="7">
        <v>2.0</v>
      </c>
      <c r="C14" s="43">
        <v>0.5</v>
      </c>
      <c r="D14" s="43">
        <v>0.08333333333333333</v>
      </c>
      <c r="E14" s="6" t="s">
        <v>47</v>
      </c>
      <c r="F14" s="43">
        <v>-0.504280744039512</v>
      </c>
      <c r="G14" s="43">
        <v>-0.508854746205719</v>
      </c>
      <c r="H14" s="43">
        <f>F14+(-C14)*(G14-F14)/(D14-C14)</f>
        <v>-0.5097695466</v>
      </c>
      <c r="I14" s="43">
        <v>-1.41776513732625</v>
      </c>
      <c r="J14" s="43">
        <v>-1.42729834293005</v>
      </c>
      <c r="K14" s="43">
        <f>I14+(-C14)*(J14-I14)/(D14-C14)</f>
        <v>-1.429204984</v>
      </c>
      <c r="L14" s="8">
        <f t="shared" si="1"/>
        <v>-1.938974531</v>
      </c>
      <c r="M14" s="8">
        <v>-1.9389745306897705</v>
      </c>
      <c r="N14" s="8">
        <f t="shared" si="2"/>
        <v>0</v>
      </c>
    </row>
    <row r="15">
      <c r="A15" s="6"/>
      <c r="B15" s="7">
        <v>2.0</v>
      </c>
      <c r="C15" s="43">
        <v>0.5</v>
      </c>
      <c r="D15" s="43">
        <v>0.08333333333333333</v>
      </c>
      <c r="E15" s="6" t="s">
        <v>48</v>
      </c>
      <c r="F15" s="43">
        <v>-0.608453624691179</v>
      </c>
      <c r="G15" s="43"/>
      <c r="H15" s="106">
        <f>H14-F14+F15</f>
        <v>-0.6139424273</v>
      </c>
      <c r="I15" s="43">
        <v>-1.79068361629306</v>
      </c>
      <c r="J15" s="43"/>
      <c r="K15" s="106">
        <f>K14-I14+I15</f>
        <v>-1.802123463</v>
      </c>
      <c r="L15" s="8">
        <f t="shared" si="1"/>
        <v>-2.41606589</v>
      </c>
      <c r="M15" s="8">
        <v>-2.4196937923999204</v>
      </c>
      <c r="N15" s="8">
        <f t="shared" si="2"/>
        <v>4.716272719</v>
      </c>
    </row>
    <row r="16">
      <c r="A16" s="6"/>
      <c r="B16" s="7">
        <v>2.0</v>
      </c>
      <c r="C16" s="43">
        <v>0.5</v>
      </c>
      <c r="D16" s="43">
        <v>0.08333333333333333</v>
      </c>
      <c r="E16" s="6" t="s">
        <v>49</v>
      </c>
      <c r="F16" s="43">
        <v>-0.630287035167815</v>
      </c>
      <c r="G16" s="43"/>
      <c r="H16" s="106">
        <f>H14-F14+F16</f>
        <v>-0.6357758378</v>
      </c>
      <c r="I16" s="43">
        <v>-1.93502210827974</v>
      </c>
      <c r="J16" s="43"/>
      <c r="K16" s="106">
        <f>K14-I14+I16</f>
        <v>-1.946461955</v>
      </c>
      <c r="L16" s="8">
        <f t="shared" si="1"/>
        <v>-2.582237793</v>
      </c>
      <c r="M16" s="8">
        <v>-2.58630280475878</v>
      </c>
      <c r="N16" s="8">
        <f t="shared" si="2"/>
        <v>5.284515583</v>
      </c>
    </row>
    <row r="17">
      <c r="A17" s="6"/>
      <c r="B17" s="7">
        <v>2.0</v>
      </c>
      <c r="C17" s="43">
        <v>0.5</v>
      </c>
      <c r="D17" s="43">
        <v>0.08333333333333333</v>
      </c>
      <c r="E17" s="6" t="s">
        <v>50</v>
      </c>
      <c r="F17" s="43">
        <f>(3^3*F15-4^3*F16)/(3^3-4^3)</f>
        <v>-0.6462195239</v>
      </c>
      <c r="G17" s="43"/>
      <c r="H17" s="106">
        <f>H14-F14+F17</f>
        <v>-0.6517083265</v>
      </c>
      <c r="I17" s="43">
        <f>(3^3*I15-4^3*I16)/(3^3-4^3)</f>
        <v>-2.040350197</v>
      </c>
      <c r="J17" s="43"/>
      <c r="K17" s="106">
        <f>K14-I14+I17</f>
        <v>-2.051790044</v>
      </c>
      <c r="L17" s="8">
        <f t="shared" si="1"/>
        <v>-2.70349837</v>
      </c>
      <c r="M17" s="8">
        <v>-2.707882354317947</v>
      </c>
      <c r="N17" s="8">
        <f t="shared" si="2"/>
        <v>5.699179295</v>
      </c>
    </row>
    <row r="18">
      <c r="A18" s="6" t="s">
        <v>55</v>
      </c>
      <c r="B18" s="43">
        <v>4.0</v>
      </c>
      <c r="C18" s="43">
        <v>1.0</v>
      </c>
      <c r="D18" s="43">
        <v>0.125</v>
      </c>
      <c r="E18" s="6" t="s">
        <v>47</v>
      </c>
      <c r="F18" s="43">
        <v>-1.12146730319209</v>
      </c>
      <c r="G18" s="43">
        <v>-1.13762730915526</v>
      </c>
      <c r="H18" s="43">
        <f>F18+(-C18)*(G18-F18)/(D18-C18)</f>
        <v>-1.139935881</v>
      </c>
      <c r="I18" s="43">
        <v>-2.86790748652791</v>
      </c>
      <c r="J18" s="43">
        <v>-2.89513152833369</v>
      </c>
      <c r="K18" s="43">
        <f>I18+(-C18)*(J18-I18)/(D18-C18)</f>
        <v>-2.899020677</v>
      </c>
      <c r="L18" s="8">
        <f t="shared" si="1"/>
        <v>-4.038956559</v>
      </c>
      <c r="M18" s="8">
        <v>-4.0389565585988</v>
      </c>
      <c r="N18" s="8">
        <f t="shared" si="2"/>
        <v>0</v>
      </c>
    </row>
    <row r="19">
      <c r="A19" s="6"/>
      <c r="B19" s="43">
        <v>4.0</v>
      </c>
      <c r="C19" s="43">
        <v>1.0</v>
      </c>
      <c r="D19" s="43">
        <v>0.125</v>
      </c>
      <c r="E19" s="6" t="s">
        <v>48</v>
      </c>
      <c r="F19" s="43">
        <v>-1.36096080847236</v>
      </c>
      <c r="G19" s="43"/>
      <c r="H19" s="106">
        <f>H18-F18+F19</f>
        <v>-1.379429387</v>
      </c>
      <c r="I19" s="43">
        <v>-3.66516624986355</v>
      </c>
      <c r="J19" s="43"/>
      <c r="K19" s="106">
        <f>K18-I18+I19</f>
        <v>-3.69627944</v>
      </c>
      <c r="L19" s="8">
        <f t="shared" si="1"/>
        <v>-5.075708827</v>
      </c>
      <c r="M19" s="8">
        <v>-5.086768502452493</v>
      </c>
      <c r="N19" s="8">
        <f t="shared" si="2"/>
        <v>7.188788905</v>
      </c>
    </row>
    <row r="20">
      <c r="A20" s="6"/>
      <c r="B20" s="43">
        <v>4.0</v>
      </c>
      <c r="C20" s="43">
        <v>1.0</v>
      </c>
      <c r="D20" s="43">
        <v>0.125</v>
      </c>
      <c r="E20" s="6" t="s">
        <v>49</v>
      </c>
      <c r="F20" s="43">
        <v>-1.41258966055534</v>
      </c>
      <c r="G20" s="43"/>
      <c r="H20" s="106">
        <f>H18-F18+F20</f>
        <v>-1.431058239</v>
      </c>
      <c r="I20" s="43">
        <v>-3.98675385641407</v>
      </c>
      <c r="J20" s="43"/>
      <c r="K20" s="106">
        <f>K18-I18+I20</f>
        <v>-4.017867047</v>
      </c>
      <c r="L20" s="8">
        <f t="shared" si="1"/>
        <v>-5.448925286</v>
      </c>
      <c r="M20" s="8">
        <v>-5.461681735108449</v>
      </c>
      <c r="N20" s="8">
        <f t="shared" si="2"/>
        <v>8.291692019</v>
      </c>
    </row>
    <row r="21">
      <c r="A21" s="6"/>
      <c r="B21" s="43">
        <v>4.0</v>
      </c>
      <c r="C21" s="43">
        <v>1.0</v>
      </c>
      <c r="D21" s="43">
        <v>0.125</v>
      </c>
      <c r="E21" s="6" t="s">
        <v>50</v>
      </c>
      <c r="F21" s="43">
        <f>(3^3*F19-4^3*F20)/(3^3-4^3)</f>
        <v>-1.450264769</v>
      </c>
      <c r="G21" s="43"/>
      <c r="H21" s="106">
        <f>H18-F18+F21</f>
        <v>-1.468733347</v>
      </c>
      <c r="I21" s="43">
        <f>(3^3*I19-4^3*I20)/(3^3-4^3)</f>
        <v>-4.221425894</v>
      </c>
      <c r="J21" s="43"/>
      <c r="K21" s="106">
        <f>K18-I18+I21</f>
        <v>-4.252539084</v>
      </c>
      <c r="L21" s="8">
        <f t="shared" si="1"/>
        <v>-5.721272431</v>
      </c>
      <c r="M21" s="8">
        <v>-5.73526706704658</v>
      </c>
      <c r="N21" s="8">
        <f t="shared" si="2"/>
        <v>9.096513211</v>
      </c>
    </row>
    <row r="22">
      <c r="A22" s="6" t="s">
        <v>56</v>
      </c>
      <c r="B22" s="43">
        <v>2.0</v>
      </c>
      <c r="C22" s="43">
        <v>1.0</v>
      </c>
      <c r="D22" s="43">
        <v>0.125</v>
      </c>
      <c r="E22" s="6" t="s">
        <v>47</v>
      </c>
      <c r="F22" s="43">
        <v>-0.554322734158574</v>
      </c>
      <c r="G22" s="43">
        <v>-0.569656207412956</v>
      </c>
      <c r="H22" s="43">
        <f>F22+(-C22)*(G22-F22)/(D22-C22)</f>
        <v>-0.5718467036</v>
      </c>
      <c r="I22" s="43">
        <v>-1.42143241636956</v>
      </c>
      <c r="J22" s="43">
        <v>-1.44912524946507</v>
      </c>
      <c r="K22" s="43">
        <f>I22+(-C22)*(J22-I22)/(D22-C22)</f>
        <v>-1.453081368</v>
      </c>
      <c r="L22" s="8">
        <f t="shared" si="1"/>
        <v>-2.024928072</v>
      </c>
      <c r="M22" s="8">
        <v>-2.0249280720708676</v>
      </c>
      <c r="N22" s="8">
        <f t="shared" si="2"/>
        <v>0</v>
      </c>
    </row>
    <row r="23">
      <c r="A23" s="6"/>
      <c r="B23" s="43">
        <v>2.0</v>
      </c>
      <c r="C23" s="43">
        <v>1.0</v>
      </c>
      <c r="D23" s="43">
        <v>0.125</v>
      </c>
      <c r="E23" s="6" t="s">
        <v>48</v>
      </c>
      <c r="F23" s="43">
        <v>-0.671635453281352</v>
      </c>
      <c r="G23" s="43"/>
      <c r="H23" s="106">
        <f>H22-F22+F23</f>
        <v>-0.6891594227</v>
      </c>
      <c r="I23" s="43">
        <v>-1.81727516484506</v>
      </c>
      <c r="J23" s="43"/>
      <c r="K23" s="106">
        <f>K22-I22+I23</f>
        <v>-1.848924117</v>
      </c>
      <c r="L23" s="8">
        <f t="shared" si="1"/>
        <v>-2.53808354</v>
      </c>
      <c r="M23" s="8">
        <v>-2.548136030723658</v>
      </c>
      <c r="N23" s="8">
        <f t="shared" si="2"/>
        <v>13.06823837</v>
      </c>
    </row>
    <row r="24">
      <c r="A24" s="6"/>
      <c r="B24" s="43">
        <v>2.0</v>
      </c>
      <c r="C24" s="43">
        <v>1.0</v>
      </c>
      <c r="D24" s="43">
        <v>0.125</v>
      </c>
      <c r="E24" s="6" t="s">
        <v>49</v>
      </c>
      <c r="F24" s="43">
        <v>-0.696938386002115</v>
      </c>
      <c r="G24" s="43"/>
      <c r="H24" s="106">
        <f>H22-F22+F24</f>
        <v>-0.7144623554</v>
      </c>
      <c r="I24" s="43">
        <v>-1.97716936082477</v>
      </c>
      <c r="J24" s="43"/>
      <c r="K24" s="106">
        <f>K22-I22+I24</f>
        <v>-2.008818313</v>
      </c>
      <c r="L24" s="8">
        <f t="shared" si="1"/>
        <v>-2.723280668</v>
      </c>
      <c r="M24" s="8">
        <v>-2.7352839987313886</v>
      </c>
      <c r="N24" s="8">
        <f t="shared" si="2"/>
        <v>15.60432947</v>
      </c>
    </row>
    <row r="25">
      <c r="A25" s="6"/>
      <c r="B25" s="43">
        <v>2.0</v>
      </c>
      <c r="C25" s="43">
        <v>1.0</v>
      </c>
      <c r="D25" s="43">
        <v>0.125</v>
      </c>
      <c r="E25" s="6" t="s">
        <v>50</v>
      </c>
      <c r="F25" s="43">
        <f>(3^3*F23-4^3*F24)/(3^3-4^3)</f>
        <v>-0.7154026883</v>
      </c>
      <c r="G25" s="43"/>
      <c r="H25" s="106">
        <f>H22-F22+F25</f>
        <v>-0.7329266577</v>
      </c>
      <c r="I25" s="43">
        <f>(3^3*I23-4^3*I24)/(3^3-4^3)</f>
        <v>-2.093848909</v>
      </c>
      <c r="J25" s="43"/>
      <c r="K25" s="106">
        <f>K22-I22+I25</f>
        <v>-2.125497861</v>
      </c>
      <c r="L25" s="8">
        <f t="shared" si="1"/>
        <v>-2.858424519</v>
      </c>
      <c r="M25" s="8">
        <v>-2.8718514348451385</v>
      </c>
      <c r="N25" s="8">
        <f t="shared" si="2"/>
        <v>17.45499054</v>
      </c>
    </row>
    <row r="26">
      <c r="A26" s="6" t="s">
        <v>28</v>
      </c>
      <c r="B26" s="43">
        <v>2.0</v>
      </c>
      <c r="C26" s="43">
        <v>0.16666666666666666</v>
      </c>
      <c r="D26" s="43">
        <v>0.041666666666666664</v>
      </c>
      <c r="E26" s="6" t="s">
        <v>47</v>
      </c>
      <c r="F26" s="43">
        <v>-0.482936019533664</v>
      </c>
      <c r="G26" s="43">
        <v>-0.487984586771853</v>
      </c>
      <c r="H26" s="43">
        <f>F26+(-C26)*(G26-F26)/(D26-C26)</f>
        <v>-0.4896674425</v>
      </c>
      <c r="I26" s="43">
        <v>-1.24915055134258</v>
      </c>
      <c r="J26" s="43">
        <v>-1.2567977020799</v>
      </c>
      <c r="K26" s="43">
        <f>I26+(-C26)*(J26-I26)/(D26-C26)</f>
        <v>-1.259346752</v>
      </c>
      <c r="L26" s="8">
        <f t="shared" si="1"/>
        <v>-1.749014195</v>
      </c>
      <c r="M26" s="8">
        <v>-1.749014194843589</v>
      </c>
      <c r="N26" s="8">
        <f t="shared" si="2"/>
        <v>0</v>
      </c>
    </row>
    <row r="27">
      <c r="A27" s="6"/>
      <c r="B27" s="43">
        <v>2.0</v>
      </c>
      <c r="C27" s="43">
        <v>0.16666666666666666</v>
      </c>
      <c r="D27" s="43">
        <v>0.041666666666666664</v>
      </c>
      <c r="E27" s="6" t="s">
        <v>48</v>
      </c>
      <c r="F27" s="43">
        <v>-0.563365950121011</v>
      </c>
      <c r="G27" s="43"/>
      <c r="H27" s="106">
        <f>H26-F26+F27</f>
        <v>-0.5700973731</v>
      </c>
      <c r="I27" s="43">
        <v>-1.54471810037769</v>
      </c>
      <c r="J27" s="43"/>
      <c r="K27" s="106">
        <f>K26-I26+I27</f>
        <v>-1.554914301</v>
      </c>
      <c r="L27" s="8">
        <f t="shared" si="1"/>
        <v>-2.125011674</v>
      </c>
      <c r="M27" s="8">
        <v>-2.125877062320681</v>
      </c>
      <c r="N27" s="8">
        <f t="shared" si="2"/>
        <v>1.125004211</v>
      </c>
    </row>
    <row r="28">
      <c r="A28" s="6"/>
      <c r="B28" s="43">
        <v>2.0</v>
      </c>
      <c r="C28" s="43">
        <v>0.16666666666666666</v>
      </c>
      <c r="D28" s="43">
        <v>0.041666666666666664</v>
      </c>
      <c r="E28" s="6" t="s">
        <v>49</v>
      </c>
      <c r="F28" s="43">
        <v>-0.580545777970504</v>
      </c>
      <c r="G28" s="43"/>
      <c r="H28" s="106">
        <f>H26-F26+F28</f>
        <v>-0.587277201</v>
      </c>
      <c r="I28" s="43">
        <v>-1.65859969335042</v>
      </c>
      <c r="J28" s="43"/>
      <c r="K28" s="106">
        <f>K26-I26+I28</f>
        <v>-1.668795894</v>
      </c>
      <c r="L28" s="8">
        <f t="shared" si="1"/>
        <v>-2.256073095</v>
      </c>
      <c r="M28" s="8">
        <v>-2.2569486810571107</v>
      </c>
      <c r="N28" s="8">
        <f t="shared" si="2"/>
        <v>1.138261499</v>
      </c>
    </row>
    <row r="29">
      <c r="A29" s="6"/>
      <c r="B29" s="43">
        <v>2.0</v>
      </c>
      <c r="C29" s="43">
        <v>0.16666666666666666</v>
      </c>
      <c r="D29" s="43">
        <v>0.041666666666666664</v>
      </c>
      <c r="E29" s="6" t="s">
        <v>50</v>
      </c>
      <c r="F29" s="43">
        <f>(3^3*F27-4^3*F28)/(3^3-4^3)</f>
        <v>-0.5930824091</v>
      </c>
      <c r="G29" s="43"/>
      <c r="H29" s="106">
        <f>H26-F26+F29</f>
        <v>-0.5998138321</v>
      </c>
      <c r="I29" s="43">
        <f>(3^3*I27-4^3*I28)/(3^3-4^3)</f>
        <v>-1.741702477</v>
      </c>
      <c r="J29" s="43"/>
      <c r="K29" s="106">
        <f>K26-I26+I29</f>
        <v>-1.751898678</v>
      </c>
      <c r="L29" s="8">
        <f t="shared" si="1"/>
        <v>-2.35171251</v>
      </c>
      <c r="M29" s="8">
        <v>-2.3525955379728836</v>
      </c>
      <c r="N29" s="8">
        <f t="shared" si="2"/>
        <v>1.147935737</v>
      </c>
    </row>
    <row r="30">
      <c r="A30" s="7" t="s">
        <v>31</v>
      </c>
      <c r="B30" s="43">
        <v>2.0</v>
      </c>
      <c r="C30" s="8">
        <v>1.0</v>
      </c>
      <c r="D30" s="8">
        <v>0.125</v>
      </c>
      <c r="E30" s="7" t="s">
        <v>47</v>
      </c>
      <c r="F30" s="7">
        <v>-0.345189652091805</v>
      </c>
      <c r="G30" s="7">
        <v>-0.360281904644816</v>
      </c>
      <c r="H30" s="8">
        <f>F30+(-C30)*(G30-F30)/(D30-C30)</f>
        <v>-0.3624379407</v>
      </c>
      <c r="I30" s="7">
        <v>-0.940497337156511</v>
      </c>
      <c r="J30" s="7">
        <v>-0.965088098412901</v>
      </c>
      <c r="K30" s="8">
        <f>I30+(-C30)*(J30-I30)/(D30-C30)</f>
        <v>-0.9686010643</v>
      </c>
      <c r="L30" s="8">
        <f t="shared" si="1"/>
        <v>-1.331039005</v>
      </c>
      <c r="M30" s="8">
        <v>-1.3310390050304886</v>
      </c>
      <c r="N30" s="8">
        <f t="shared" si="2"/>
        <v>0</v>
      </c>
    </row>
    <row r="31">
      <c r="A31" s="8"/>
      <c r="B31" s="43">
        <v>2.0</v>
      </c>
      <c r="C31" s="8">
        <v>1.0</v>
      </c>
      <c r="D31" s="8">
        <v>0.125</v>
      </c>
      <c r="E31" s="7" t="s">
        <v>48</v>
      </c>
      <c r="F31" s="7">
        <v>-0.418478030410621</v>
      </c>
      <c r="G31" s="7"/>
      <c r="H31" s="107">
        <f>H30-F30+F31</f>
        <v>-0.435726319</v>
      </c>
      <c r="I31" s="7">
        <v>-1.19920881368186</v>
      </c>
      <c r="J31" s="7"/>
      <c r="K31" s="107">
        <f>K30-I30+I31</f>
        <v>-1.227312541</v>
      </c>
      <c r="L31" s="8">
        <f t="shared" si="1"/>
        <v>-1.66303886</v>
      </c>
      <c r="M31" s="8">
        <v>-1.6705494947989472</v>
      </c>
      <c r="N31" s="8">
        <f t="shared" si="2"/>
        <v>9.763825402</v>
      </c>
    </row>
    <row r="32">
      <c r="A32" s="8"/>
      <c r="B32" s="43">
        <v>2.0</v>
      </c>
      <c r="C32" s="8">
        <v>1.0</v>
      </c>
      <c r="D32" s="8">
        <v>0.125</v>
      </c>
      <c r="E32" s="7" t="s">
        <v>49</v>
      </c>
      <c r="F32" s="7">
        <v>-0.434490461439446</v>
      </c>
      <c r="G32" s="7"/>
      <c r="H32" s="107">
        <f>H30-F30+F32</f>
        <v>-0.4517387501</v>
      </c>
      <c r="I32" s="7">
        <v>-1.30066420493183</v>
      </c>
      <c r="J32" s="7"/>
      <c r="K32" s="107">
        <f>K30-I30+I32</f>
        <v>-1.328767932</v>
      </c>
      <c r="L32" s="8">
        <f t="shared" si="1"/>
        <v>-1.780506682</v>
      </c>
      <c r="M32" s="8">
        <v>-1.7887033695376429</v>
      </c>
      <c r="N32" s="8">
        <f t="shared" si="2"/>
        <v>10.6556936</v>
      </c>
    </row>
    <row r="33">
      <c r="A33" s="8"/>
      <c r="B33" s="43">
        <v>2.0</v>
      </c>
      <c r="C33" s="8">
        <v>1.0</v>
      </c>
      <c r="D33" s="8">
        <v>0.125</v>
      </c>
      <c r="E33" s="7" t="s">
        <v>50</v>
      </c>
      <c r="F33" s="8">
        <f>(3^3*F31-4^3*F32)/(3^3-4^3)</f>
        <v>-0.4461752084</v>
      </c>
      <c r="G33" s="8"/>
      <c r="H33" s="107">
        <f>H30-F30+F33</f>
        <v>-0.463423497</v>
      </c>
      <c r="I33" s="8">
        <f>(3^3*I31-4^3*I32)/(3^3-4^3)</f>
        <v>-1.37469922</v>
      </c>
      <c r="J33" s="8"/>
      <c r="K33" s="107">
        <f>K30-I30+I33</f>
        <v>-1.402802947</v>
      </c>
      <c r="L33" s="8">
        <f t="shared" si="1"/>
        <v>-1.866226444</v>
      </c>
      <c r="M33" s="8">
        <v>-1.8749237646172319</v>
      </c>
      <c r="N33" s="8">
        <f t="shared" si="2"/>
        <v>11.30651634</v>
      </c>
    </row>
  </sheetData>
  <conditionalFormatting sqref="N2:N33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88"/>
  </cols>
  <sheetData>
    <row r="1">
      <c r="A1" s="1" t="s">
        <v>169</v>
      </c>
      <c r="B1" s="1" t="s">
        <v>170</v>
      </c>
      <c r="C1" s="1" t="s">
        <v>42</v>
      </c>
      <c r="D1" s="1" t="s">
        <v>171</v>
      </c>
      <c r="E1" s="1" t="s">
        <v>172</v>
      </c>
      <c r="F1" s="1" t="s">
        <v>173</v>
      </c>
      <c r="G1" s="1" t="s">
        <v>174</v>
      </c>
    </row>
    <row r="2">
      <c r="A2" s="1" t="s">
        <v>175</v>
      </c>
      <c r="B2" s="59">
        <v>-224.814496986509</v>
      </c>
      <c r="C2" s="12">
        <v>-0.793637241460915</v>
      </c>
      <c r="D2" s="59">
        <v>-56.3920025291245</v>
      </c>
      <c r="E2" s="12">
        <f t="shared" ref="E2:E4" si="1">-((B2+C2)/4-D2)*2600</f>
        <v>26.08067246</v>
      </c>
      <c r="F2" s="12">
        <f t="shared" ref="F2:F4" si="2">E2-$E$4</f>
        <v>0.1181659638</v>
      </c>
      <c r="G2" s="1">
        <v>26.01</v>
      </c>
    </row>
    <row r="3">
      <c r="A3" s="1" t="s">
        <v>176</v>
      </c>
      <c r="B3" s="59">
        <v>-224.814496986509</v>
      </c>
      <c r="C3" s="12">
        <v>-0.793637241460915</v>
      </c>
      <c r="D3" s="59">
        <v>-56.392036847484</v>
      </c>
      <c r="E3" s="12">
        <f t="shared" si="1"/>
        <v>25.99144472</v>
      </c>
      <c r="F3" s="12">
        <f t="shared" si="2"/>
        <v>0.02893822905</v>
      </c>
      <c r="G3" s="1">
        <v>26.01</v>
      </c>
    </row>
    <row r="4">
      <c r="A4" s="1" t="s">
        <v>177</v>
      </c>
      <c r="B4" s="59">
        <v>-224.814496986509</v>
      </c>
      <c r="C4" s="12">
        <v>-0.793637241460915</v>
      </c>
      <c r="D4" s="59">
        <v>-56.3920479775721</v>
      </c>
      <c r="E4" s="12">
        <f t="shared" si="1"/>
        <v>25.96250649</v>
      </c>
      <c r="F4" s="12">
        <f t="shared" si="2"/>
        <v>0</v>
      </c>
      <c r="G4" s="1">
        <v>26.01</v>
      </c>
    </row>
    <row r="5">
      <c r="A5" s="1" t="s">
        <v>178</v>
      </c>
      <c r="B5" s="7" t="s">
        <v>170</v>
      </c>
      <c r="C5" s="7" t="s">
        <v>42</v>
      </c>
      <c r="D5" s="7" t="s">
        <v>171</v>
      </c>
      <c r="E5" s="7" t="s">
        <v>172</v>
      </c>
      <c r="F5" s="1" t="s">
        <v>173</v>
      </c>
      <c r="G5" s="7" t="s">
        <v>174</v>
      </c>
      <c r="H5" s="8"/>
      <c r="I5" s="8"/>
    </row>
    <row r="6">
      <c r="A6" s="1" t="s">
        <v>179</v>
      </c>
      <c r="B6" s="7">
        <v>-750.62502445259</v>
      </c>
      <c r="C6" s="8">
        <v>-1.9551083232746995</v>
      </c>
      <c r="D6" s="7">
        <v>-188.139075490319</v>
      </c>
      <c r="E6" s="8">
        <f t="shared" ref="E6:E8" si="3">-((B6+C6)/4-D6)*2600</f>
        <v>15.49002948</v>
      </c>
      <c r="F6" s="8">
        <f t="shared" ref="F6:F8" si="4">E6-$E$8</f>
        <v>0.685139871</v>
      </c>
      <c r="G6" s="8">
        <v>14.379470519202187</v>
      </c>
      <c r="H6" s="8"/>
      <c r="I6" s="8"/>
    </row>
    <row r="7">
      <c r="A7" s="1" t="s">
        <v>180</v>
      </c>
      <c r="B7" s="7">
        <v>-750.62502445259</v>
      </c>
      <c r="C7" s="8">
        <v>-1.9551083232746995</v>
      </c>
      <c r="D7" s="7">
        <v>-188.139258242329</v>
      </c>
      <c r="E7" s="8">
        <f t="shared" si="3"/>
        <v>15.01487426</v>
      </c>
      <c r="F7" s="8">
        <f t="shared" si="4"/>
        <v>0.209984645</v>
      </c>
      <c r="G7" s="8">
        <v>14.379470519202187</v>
      </c>
    </row>
    <row r="8">
      <c r="A8" s="1" t="s">
        <v>181</v>
      </c>
      <c r="B8" s="7">
        <v>-750.62502445259</v>
      </c>
      <c r="C8" s="8">
        <v>-1.9551083232746995</v>
      </c>
      <c r="D8" s="7">
        <v>-188.139339005654</v>
      </c>
      <c r="E8" s="8">
        <f t="shared" si="3"/>
        <v>14.80488961</v>
      </c>
      <c r="F8" s="8">
        <f t="shared" si="4"/>
        <v>0</v>
      </c>
      <c r="G8" s="8">
        <v>14.379470519202187</v>
      </c>
    </row>
    <row r="9">
      <c r="A9" s="1" t="s">
        <v>182</v>
      </c>
      <c r="B9" s="7" t="s">
        <v>183</v>
      </c>
      <c r="C9" s="7" t="s">
        <v>42</v>
      </c>
      <c r="D9" s="7" t="s">
        <v>171</v>
      </c>
      <c r="E9" s="7" t="s">
        <v>172</v>
      </c>
      <c r="F9" s="1" t="s">
        <v>173</v>
      </c>
      <c r="G9" s="7" t="s">
        <v>174</v>
      </c>
    </row>
    <row r="10">
      <c r="A10" s="1" t="s">
        <v>179</v>
      </c>
      <c r="B10" s="1">
        <v>-448.074609772541</v>
      </c>
      <c r="C10" s="8">
        <v>-1.3310390050304886</v>
      </c>
      <c r="D10" s="7">
        <v>-224.665026679039</v>
      </c>
      <c r="E10" s="8">
        <f t="shared" ref="E10:E12" si="5">-((B10+C10)/2-D10)*2600</f>
        <v>98.27404534</v>
      </c>
      <c r="F10" s="8">
        <f t="shared" ref="F10:F12" si="6">E10-$E$12</f>
        <v>1.16298455</v>
      </c>
      <c r="G10" s="8">
        <v>97.4686211385972</v>
      </c>
    </row>
    <row r="11">
      <c r="A11" s="1" t="s">
        <v>180</v>
      </c>
      <c r="B11" s="1">
        <v>-448.074609772541</v>
      </c>
      <c r="C11" s="8">
        <v>-1.3310390050304886</v>
      </c>
      <c r="D11" s="7">
        <v>-224.665395112123</v>
      </c>
      <c r="E11" s="8">
        <f t="shared" si="5"/>
        <v>97.31611932</v>
      </c>
      <c r="F11" s="8">
        <f t="shared" si="6"/>
        <v>0.2050585315</v>
      </c>
      <c r="G11" s="8">
        <v>97.4686211385972</v>
      </c>
    </row>
    <row r="12">
      <c r="A12" s="1" t="s">
        <v>181</v>
      </c>
      <c r="B12" s="1">
        <v>-448.074609772541</v>
      </c>
      <c r="C12" s="8">
        <v>-1.3310390050304886</v>
      </c>
      <c r="D12" s="7">
        <v>-224.665473980789</v>
      </c>
      <c r="E12" s="8">
        <f t="shared" si="5"/>
        <v>97.11106079</v>
      </c>
      <c r="F12" s="8">
        <f t="shared" si="6"/>
        <v>0</v>
      </c>
      <c r="G12" s="8">
        <v>97.4686211385972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184</v>
      </c>
      <c r="B1" s="1" t="s">
        <v>38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</row>
    <row r="2">
      <c r="A2" s="1" t="s">
        <v>14</v>
      </c>
      <c r="B2" s="1">
        <v>4.0</v>
      </c>
      <c r="C2" s="108">
        <v>-224.937660348024</v>
      </c>
      <c r="D2" s="109">
        <f>total!E6</f>
        <v>-224.8345534</v>
      </c>
      <c r="E2" s="109">
        <f>total!F6</f>
        <v>-224.8203648</v>
      </c>
      <c r="F2" s="109">
        <f t="shared" ref="F2:F12" si="1">D2+(-0.13)*(E2-D2)/(0.04-0.13)</f>
        <v>-224.8140588</v>
      </c>
      <c r="G2" s="108">
        <v>-224.790738508494</v>
      </c>
      <c r="H2" s="108">
        <v>-224.814496394214</v>
      </c>
      <c r="I2" s="108">
        <v>-224.814546320441</v>
      </c>
      <c r="J2" s="8">
        <f t="shared" ref="J2:J12" si="2">(F2-I2)*2600/B2</f>
        <v>0.3168784271</v>
      </c>
      <c r="K2" s="8">
        <f t="shared" ref="K2:K12" si="3">(F2-H2)*2600/B2</f>
        <v>0.2844263795</v>
      </c>
      <c r="L2" s="8">
        <f t="shared" ref="L2:L12" si="4">(F2-G2)*2600/B2</f>
        <v>-15.15819934</v>
      </c>
    </row>
    <row r="3">
      <c r="A3" s="1" t="s">
        <v>51</v>
      </c>
      <c r="B3" s="1">
        <v>4.0</v>
      </c>
      <c r="C3" s="109">
        <f>total!E18</f>
        <v>-750.7862463</v>
      </c>
      <c r="D3" s="109">
        <f>total!F18</f>
        <v>-750.6436822</v>
      </c>
      <c r="E3" s="108">
        <v>-750.629304997108</v>
      </c>
      <c r="F3" s="109">
        <f t="shared" si="1"/>
        <v>-750.6229151</v>
      </c>
      <c r="G3" s="108">
        <v>-750.626975213091</v>
      </c>
      <c r="H3" s="108">
        <v>-750.625023551729</v>
      </c>
      <c r="I3" s="108">
        <v>-750.625028709925</v>
      </c>
      <c r="J3" s="8">
        <f t="shared" si="2"/>
        <v>1.373826023</v>
      </c>
      <c r="K3" s="8">
        <f t="shared" si="3"/>
        <v>1.370473195</v>
      </c>
      <c r="L3" s="8">
        <f t="shared" si="4"/>
        <v>2.63905308</v>
      </c>
    </row>
    <row r="4">
      <c r="A4" s="1" t="s">
        <v>52</v>
      </c>
      <c r="B4" s="1">
        <v>2.0</v>
      </c>
      <c r="C4" s="108">
        <v>-644.004570670204</v>
      </c>
      <c r="D4" s="108">
        <v>-643.876552104076</v>
      </c>
      <c r="E4" s="108">
        <v>-643.860501494669</v>
      </c>
      <c r="F4" s="109">
        <f t="shared" si="1"/>
        <v>-643.8533679</v>
      </c>
      <c r="G4" s="108">
        <v>-643.856624552024</v>
      </c>
      <c r="H4" s="108">
        <v>-643.854843654979</v>
      </c>
      <c r="I4" s="108">
        <v>-643.854980759907</v>
      </c>
      <c r="J4" s="8">
        <f t="shared" si="2"/>
        <v>2.096730245</v>
      </c>
      <c r="K4" s="8">
        <f t="shared" si="3"/>
        <v>1.918493838</v>
      </c>
      <c r="L4" s="8">
        <f t="shared" si="4"/>
        <v>4.233659997</v>
      </c>
    </row>
    <row r="5">
      <c r="A5" s="1" t="s">
        <v>21</v>
      </c>
      <c r="B5" s="1">
        <v>1.0</v>
      </c>
      <c r="C5" s="108">
        <v>-452.217052612106</v>
      </c>
      <c r="D5" s="108">
        <v>-452.006497273322</v>
      </c>
      <c r="E5" s="108">
        <v>-451.986784594919</v>
      </c>
      <c r="F5" s="109">
        <f t="shared" si="1"/>
        <v>-451.9780234</v>
      </c>
      <c r="G5" s="108">
        <v>-451.968916519955</v>
      </c>
      <c r="H5" s="108">
        <v>-451.979562947471</v>
      </c>
      <c r="I5" s="108">
        <v>-451.979481954912</v>
      </c>
      <c r="J5" s="8">
        <f t="shared" si="2"/>
        <v>3.792231025</v>
      </c>
      <c r="K5" s="8">
        <f t="shared" si="3"/>
        <v>4.002811679</v>
      </c>
      <c r="L5" s="8">
        <f t="shared" si="4"/>
        <v>-23.67789986</v>
      </c>
    </row>
    <row r="6">
      <c r="A6" s="1" t="s">
        <v>195</v>
      </c>
      <c r="B6" s="1">
        <v>1.0</v>
      </c>
      <c r="C6" s="1">
        <v>-452.217235626993</v>
      </c>
      <c r="D6" s="1">
        <v>-452.006658124353</v>
      </c>
      <c r="E6" s="1">
        <v>-451.986944638018</v>
      </c>
      <c r="F6" s="109">
        <f t="shared" si="1"/>
        <v>-451.9781831</v>
      </c>
      <c r="G6" s="108">
        <v>-451.968396930564</v>
      </c>
      <c r="H6" s="108">
        <v>-451.979072154849</v>
      </c>
      <c r="I6" s="108">
        <v>-451.978992776976</v>
      </c>
      <c r="J6" s="8">
        <f t="shared" si="2"/>
        <v>2.105189945</v>
      </c>
      <c r="K6" s="8">
        <f t="shared" si="3"/>
        <v>2.311572415</v>
      </c>
      <c r="L6" s="8">
        <f t="shared" si="4"/>
        <v>-25.44401073</v>
      </c>
    </row>
    <row r="7">
      <c r="A7" s="1" t="s">
        <v>53</v>
      </c>
      <c r="B7" s="1">
        <v>2.0</v>
      </c>
      <c r="C7" s="108">
        <v>-763.497582844725</v>
      </c>
      <c r="D7" s="108">
        <v>-763.300165393828</v>
      </c>
      <c r="E7" s="108">
        <v>-763.282105286511</v>
      </c>
      <c r="F7" s="109">
        <f t="shared" si="1"/>
        <v>-763.2740786</v>
      </c>
      <c r="G7" s="108">
        <v>-763.265920624083</v>
      </c>
      <c r="H7" s="108">
        <v>-763.27593911899</v>
      </c>
      <c r="I7" s="108">
        <v>-763.275990468803</v>
      </c>
      <c r="J7" s="8">
        <f t="shared" si="2"/>
        <v>2.485465652</v>
      </c>
      <c r="K7" s="8">
        <f t="shared" si="3"/>
        <v>2.418710895</v>
      </c>
      <c r="L7" s="8">
        <f t="shared" si="4"/>
        <v>-10.60533248</v>
      </c>
    </row>
    <row r="8">
      <c r="A8" s="1" t="s">
        <v>91</v>
      </c>
      <c r="B8" s="1">
        <v>4.0</v>
      </c>
      <c r="C8" s="108">
        <v>-899.633179901742</v>
      </c>
      <c r="D8" s="108">
        <v>-899.411044961222</v>
      </c>
      <c r="E8" s="108">
        <v>-899.391967372517</v>
      </c>
      <c r="F8" s="109">
        <f t="shared" si="1"/>
        <v>-899.3834884</v>
      </c>
      <c r="G8" s="108">
        <v>-899.383559700323</v>
      </c>
      <c r="H8" s="108">
        <v>-899.386369290138</v>
      </c>
      <c r="I8" s="108">
        <v>-899.386532441725</v>
      </c>
      <c r="J8" s="8">
        <f t="shared" si="2"/>
        <v>1.978598389</v>
      </c>
      <c r="K8" s="8">
        <f t="shared" si="3"/>
        <v>1.872549857</v>
      </c>
      <c r="L8" s="8">
        <f t="shared" si="4"/>
        <v>0.04631647756</v>
      </c>
    </row>
    <row r="9">
      <c r="A9" s="1" t="s">
        <v>54</v>
      </c>
      <c r="B9" s="1">
        <v>2.0</v>
      </c>
      <c r="C9" s="108">
        <v>-766.994323691078</v>
      </c>
      <c r="D9" s="108">
        <v>-766.77388384322</v>
      </c>
      <c r="E9" s="108">
        <v>-766.753516365352</v>
      </c>
      <c r="F9" s="109">
        <f t="shared" si="1"/>
        <v>-766.7444642</v>
      </c>
      <c r="G9" s="108">
        <v>-766.708357708364</v>
      </c>
      <c r="H9" s="108">
        <v>-766.746333811859</v>
      </c>
      <c r="I9" s="108">
        <v>-766.746483545415</v>
      </c>
      <c r="J9" s="8">
        <f t="shared" si="2"/>
        <v>2.625210183</v>
      </c>
      <c r="K9" s="8">
        <f t="shared" si="3"/>
        <v>2.430556561</v>
      </c>
      <c r="L9" s="8">
        <f t="shared" si="4"/>
        <v>-46.93837798</v>
      </c>
    </row>
    <row r="10">
      <c r="A10" s="1" t="s">
        <v>55</v>
      </c>
      <c r="B10" s="1">
        <v>4.0</v>
      </c>
      <c r="C10" s="108">
        <v>-1505.93510078832</v>
      </c>
      <c r="D10" s="108">
        <v>-1505.75261419037</v>
      </c>
      <c r="E10" s="108">
        <v>-1505.73353040406</v>
      </c>
      <c r="F10" s="109">
        <f t="shared" si="1"/>
        <v>-1505.725049</v>
      </c>
      <c r="G10" s="108">
        <v>-1505.72516870281</v>
      </c>
      <c r="H10" s="108">
        <v>-1505.72880164135</v>
      </c>
      <c r="I10" s="108">
        <v>-1505.72874312837</v>
      </c>
      <c r="J10" s="8">
        <f t="shared" si="2"/>
        <v>2.401364624</v>
      </c>
      <c r="K10" s="8">
        <f t="shared" si="3"/>
        <v>2.439398061</v>
      </c>
      <c r="L10" s="8">
        <f t="shared" si="4"/>
        <v>0.07798801025</v>
      </c>
    </row>
    <row r="11">
      <c r="A11" s="1" t="s">
        <v>196</v>
      </c>
      <c r="B11" s="1">
        <v>2.0</v>
      </c>
      <c r="C11" s="108">
        <v>-753.06684647228</v>
      </c>
      <c r="D11" s="108">
        <v>-752.883791086452</v>
      </c>
      <c r="E11" s="108">
        <v>-752.864978346944</v>
      </c>
      <c r="F11" s="109">
        <f t="shared" si="1"/>
        <v>-752.8566171</v>
      </c>
      <c r="G11" s="108">
        <v>-752.836196241921</v>
      </c>
      <c r="H11" s="108">
        <v>-752.857686007577</v>
      </c>
      <c r="I11" s="108">
        <v>-752.858415521013</v>
      </c>
      <c r="J11" s="8">
        <f t="shared" si="2"/>
        <v>2.337909117</v>
      </c>
      <c r="K11" s="8">
        <f t="shared" si="3"/>
        <v>1.38954165</v>
      </c>
      <c r="L11" s="8">
        <f t="shared" si="4"/>
        <v>-26.5471537</v>
      </c>
    </row>
    <row r="12">
      <c r="A12" s="1" t="s">
        <v>31</v>
      </c>
      <c r="B12" s="1">
        <v>2.0</v>
      </c>
      <c r="C12" s="108">
        <v>-448.259185876276</v>
      </c>
      <c r="D12" s="108">
        <v>-448.097139673063</v>
      </c>
      <c r="E12" s="108">
        <v>-448.080868611401</v>
      </c>
      <c r="F12" s="109">
        <f t="shared" si="1"/>
        <v>-448.073637</v>
      </c>
      <c r="G12" s="108">
        <v>-448.10067826851</v>
      </c>
      <c r="H12" s="108">
        <v>-448.073939800426</v>
      </c>
      <c r="I12" s="108">
        <v>-448.074608361003</v>
      </c>
      <c r="J12" s="8">
        <f t="shared" si="2"/>
        <v>1.262732332</v>
      </c>
      <c r="K12" s="8">
        <f t="shared" si="3"/>
        <v>0.3936035817</v>
      </c>
      <c r="L12" s="8">
        <f t="shared" si="4"/>
        <v>35.15361209</v>
      </c>
    </row>
  </sheetData>
  <conditionalFormatting sqref="J2:L12">
    <cfRule type="colorScale" priority="1">
      <colorScale>
        <cfvo type="min"/>
        <cfvo type="formula" val="0"/>
        <cfvo type="max"/>
        <color rgb="FFE67C73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17.63"/>
    <col customWidth="1" min="8" max="9" width="20.88"/>
    <col customWidth="1" min="10" max="10" width="13.13"/>
  </cols>
  <sheetData>
    <row r="1">
      <c r="A1" s="7" t="s">
        <v>0</v>
      </c>
      <c r="B1" s="7" t="s">
        <v>38</v>
      </c>
      <c r="C1" s="7" t="s">
        <v>39</v>
      </c>
      <c r="D1" s="7" t="s">
        <v>40</v>
      </c>
      <c r="E1" s="1" t="s">
        <v>41</v>
      </c>
      <c r="F1" s="7" t="s">
        <v>42</v>
      </c>
      <c r="G1" s="7" t="s">
        <v>43</v>
      </c>
      <c r="H1" s="1" t="s">
        <v>44</v>
      </c>
      <c r="I1" s="1" t="s">
        <v>45</v>
      </c>
      <c r="J1" s="1" t="s">
        <v>11</v>
      </c>
    </row>
    <row r="2">
      <c r="A2" s="7" t="s">
        <v>46</v>
      </c>
      <c r="B2" s="7">
        <v>4.0</v>
      </c>
      <c r="C2" s="7" t="s">
        <v>47</v>
      </c>
      <c r="D2" s="8">
        <f>-(total!G2/$B2-shell_e!D2+relax_e!D2)*2625.5</f>
        <v>20.374609</v>
      </c>
      <c r="E2" s="8">
        <f t="shared" ref="E2:E81" si="1">F2-D2</f>
        <v>31.79547632</v>
      </c>
      <c r="F2" s="8">
        <f>-((total!G2+ssos_corr!E2)/$B2-(shell_e!D2+shell_e!G2)+relax_e!D2+relax_e!G2)*2625.5</f>
        <v>52.17008532</v>
      </c>
      <c r="G2" s="8">
        <f>-((total!$G2+ssos_corr!F2)/$B2-(shell_e!$D2+shell_e!H2)+relax_e!$D2+relax_e!H2)*2625.5</f>
        <v>40.88289932</v>
      </c>
      <c r="H2" s="8">
        <f>-((total!$G2+ssos_corr!G2)/$B2-(shell_e!$D2+shell_e!I2)+relax_e!$D2+relax_e!I2)*2625.5</f>
        <v>35.23930632</v>
      </c>
      <c r="I2" s="8">
        <f>-((total!$G2+ssos_corr!H2)/$B2-(shell_e!$D2+shell_e!J2)+relax_e!$D2+relax_e!J2)*2625.5</f>
        <v>51.21417298</v>
      </c>
      <c r="J2" s="1" t="s">
        <v>13</v>
      </c>
    </row>
    <row r="3">
      <c r="A3" s="7" t="s">
        <v>46</v>
      </c>
      <c r="B3" s="7">
        <v>4.0</v>
      </c>
      <c r="C3" s="7" t="s">
        <v>48</v>
      </c>
      <c r="D3" s="8">
        <f>-(total!G3/$B3-shell_e!D3+relax_e!D3)*2625.5</f>
        <v>17.11765292</v>
      </c>
      <c r="E3" s="8">
        <f t="shared" si="1"/>
        <v>48.36662324</v>
      </c>
      <c r="F3" s="8">
        <f>-((total!G3+ssos_corr!E3)/$B3-(shell_e!D3+shell_e!G3)+relax_e!D3+relax_e!G3)*2625.5</f>
        <v>65.48427616</v>
      </c>
      <c r="G3" s="8">
        <f>-((total!$G3+ssos_corr!F3)/$B3-(shell_e!$D3+shell_e!H3)+relax_e!$D3+relax_e!H3)*2625.5</f>
        <v>51.31206083</v>
      </c>
      <c r="H3" s="8">
        <f>-((total!$G3+ssos_corr!G3)/$B3-(shell_e!$D3+shell_e!I3)+relax_e!$D3+relax_e!I3)*2625.5</f>
        <v>44.22595317</v>
      </c>
      <c r="I3" s="8">
        <f>-((total!$G3+ssos_corr!H3)/$B3-(shell_e!$D3+shell_e!J3)+relax_e!$D3+relax_e!J3)*2625.5</f>
        <v>60.9518375</v>
      </c>
      <c r="J3" s="1" t="s">
        <v>13</v>
      </c>
    </row>
    <row r="4">
      <c r="A4" s="7" t="s">
        <v>46</v>
      </c>
      <c r="B4" s="7">
        <v>4.0</v>
      </c>
      <c r="C4" s="7" t="s">
        <v>49</v>
      </c>
      <c r="D4" s="8">
        <f>-(total!G4/$B4-shell_e!D4+relax_e!D4)*2625.5</f>
        <v>16.64447436</v>
      </c>
      <c r="E4" s="8">
        <f t="shared" si="1"/>
        <v>53.110129</v>
      </c>
      <c r="F4" s="8">
        <f>-((total!G4+ssos_corr!E4)/$B4-(shell_e!D4+shell_e!G4)+relax_e!D4+relax_e!G4)*2625.5</f>
        <v>69.75460336</v>
      </c>
      <c r="G4" s="8">
        <f>-((total!$G4+ssos_corr!F4)/$B4-(shell_e!$D4+shell_e!H4)+relax_e!$D4+relax_e!H4)*2625.5</f>
        <v>54.84485568</v>
      </c>
      <c r="H4" s="8">
        <f>-((total!$G4+ssos_corr!G4)/$B4-(shell_e!$D4+shell_e!I4)+relax_e!$D4+relax_e!I4)*2625.5</f>
        <v>47.38998184</v>
      </c>
      <c r="I4" s="8">
        <f>-((total!$G4+ssos_corr!H4)/$B4-(shell_e!$D4+shell_e!J4)+relax_e!$D4+relax_e!J4)*2625.5</f>
        <v>64.10769335</v>
      </c>
      <c r="J4" s="1" t="s">
        <v>13</v>
      </c>
    </row>
    <row r="5">
      <c r="A5" s="7" t="s">
        <v>46</v>
      </c>
      <c r="B5" s="7">
        <v>4.0</v>
      </c>
      <c r="C5" s="7" t="s">
        <v>50</v>
      </c>
      <c r="D5" s="8">
        <f>-(total!G5/$B5-shell_e!D5+relax_e!D5)*2625.5</f>
        <v>16.64447436</v>
      </c>
      <c r="E5" s="8">
        <f t="shared" si="1"/>
        <v>55.85067977</v>
      </c>
      <c r="F5" s="8">
        <f>-((total!G5+ssos_corr!E5)/$B5-(shell_e!D5+shell_e!G5)+relax_e!D5+relax_e!G5)*2625.5</f>
        <v>72.49515413</v>
      </c>
      <c r="G5" s="8">
        <f>-((total!$G5+ssos_corr!F5)/$B5-(shell_e!$D5+shell_e!H5)+relax_e!$D5+relax_e!H5)*2625.5</f>
        <v>57.14452544</v>
      </c>
      <c r="H5" s="8">
        <f>-((total!$G5+ssos_corr!G5)/$B5-(shell_e!$D5+shell_e!I5)+relax_e!$D5+relax_e!I5)*2625.5</f>
        <v>49.46921109</v>
      </c>
      <c r="I5" s="8">
        <f>-((total!$G5+ssos_corr!H5)/$B5-(shell_e!$D5+shell_e!J5)+relax_e!$D5+relax_e!J5)*2625.5</f>
        <v>66.2195315</v>
      </c>
      <c r="J5" s="1" t="s">
        <v>13</v>
      </c>
    </row>
    <row r="6">
      <c r="A6" s="7" t="s">
        <v>14</v>
      </c>
      <c r="B6" s="7">
        <v>4.0</v>
      </c>
      <c r="C6" s="7" t="s">
        <v>47</v>
      </c>
      <c r="D6" s="8">
        <f>-(total!G6/$B6-shell_e!D10+relax_e!D10)*2625.5</f>
        <v>5.955763294</v>
      </c>
      <c r="E6" s="8">
        <f t="shared" si="1"/>
        <v>19.40269455</v>
      </c>
      <c r="F6" s="8">
        <f>-((total!G6+ssos_corr!E10)/$B6-(shell_e!D10+shell_e!G10)+relax_e!D10+relax_e!G10)*2625.5</f>
        <v>25.35845785</v>
      </c>
      <c r="G6" s="8">
        <f>-((total!$G6+ssos_corr!F10)/$B6-(shell_e!$D10+shell_e!H10)+relax_e!$D10+relax_e!H10)*2625.5</f>
        <v>19.50081503</v>
      </c>
      <c r="H6" s="8">
        <f>-((total!$G6+ssos_corr!G10)/$B6-(shell_e!$D10+shell_e!I10)+relax_e!$D10+relax_e!I10)*2625.5</f>
        <v>16.57199362</v>
      </c>
      <c r="I6" s="8">
        <f>-((total!$G6+ssos_corr!H10)/$B6-(shell_e!$D10+shell_e!J10)+relax_e!$D10+relax_e!J10)*2625.5</f>
        <v>23.71720466</v>
      </c>
      <c r="J6" s="1" t="s">
        <v>13</v>
      </c>
    </row>
    <row r="7">
      <c r="A7" s="7" t="s">
        <v>14</v>
      </c>
      <c r="B7" s="7">
        <v>4.0</v>
      </c>
      <c r="C7" s="7" t="s">
        <v>48</v>
      </c>
      <c r="D7" s="8">
        <f>-(total!G7/$B7-shell_e!D11+relax_e!D11)*2625.5</f>
        <v>5.014239518</v>
      </c>
      <c r="E7" s="8">
        <f t="shared" si="1"/>
        <v>29.02844707</v>
      </c>
      <c r="F7" s="8">
        <f>-((total!G7+ssos_corr!E11)/$B7-(shell_e!D11+shell_e!G11)+relax_e!D11+relax_e!G11)*2625.5</f>
        <v>34.04268659</v>
      </c>
      <c r="G7" s="8">
        <f>-((total!$G7+ssos_corr!F11)/$B7-(shell_e!$D11+shell_e!H11)+relax_e!$D11+relax_e!H11)*2625.5</f>
        <v>26.58393968</v>
      </c>
      <c r="H7" s="8">
        <f>-((total!$G7+ssos_corr!G11)/$B7-(shell_e!$D11+shell_e!I11)+relax_e!$D11+relax_e!I11)*2625.5</f>
        <v>22.85456623</v>
      </c>
      <c r="I7" s="8">
        <f>-((total!$G7+ssos_corr!H11)/$B7-(shell_e!$D11+shell_e!J11)+relax_e!$D11+relax_e!J11)*2625.5</f>
        <v>30.2471741</v>
      </c>
      <c r="J7" s="1" t="s">
        <v>13</v>
      </c>
    </row>
    <row r="8">
      <c r="A8" s="7" t="s">
        <v>14</v>
      </c>
      <c r="B8" s="7">
        <v>4.0</v>
      </c>
      <c r="C8" s="7" t="s">
        <v>49</v>
      </c>
      <c r="D8" s="8">
        <f>-(total!G8/$B8-shell_e!D12+relax_e!D12)*2625.5</f>
        <v>4.75651337</v>
      </c>
      <c r="E8" s="8">
        <f t="shared" si="1"/>
        <v>31.66266204</v>
      </c>
      <c r="F8" s="8">
        <f>-((total!G8+ssos_corr!E12)/$B8-(shell_e!D12+shell_e!G12)+relax_e!D12+relax_e!G12)*2625.5</f>
        <v>36.41917541</v>
      </c>
      <c r="G8" s="8">
        <f>-((total!$G8+ssos_corr!F12)/$B8-(shell_e!$D12+shell_e!H12)+relax_e!$D12+relax_e!H12)*2625.5</f>
        <v>28.64258649</v>
      </c>
      <c r="H8" s="8">
        <f>-((total!$G8+ssos_corr!G12)/$B8-(shell_e!$D12+shell_e!I12)+relax_e!$D12+relax_e!I12)*2625.5</f>
        <v>24.75429203</v>
      </c>
      <c r="I8" s="8">
        <f>-((total!$G8+ssos_corr!H12)/$B8-(shell_e!$D12+shell_e!J12)+relax_e!$D12+relax_e!J12)*2625.5</f>
        <v>31.91056047</v>
      </c>
      <c r="J8" s="1" t="s">
        <v>13</v>
      </c>
    </row>
    <row r="9">
      <c r="A9" s="7" t="s">
        <v>14</v>
      </c>
      <c r="B9" s="7">
        <v>4.0</v>
      </c>
      <c r="C9" s="7" t="s">
        <v>50</v>
      </c>
      <c r="D9" s="8">
        <f>-(total!G9/$B9-shell_e!D13+relax_e!D13)*2625.5</f>
        <v>4.75651337</v>
      </c>
      <c r="E9" s="8">
        <f t="shared" si="1"/>
        <v>33.58492702</v>
      </c>
      <c r="F9" s="8">
        <f>-((total!G9+ssos_corr!E13)/$B9-(shell_e!D13+shell_e!G13)+relax_e!D13+relax_e!G13)*2625.5</f>
        <v>38.34144039</v>
      </c>
      <c r="G9" s="8">
        <f>-((total!$G9+ssos_corr!F13)/$B9-(shell_e!$D13+shell_e!H13)+relax_e!$D13+relax_e!H13)*2625.5</f>
        <v>30.3329127</v>
      </c>
      <c r="H9" s="8">
        <f>-((total!$G9+ssos_corr!G13)/$B9-(shell_e!$D13+shell_e!I13)+relax_e!$D13+relax_e!I13)*2625.5</f>
        <v>26.32864886</v>
      </c>
      <c r="I9" s="8">
        <f>-((total!$G9+ssos_corr!H13)/$B9-(shell_e!$D13+shell_e!J13)+relax_e!$D13+relax_e!J13)*2625.5</f>
        <v>33.31245339</v>
      </c>
      <c r="J9" s="1" t="s">
        <v>13</v>
      </c>
    </row>
    <row r="10">
      <c r="A10" s="1" t="s">
        <v>33</v>
      </c>
      <c r="B10" s="1">
        <v>2.0</v>
      </c>
      <c r="C10" s="1" t="s">
        <v>47</v>
      </c>
      <c r="D10" s="8">
        <f>-(total!G10/$B10-shell_e!D14+relax_e!D14)*2625.5</f>
        <v>-58.59192201</v>
      </c>
      <c r="E10" s="8">
        <f t="shared" si="1"/>
        <v>191.8852598</v>
      </c>
      <c r="F10" s="8">
        <f>-((total!G10+ssos_corr!E14)/$B10-(shell_e!D14+shell_e!G14)+relax_e!D14+relax_e!G14)*2625.5</f>
        <v>133.2933378</v>
      </c>
      <c r="G10" s="8">
        <f>-((total!$G10+ssos_corr!F14)/$B10-(shell_e!$D14+shell_e!H14)+relax_e!$D14+relax_e!H14)*2625.5</f>
        <v>90.26917044</v>
      </c>
      <c r="H10" s="8">
        <f>-((total!$G10+ssos_corr!G14)/$B10-(shell_e!$D14+shell_e!I14)+relax_e!$D14+relax_e!I14)*2625.5</f>
        <v>68.75708676</v>
      </c>
      <c r="I10" s="8">
        <f>-((total!$G10+ssos_corr!H14)/$B10-(shell_e!$D14+shell_e!J14)+relax_e!$D14+relax_e!J14)*2625.5</f>
        <v>101.7549725</v>
      </c>
      <c r="J10" s="1" t="s">
        <v>16</v>
      </c>
    </row>
    <row r="11">
      <c r="A11" s="1" t="s">
        <v>33</v>
      </c>
      <c r="B11" s="1">
        <v>2.0</v>
      </c>
      <c r="C11" s="1" t="s">
        <v>48</v>
      </c>
      <c r="D11" s="8">
        <f>-(total!G11/$B11-shell_e!D15+relax_e!D15)*2625.5</f>
        <v>-65.08304446</v>
      </c>
      <c r="E11" s="8">
        <f t="shared" si="1"/>
        <v>225.3103824</v>
      </c>
      <c r="F11" s="8">
        <f>-((total!G11+ssos_corr!E15)/$B11-(shell_e!D15+shell_e!G15)+relax_e!D15+relax_e!G15)*2625.5</f>
        <v>160.2273379</v>
      </c>
      <c r="G11" s="8">
        <f>-((total!$G11+ssos_corr!F15)/$B11-(shell_e!$D15+shell_e!H15)+relax_e!$D15+relax_e!H15)*2625.5</f>
        <v>112.3664289</v>
      </c>
      <c r="H11" s="8">
        <f>-((total!$G11+ssos_corr!G15)/$B11-(shell_e!$D15+shell_e!I15)+relax_e!$D15+relax_e!I15)*2625.5</f>
        <v>88.43597433</v>
      </c>
      <c r="I11" s="8">
        <f>-((total!$G11+ssos_corr!H15)/$B11-(shell_e!$D15+shell_e!J15)+relax_e!$D15+relax_e!J15)*2625.5</f>
        <v>120.4658668</v>
      </c>
      <c r="J11" s="1" t="s">
        <v>16</v>
      </c>
    </row>
    <row r="12">
      <c r="A12" s="1" t="s">
        <v>33</v>
      </c>
      <c r="B12" s="1">
        <v>2.0</v>
      </c>
      <c r="C12" s="1" t="s">
        <v>49</v>
      </c>
      <c r="D12" s="8">
        <f>-(total!G12/$B12-shell_e!D16+relax_e!D16)*2625.5</f>
        <v>-66.1516402</v>
      </c>
      <c r="E12" s="8">
        <f t="shared" si="1"/>
        <v>219.3447381</v>
      </c>
      <c r="F12" s="8">
        <f>-((total!G12+ssos_corr!E16)/$B12-(shell_e!D16+shell_e!G16)+relax_e!D16+relax_e!G16)*2625.5</f>
        <v>153.1930979</v>
      </c>
      <c r="G12" s="8">
        <f>-((total!$G12+ssos_corr!F16)/$B12-(shell_e!$D16+shell_e!H16)+relax_e!$D16+relax_e!H16)*2625.5</f>
        <v>129.4183126</v>
      </c>
      <c r="H12" s="8">
        <f>-((total!$G12+ssos_corr!G16)/$B12-(shell_e!$D16+shell_e!I16)+relax_e!$D16+relax_e!I16)*2625.5</f>
        <v>117.5309199</v>
      </c>
      <c r="I12" s="8">
        <f>-((total!$G12+ssos_corr!H16)/$B12-(shell_e!$D16+shell_e!J16)+relax_e!$D16+relax_e!J16)*2625.5</f>
        <v>91.05116545</v>
      </c>
      <c r="J12" s="1" t="s">
        <v>16</v>
      </c>
    </row>
    <row r="13">
      <c r="A13" s="1" t="s">
        <v>33</v>
      </c>
      <c r="B13" s="1">
        <v>2.0</v>
      </c>
      <c r="C13" s="1" t="s">
        <v>50</v>
      </c>
      <c r="D13" s="8">
        <f>-(total!G13/$B13-shell_e!D17+relax_e!D17)*2625.5</f>
        <v>-66.1516402</v>
      </c>
      <c r="E13" s="8">
        <f t="shared" si="1"/>
        <v>214.9914301</v>
      </c>
      <c r="F13" s="8">
        <f>-((total!G13+ssos_corr!E17)/$B13-(shell_e!D17+shell_e!G17)+relax_e!D17+relax_e!G17)*2625.5</f>
        <v>148.8397899</v>
      </c>
      <c r="G13" s="8">
        <f>-((total!$G13+ssos_corr!F17)/$B13-(shell_e!$D17+shell_e!H17)+relax_e!$D17+relax_e!H17)*2625.5</f>
        <v>142.6413652</v>
      </c>
      <c r="H13" s="8">
        <f>-((total!$G13+ssos_corr!G17)/$B13-(shell_e!$D17+shell_e!I17)+relax_e!$D17+relax_e!I17)*2625.5</f>
        <v>139.5421528</v>
      </c>
      <c r="I13" s="8">
        <f>-((total!$G13+ssos_corr!H17)/$B13-(shell_e!$D17+shell_e!J17)+relax_e!$D17+relax_e!J17)*2625.5</f>
        <v>70.36616949</v>
      </c>
      <c r="J13" s="1" t="s">
        <v>16</v>
      </c>
    </row>
    <row r="14">
      <c r="A14" s="1" t="s">
        <v>15</v>
      </c>
      <c r="B14" s="1">
        <v>4.0</v>
      </c>
      <c r="C14" s="1" t="s">
        <v>47</v>
      </c>
      <c r="D14" s="8">
        <f>-(total!G14/$B14-shell_e!D18+relax_e!D18)*2625.5</f>
        <v>-24.68219334</v>
      </c>
      <c r="E14" s="8">
        <f t="shared" si="1"/>
        <v>72.45087135</v>
      </c>
      <c r="F14" s="8">
        <f>-((total!G14+ssos_corr!E18)/$B14-(shell_e!D18+shell_e!G18)+relax_e!D18+relax_e!G18)*2625.5</f>
        <v>47.76867802</v>
      </c>
      <c r="G14" s="8">
        <f>-((total!$G14+ssos_corr!F18)/$B14-(shell_e!$D18+shell_e!H18)+relax_e!$D18+relax_e!H18)*2625.5</f>
        <v>29.37725959</v>
      </c>
      <c r="H14" s="8">
        <f>-((total!$G14+ssos_corr!G18)/$B14-(shell_e!$D18+shell_e!I18)+relax_e!$D18+relax_e!I18)*2625.5</f>
        <v>20.18155038</v>
      </c>
      <c r="I14" s="8">
        <f>-((total!$G14+ssos_corr!H18)/$B14-(shell_e!$D18+shell_e!J18)+relax_e!$D18+relax_e!J18)*2625.5</f>
        <v>38.06502156</v>
      </c>
      <c r="J14" s="1" t="s">
        <v>16</v>
      </c>
    </row>
    <row r="15">
      <c r="A15" s="1" t="s">
        <v>15</v>
      </c>
      <c r="B15" s="1">
        <v>4.0</v>
      </c>
      <c r="C15" s="1" t="s">
        <v>48</v>
      </c>
      <c r="D15" s="8">
        <f>-(total!G15/$B15-shell_e!D19+relax_e!D19)*2625.5</f>
        <v>-24.52652007</v>
      </c>
      <c r="E15" s="8">
        <f t="shared" si="1"/>
        <v>91.45588575</v>
      </c>
      <c r="F15" s="8">
        <f>-((total!G15+ssos_corr!E19)/$B15-(shell_e!D19+shell_e!G19)+relax_e!D19+relax_e!G19)*2625.5</f>
        <v>66.92936567</v>
      </c>
      <c r="G15" s="8">
        <f>-((total!$G15+ssos_corr!F19)/$B15-(shell_e!$D19+shell_e!H19)+relax_e!$D19+relax_e!H19)*2625.5</f>
        <v>43.80541827</v>
      </c>
      <c r="H15" s="8">
        <f>-((total!$G15+ssos_corr!G19)/$B15-(shell_e!$D19+shell_e!I19)+relax_e!$D19+relax_e!I19)*2625.5</f>
        <v>32.24344457</v>
      </c>
      <c r="I15" s="8">
        <f>-((total!$G15+ssos_corr!H19)/$B15-(shell_e!$D19+shell_e!J19)+relax_e!$D19+relax_e!J19)*2625.5</f>
        <v>54.58598136</v>
      </c>
      <c r="J15" s="1" t="s">
        <v>16</v>
      </c>
    </row>
    <row r="16">
      <c r="A16" s="1" t="s">
        <v>15</v>
      </c>
      <c r="B16" s="1">
        <v>4.0</v>
      </c>
      <c r="C16" s="1" t="s">
        <v>49</v>
      </c>
      <c r="D16" s="8">
        <f>-(total!G16/$B16-shell_e!D20+relax_e!D20)*2625.5</f>
        <v>-24.23074324</v>
      </c>
      <c r="E16" s="8">
        <f t="shared" si="1"/>
        <v>96.85578974</v>
      </c>
      <c r="F16" s="8">
        <f>-((total!G16+ssos_corr!E20)/$B16-(shell_e!D20+shell_e!G20)+relax_e!D20+relax_e!G20)*2625.5</f>
        <v>72.62504651</v>
      </c>
      <c r="G16" s="8">
        <f>-((total!$G16+ssos_corr!F20)/$B16-(shell_e!$D20+shell_e!H20)+relax_e!$D20+relax_e!H20)*2625.5</f>
        <v>53.10565898</v>
      </c>
      <c r="H16" s="8">
        <f>-((total!$G16+ssos_corr!G20)/$B16-(shell_e!$D20+shell_e!I20)+relax_e!$D20+relax_e!I20)*2625.5</f>
        <v>43.34596522</v>
      </c>
      <c r="I16" s="8">
        <f>-((total!$G16+ssos_corr!H20)/$B16-(shell_e!$D20+shell_e!J20)+relax_e!$D20+relax_e!J20)*2625.5</f>
        <v>54.44917128</v>
      </c>
      <c r="J16" s="1" t="s">
        <v>16</v>
      </c>
    </row>
    <row r="17">
      <c r="A17" s="1" t="s">
        <v>15</v>
      </c>
      <c r="B17" s="1">
        <v>4.0</v>
      </c>
      <c r="C17" s="1" t="s">
        <v>50</v>
      </c>
      <c r="D17" s="8">
        <f>-(total!G17/$B17-shell_e!D21+relax_e!D21)*2625.5</f>
        <v>-24.23074324</v>
      </c>
      <c r="E17" s="8">
        <f t="shared" si="1"/>
        <v>100.7962602</v>
      </c>
      <c r="F17" s="8">
        <f>-((total!G17+ssos_corr!E21)/$B17-(shell_e!D21+shell_e!G21)+relax_e!D21+relax_e!G21)*2625.5</f>
        <v>76.56551699</v>
      </c>
      <c r="G17" s="8">
        <f>-((total!$G17+ssos_corr!F21)/$B17-(shell_e!$D21+shell_e!H21)+relax_e!$D21+relax_e!H21)*2625.5</f>
        <v>59.67648397</v>
      </c>
      <c r="H17" s="8">
        <f>-((total!$G17+ssos_corr!G21)/$B17-(shell_e!$D21+shell_e!I21)+relax_e!$D21+relax_e!I21)*2625.5</f>
        <v>51.23196746</v>
      </c>
      <c r="I17" s="8">
        <f>-((total!$G17+ssos_corr!H21)/$B17-(shell_e!$D21+shell_e!J21)+relax_e!$D21+relax_e!J21)*2625.5</f>
        <v>54.13349975</v>
      </c>
      <c r="J17" s="1" t="s">
        <v>16</v>
      </c>
    </row>
    <row r="18">
      <c r="A18" s="7" t="s">
        <v>51</v>
      </c>
      <c r="B18" s="7">
        <v>4.0</v>
      </c>
      <c r="C18" s="7" t="s">
        <v>47</v>
      </c>
      <c r="D18" s="8">
        <f>-(total!G18/$B18-shell_e!D22+relax_e!D22)*2625.5</f>
        <v>9.269238279</v>
      </c>
      <c r="E18" s="8">
        <f t="shared" si="1"/>
        <v>4.984583995</v>
      </c>
      <c r="F18" s="8">
        <f>-((total!G18+ssos_corr!E22)/$B18-(shell_e!D22+shell_e!G22)+relax_e!D22+relax_e!G22)*2625.5</f>
        <v>14.25382227</v>
      </c>
      <c r="G18" s="8">
        <f>-((total!$G18+ssos_corr!F22)/$B18-(shell_e!$D22+shell_e!H22)+relax_e!$D22+relax_e!H22)*2625.5</f>
        <v>11.46406971</v>
      </c>
      <c r="H18" s="8">
        <f>-((total!$G18+ssos_corr!G22)/$B18-(shell_e!$D22+shell_e!I22)+relax_e!$D22+relax_e!I22)*2625.5</f>
        <v>10.06919343</v>
      </c>
      <c r="I18" s="8">
        <f>-((total!$G18+ssos_corr!H22)/$B18-(shell_e!$D22+shell_e!J22)+relax_e!$D22+relax_e!J22)*2625.5</f>
        <v>15.15169003</v>
      </c>
      <c r="J18" s="1" t="s">
        <v>16</v>
      </c>
    </row>
    <row r="19">
      <c r="A19" s="7" t="s">
        <v>51</v>
      </c>
      <c r="B19" s="7">
        <v>4.0</v>
      </c>
      <c r="C19" s="7" t="s">
        <v>48</v>
      </c>
      <c r="D19" s="8">
        <f>-(total!G19/$B19-shell_e!D23+relax_e!D23)*2625.5</f>
        <v>7.250953085</v>
      </c>
      <c r="E19" s="8">
        <f t="shared" si="1"/>
        <v>14.00840358</v>
      </c>
      <c r="F19" s="8">
        <f>-((total!G19+ssos_corr!E23)/$B19-(shell_e!D23+shell_e!G23)+relax_e!D23+relax_e!G23)*2625.5</f>
        <v>21.25935666</v>
      </c>
      <c r="G19" s="8">
        <f>-((total!$G19+ssos_corr!F23)/$B19-(shell_e!$D23+shell_e!H23)+relax_e!$D23+relax_e!H23)*2625.5</f>
        <v>16.74808676</v>
      </c>
      <c r="H19" s="8">
        <f>-((total!$G19+ssos_corr!G23)/$B19-(shell_e!$D23+shell_e!I23)+relax_e!$D23+relax_e!I23)*2625.5</f>
        <v>14.49245181</v>
      </c>
      <c r="I19" s="8">
        <f>-((total!$G19+ssos_corr!H23)/$B19-(shell_e!$D23+shell_e!J23)+relax_e!$D23+relax_e!J23)*2625.5</f>
        <v>20.36415227</v>
      </c>
      <c r="J19" s="1" t="s">
        <v>16</v>
      </c>
    </row>
    <row r="20">
      <c r="A20" s="7" t="s">
        <v>51</v>
      </c>
      <c r="B20" s="7">
        <v>4.0</v>
      </c>
      <c r="C20" s="7" t="s">
        <v>49</v>
      </c>
      <c r="D20" s="8">
        <f>-(total!G20/$B20-shell_e!D24+relax_e!D24)*2625.5</f>
        <v>6.875059396</v>
      </c>
      <c r="E20" s="8">
        <f t="shared" si="1"/>
        <v>18.01333613</v>
      </c>
      <c r="F20" s="8">
        <f>-((total!G20+ssos_corr!E24)/$B20-(shell_e!D24+shell_e!G24)+relax_e!D24+relax_e!G24)*2625.5</f>
        <v>24.88839552</v>
      </c>
      <c r="G20" s="8">
        <f>-((total!$G20+ssos_corr!F24)/$B20-(shell_e!$D24+shell_e!H24)+relax_e!$D24+relax_e!H24)*2625.5</f>
        <v>19.58213629</v>
      </c>
      <c r="H20" s="8">
        <f>-((total!$G20+ssos_corr!G24)/$B20-(shell_e!$D24+shell_e!I24)+relax_e!$D24+relax_e!I24)*2625.5</f>
        <v>16.92900668</v>
      </c>
      <c r="I20" s="8">
        <f>-((total!$G20+ssos_corr!H24)/$B20-(shell_e!$D24+shell_e!J24)+relax_e!$D24+relax_e!J24)*2625.5</f>
        <v>23.22917602</v>
      </c>
      <c r="J20" s="1" t="s">
        <v>16</v>
      </c>
    </row>
    <row r="21">
      <c r="A21" s="7" t="s">
        <v>51</v>
      </c>
      <c r="B21" s="7">
        <v>4.0</v>
      </c>
      <c r="C21" s="7" t="s">
        <v>50</v>
      </c>
      <c r="D21" s="8">
        <f>-(total!G21/$B21-shell_e!D25+relax_e!D25)*2625.5</f>
        <v>6.875059396</v>
      </c>
      <c r="E21" s="8">
        <f t="shared" si="1"/>
        <v>20.93585447</v>
      </c>
      <c r="F21" s="8">
        <f>-((total!G21+ssos_corr!E25)/$B21-(shell_e!D25+shell_e!G25)+relax_e!D25+relax_e!G25)*2625.5</f>
        <v>27.81091387</v>
      </c>
      <c r="G21" s="8">
        <f>-((total!$G21+ssos_corr!F25)/$B21-(shell_e!$D25+shell_e!H25)+relax_e!$D25+relax_e!H25)*2625.5</f>
        <v>21.92452729</v>
      </c>
      <c r="H21" s="8">
        <f>-((total!$G21+ssos_corr!G25)/$B21-(shell_e!$D25+shell_e!I25)+relax_e!$D25+relax_e!I25)*2625.5</f>
        <v>18.981334</v>
      </c>
      <c r="I21" s="8">
        <f>-((total!$G21+ssos_corr!H25)/$B21-(shell_e!$D25+shell_e!J25)+relax_e!$D25+relax_e!J25)*2625.5</f>
        <v>25.59416982</v>
      </c>
      <c r="J21" s="1" t="s">
        <v>16</v>
      </c>
    </row>
    <row r="22">
      <c r="A22" s="7" t="s">
        <v>18</v>
      </c>
      <c r="B22" s="7">
        <v>8.0</v>
      </c>
      <c r="C22" s="7" t="s">
        <v>47</v>
      </c>
      <c r="D22" s="8">
        <f>-(total!G22/$B22-shell_e!D26+relax_e!D26)*2625.5</f>
        <v>29.25888396</v>
      </c>
      <c r="E22" s="8">
        <f t="shared" si="1"/>
        <v>41.97650098</v>
      </c>
      <c r="F22" s="8">
        <f>-((total!G22+ssos_corr!E26)/$B22-(shell_e!D26+shell_e!G26)+relax_e!D26+relax_e!G26)*2625.5</f>
        <v>71.23538494</v>
      </c>
      <c r="G22" s="8">
        <f>-((total!$G22+ssos_corr!F26)/$B22-(shell_e!$D26+shell_e!H26)+relax_e!$D26+relax_e!H26)*2625.5</f>
        <v>57.78320309</v>
      </c>
      <c r="H22" s="8">
        <f>-((total!$G22+ssos_corr!G26)/$B22-(shell_e!$D26+shell_e!I26)+relax_e!$D26+relax_e!I26)*2625.5</f>
        <v>51.05711216</v>
      </c>
      <c r="I22" s="8">
        <f>-((total!$G22+ssos_corr!H26)/$B22-(shell_e!$D26+shell_e!J26)+relax_e!$D26+relax_e!J26)*2625.5</f>
        <v>68.48516785</v>
      </c>
      <c r="J22" s="1" t="s">
        <v>13</v>
      </c>
    </row>
    <row r="23">
      <c r="A23" s="7" t="s">
        <v>18</v>
      </c>
      <c r="B23" s="7">
        <v>8.0</v>
      </c>
      <c r="C23" s="7" t="s">
        <v>48</v>
      </c>
      <c r="D23" s="8">
        <f>-(total!G23/$B23-shell_e!D27+relax_e!D27)*2625.5</f>
        <v>27.70568041</v>
      </c>
      <c r="E23" s="8">
        <f t="shared" si="1"/>
        <v>56.77319751</v>
      </c>
      <c r="F23" s="8">
        <f>-((total!G23+ssos_corr!E27)/$B23-(shell_e!D27+shell_e!G27)+relax_e!D27+relax_e!G27)*2625.5</f>
        <v>84.47887791</v>
      </c>
      <c r="G23" s="8">
        <f>-((total!$G23+ssos_corr!F27)/$B23-(shell_e!$D27+shell_e!H27)+relax_e!$D27+relax_e!H27)*2625.5</f>
        <v>68.33927605</v>
      </c>
      <c r="H23" s="8">
        <f>-((total!$G23+ssos_corr!G27)/$B23-(shell_e!$D27+shell_e!I27)+relax_e!$D27+relax_e!I27)*2625.5</f>
        <v>60.26947512</v>
      </c>
      <c r="I23" s="8">
        <f>-((total!$G23+ssos_corr!H27)/$B23-(shell_e!$D27+shell_e!J27)+relax_e!$D27+relax_e!J27)*2625.5</f>
        <v>78.64943035</v>
      </c>
      <c r="J23" s="1" t="s">
        <v>13</v>
      </c>
    </row>
    <row r="24">
      <c r="A24" s="7" t="s">
        <v>18</v>
      </c>
      <c r="B24" s="7">
        <v>8.0</v>
      </c>
      <c r="C24" s="7" t="s">
        <v>49</v>
      </c>
      <c r="D24" s="8">
        <f>-(total!G24/$B24-shell_e!D28+relax_e!D28)*2625.5</f>
        <v>26.93754015</v>
      </c>
      <c r="E24" s="8">
        <f t="shared" si="1"/>
        <v>61.06523193</v>
      </c>
      <c r="F24" s="8">
        <f>-((total!G24+ssos_corr!E28)/$B24-(shell_e!D28+shell_e!G28)+relax_e!D28+relax_e!G28)*2625.5</f>
        <v>88.00277208</v>
      </c>
      <c r="G24" s="8">
        <f>-((total!$G24+ssos_corr!F28)/$B24-(shell_e!$D28+shell_e!H28)+relax_e!$D28+relax_e!H28)*2625.5</f>
        <v>71.09791389</v>
      </c>
      <c r="H24" s="8">
        <f>-((total!$G24+ssos_corr!G28)/$B24-(shell_e!$D28+shell_e!I28)+relax_e!$D28+relax_e!I28)*2625.5</f>
        <v>62.6454848</v>
      </c>
      <c r="I24" s="8">
        <f>-((total!$G24+ssos_corr!H28)/$B24-(shell_e!$D28+shell_e!J28)+relax_e!$D28+relax_e!J28)*2625.5</f>
        <v>81.26548108</v>
      </c>
      <c r="J24" s="1" t="s">
        <v>13</v>
      </c>
    </row>
    <row r="25">
      <c r="A25" s="7" t="s">
        <v>18</v>
      </c>
      <c r="B25" s="7">
        <v>8.0</v>
      </c>
      <c r="C25" s="7" t="s">
        <v>50</v>
      </c>
      <c r="D25" s="8">
        <f>-(total!G25/$B25-shell_e!D29+relax_e!D29)*2625.5</f>
        <v>26.93754015</v>
      </c>
      <c r="E25" s="8">
        <f t="shared" si="1"/>
        <v>64.19725705</v>
      </c>
      <c r="F25" s="8">
        <f>-((total!G25+ssos_corr!E29)/$B25-(shell_e!D29+shell_e!G29)+relax_e!D29+relax_e!G29)*2625.5</f>
        <v>91.1347972</v>
      </c>
      <c r="G25" s="8">
        <f>-((total!$G25+ssos_corr!F29)/$B25-(shell_e!$D29+shell_e!H29)+relax_e!$D29+relax_e!H29)*2625.5</f>
        <v>73.67150872</v>
      </c>
      <c r="H25" s="8">
        <f>-((total!$G25+ssos_corr!G29)/$B25-(shell_e!$D29+shell_e!I29)+relax_e!$D29+relax_e!I29)*2625.5</f>
        <v>64.93986448</v>
      </c>
      <c r="I25" s="8">
        <f>-((total!$G25+ssos_corr!H29)/$B25-(shell_e!$D29+shell_e!J29)+relax_e!$D29+relax_e!J29)*2625.5</f>
        <v>83.73502586</v>
      </c>
      <c r="J25" s="1" t="s">
        <v>13</v>
      </c>
    </row>
    <row r="26">
      <c r="A26" s="7" t="s">
        <v>52</v>
      </c>
      <c r="B26" s="7">
        <v>2.0</v>
      </c>
      <c r="C26" s="7" t="s">
        <v>47</v>
      </c>
      <c r="D26" s="8">
        <f>-(total!G26/$B26-shell_e!D34+relax_e!D34)*2625.5</f>
        <v>34.37866445</v>
      </c>
      <c r="E26" s="8">
        <f t="shared" si="1"/>
        <v>57.65503732</v>
      </c>
      <c r="F26" s="8">
        <f>-((total!G26+ssos_corr!E34)/$B26-(shell_e!D34+shell_e!G34)+relax_e!D34+relax_e!G34)*2625.5</f>
        <v>92.03370177</v>
      </c>
      <c r="G26" s="8">
        <f>-((total!$G26+ssos_corr!F34)/$B26-(shell_e!$D34+shell_e!H34)+relax_e!$D34+relax_e!H34)*2625.5</f>
        <v>77.696231</v>
      </c>
      <c r="H26" s="8">
        <f>-((total!$G26+ssos_corr!G34)/$B26-(shell_e!$D34+shell_e!I34)+relax_e!$D34+relax_e!I34)*2625.5</f>
        <v>70.52749562</v>
      </c>
      <c r="I26" s="8">
        <f>-((total!$G26+ssos_corr!H34)/$B26-(shell_e!$D34+shell_e!J34)+relax_e!$D34+relax_e!J34)*2625.5</f>
        <v>84.00561664</v>
      </c>
      <c r="J26" s="1" t="s">
        <v>13</v>
      </c>
    </row>
    <row r="27">
      <c r="A27" s="7" t="s">
        <v>52</v>
      </c>
      <c r="B27" s="7">
        <v>2.0</v>
      </c>
      <c r="C27" s="7" t="s">
        <v>48</v>
      </c>
      <c r="D27" s="8">
        <f>-(total!G27/$B27-shell_e!D35+relax_e!D35)*2625.5</f>
        <v>19.99274764</v>
      </c>
      <c r="E27" s="8">
        <f t="shared" si="1"/>
        <v>72.83035396</v>
      </c>
      <c r="F27" s="8">
        <f>-((total!G27+ssos_corr!E35)/$B27-(shell_e!D35+shell_e!G35)+relax_e!D35+relax_e!G35)*2625.5</f>
        <v>92.8231016</v>
      </c>
      <c r="G27" s="8">
        <f>-((total!$G27+ssos_corr!F35)/$B27-(shell_e!$D35+shell_e!H35)+relax_e!$D35+relax_e!H35)*2625.5</f>
        <v>75.43820791</v>
      </c>
      <c r="H27" s="8">
        <f>-((total!$G27+ssos_corr!G35)/$B27-(shell_e!$D35+shell_e!I35)+relax_e!$D35+relax_e!I35)*2625.5</f>
        <v>66.74576107</v>
      </c>
      <c r="I27" s="8">
        <f>-((total!$G27+ssos_corr!H35)/$B27-(shell_e!$D35+shell_e!J35)+relax_e!$D35+relax_e!J35)*2625.5</f>
        <v>81.93607198</v>
      </c>
      <c r="J27" s="1" t="s">
        <v>13</v>
      </c>
    </row>
    <row r="28">
      <c r="A28" s="7" t="s">
        <v>52</v>
      </c>
      <c r="B28" s="7">
        <v>2.0</v>
      </c>
      <c r="C28" s="7" t="s">
        <v>49</v>
      </c>
      <c r="D28" s="8">
        <f>-(total!G28/$B28-shell_e!D36+relax_e!D36)*2625.5</f>
        <v>16.61049856</v>
      </c>
      <c r="E28" s="8">
        <f t="shared" si="1"/>
        <v>74.91623984</v>
      </c>
      <c r="F28" s="8">
        <f>-((total!G28+ssos_corr!E36)/$B28-(shell_e!D36+shell_e!G36)+relax_e!D36+relax_e!G36)*2625.5</f>
        <v>91.5267384</v>
      </c>
      <c r="G28" s="8">
        <f>-((total!$G28+ssos_corr!F36)/$B28-(shell_e!$D36+shell_e!H36)+relax_e!$D36+relax_e!H36)*2625.5</f>
        <v>73.50633963</v>
      </c>
      <c r="H28" s="8">
        <f>-((total!$G28+ssos_corr!G36)/$B28-(shell_e!$D36+shell_e!I36)+relax_e!$D36+relax_e!I36)*2625.5</f>
        <v>64.49614024</v>
      </c>
      <c r="I28" s="8">
        <f>-((total!$G28+ssos_corr!H36)/$B28-(shell_e!$D36+shell_e!J36)+relax_e!$D36+relax_e!J36)*2625.5</f>
        <v>80.46920096</v>
      </c>
      <c r="J28" s="1" t="s">
        <v>13</v>
      </c>
    </row>
    <row r="29">
      <c r="A29" s="7" t="s">
        <v>52</v>
      </c>
      <c r="B29" s="7">
        <v>2.0</v>
      </c>
      <c r="C29" s="7" t="s">
        <v>50</v>
      </c>
      <c r="D29" s="8">
        <f>-(total!G29/$B29-shell_e!D37+relax_e!D37)*2625.5</f>
        <v>16.61049856</v>
      </c>
      <c r="E29" s="8">
        <f t="shared" si="1"/>
        <v>76.43837279</v>
      </c>
      <c r="F29" s="8">
        <f>-((total!G29+ssos_corr!E37)/$B29-(shell_e!D37+shell_e!G37)+relax_e!D37+relax_e!G37)*2625.5</f>
        <v>93.04887135</v>
      </c>
      <c r="G29" s="8">
        <f>-((total!$G29+ssos_corr!F37)/$B29-(shell_e!$D37+shell_e!H37)+relax_e!$D37+relax_e!H37)*2625.5</f>
        <v>74.56472561</v>
      </c>
      <c r="H29" s="8">
        <f>-((total!$G29+ssos_corr!G37)/$B29-(shell_e!$D37+shell_e!I37)+relax_e!$D37+relax_e!I37)*2625.5</f>
        <v>65.32265275</v>
      </c>
      <c r="I29" s="8">
        <f>-((total!$G29+ssos_corr!H37)/$B29-(shell_e!$D37+shell_e!J37)+relax_e!$D37+relax_e!J37)*2625.5</f>
        <v>81.86690928</v>
      </c>
      <c r="J29" s="1" t="s">
        <v>13</v>
      </c>
    </row>
    <row r="30">
      <c r="A30" s="7" t="s">
        <v>20</v>
      </c>
      <c r="B30" s="7">
        <v>4.0</v>
      </c>
      <c r="C30" s="7" t="s">
        <v>47</v>
      </c>
      <c r="D30" s="8">
        <f>-(total!G30/$B30-shell_e!D38+relax_e!D38)*2625.5</f>
        <v>37.8585404</v>
      </c>
      <c r="E30" s="8">
        <f t="shared" si="1"/>
        <v>30.81652443</v>
      </c>
      <c r="F30" s="8">
        <f>-((total!G30+ssos_corr!E38)/$B30-(shell_e!D38+shell_e!G38)+relax_e!D38+relax_e!G38)*2625.5</f>
        <v>68.67506484</v>
      </c>
      <c r="G30" s="8">
        <f>-((total!$G30+ssos_corr!F38)/$B30-(shell_e!$D38+shell_e!H38)+relax_e!$D38+relax_e!H38)*2625.5</f>
        <v>59.18370783</v>
      </c>
      <c r="H30" s="8">
        <f>-((total!$G30+ssos_corr!G38)/$B30-(shell_e!$D38+shell_e!I38)+relax_e!$D38+relax_e!I38)*2625.5</f>
        <v>54.43802932</v>
      </c>
      <c r="I30" s="8">
        <f>-((total!$G30+ssos_corr!H38)/$B30-(shell_e!$D38+shell_e!J38)+relax_e!$D38+relax_e!J38)*2625.5</f>
        <v>66.26128374</v>
      </c>
      <c r="J30" s="1" t="s">
        <v>13</v>
      </c>
    </row>
    <row r="31">
      <c r="A31" s="7" t="s">
        <v>20</v>
      </c>
      <c r="B31" s="7">
        <v>4.0</v>
      </c>
      <c r="C31" s="7" t="s">
        <v>48</v>
      </c>
      <c r="D31" s="8">
        <f>-(total!G31/$B31-shell_e!D39+relax_e!D39)*2625.5</f>
        <v>31.23554179</v>
      </c>
      <c r="E31" s="8">
        <f t="shared" si="1"/>
        <v>46.66181993</v>
      </c>
      <c r="F31" s="8">
        <f>-((total!G31+ssos_corr!E39)/$B31-(shell_e!D39+shell_e!G39)+relax_e!D39+relax_e!G39)*2625.5</f>
        <v>77.89736173</v>
      </c>
      <c r="G31" s="8">
        <f>-((total!$G31+ssos_corr!F39)/$B31-(shell_e!$D39+shell_e!H39)+relax_e!$D39+relax_e!H39)*2625.5</f>
        <v>65.67513325</v>
      </c>
      <c r="H31" s="8">
        <f>-((total!$G31+ssos_corr!G39)/$B31-(shell_e!$D39+shell_e!I39)+relax_e!$D39+relax_e!I39)*2625.5</f>
        <v>59.56401901</v>
      </c>
      <c r="I31" s="8">
        <f>-((total!$G31+ssos_corr!H39)/$B31-(shell_e!$D39+shell_e!J39)+relax_e!$D39+relax_e!J39)*2625.5</f>
        <v>72.03517818</v>
      </c>
      <c r="J31" s="1" t="s">
        <v>13</v>
      </c>
    </row>
    <row r="32">
      <c r="A32" s="7" t="s">
        <v>20</v>
      </c>
      <c r="B32" s="7">
        <v>4.0</v>
      </c>
      <c r="C32" s="7" t="s">
        <v>49</v>
      </c>
      <c r="D32" s="8">
        <f>-(total!G32/$B32-shell_e!D40+relax_e!D40)*2625.5</f>
        <v>29.77843708</v>
      </c>
      <c r="E32" s="8">
        <f t="shared" si="1"/>
        <v>50.34976574</v>
      </c>
      <c r="F32" s="8">
        <f>-((total!G32+ssos_corr!E40)/$B32-(shell_e!D40+shell_e!G40)+relax_e!D40+relax_e!G40)*2625.5</f>
        <v>80.12820282</v>
      </c>
      <c r="G32" s="8">
        <f>-((total!$G32+ssos_corr!F40)/$B32-(shell_e!$D40+shell_e!H40)+relax_e!$D40+relax_e!H40)*2625.5</f>
        <v>67.26280594</v>
      </c>
      <c r="H32" s="8">
        <f>-((total!$G32+ssos_corr!G40)/$B32-(shell_e!$D40+shell_e!I40)+relax_e!$D40+relax_e!I40)*2625.5</f>
        <v>60.83010751</v>
      </c>
      <c r="I32" s="8">
        <f>-((total!$G32+ssos_corr!H40)/$B32-(shell_e!$D40+shell_e!J40)+relax_e!$D40+relax_e!J40)*2625.5</f>
        <v>73.47118359</v>
      </c>
      <c r="J32" s="1" t="s">
        <v>13</v>
      </c>
    </row>
    <row r="33">
      <c r="A33" s="7" t="s">
        <v>20</v>
      </c>
      <c r="B33" s="7">
        <v>4.0</v>
      </c>
      <c r="C33" s="7" t="s">
        <v>50</v>
      </c>
      <c r="D33" s="8">
        <f>-(total!G33/$B33-shell_e!D41+relax_e!D41)*2625.5</f>
        <v>29.77843708</v>
      </c>
      <c r="E33" s="8">
        <f t="shared" si="1"/>
        <v>53.04096944</v>
      </c>
      <c r="F33" s="8">
        <f>-((total!G33+ssos_corr!E41)/$B33-(shell_e!D41+shell_e!G41)+relax_e!D41+relax_e!G41)*2625.5</f>
        <v>82.81940651</v>
      </c>
      <c r="G33" s="8">
        <f>-((total!$G33+ssos_corr!F41)/$B33-(shell_e!$D41+shell_e!H41)+relax_e!$D41+relax_e!H41)*2625.5</f>
        <v>69.48467054</v>
      </c>
      <c r="H33" s="8">
        <f>-((total!$G33+ssos_corr!G41)/$B33-(shell_e!$D41+shell_e!I41)+relax_e!$D41+relax_e!I41)*2625.5</f>
        <v>62.81730255</v>
      </c>
      <c r="I33" s="8">
        <f>-((total!$G33+ssos_corr!H41)/$B33-(shell_e!$D41+shell_e!J41)+relax_e!$D41+relax_e!J41)*2625.5</f>
        <v>75.58237205</v>
      </c>
      <c r="J33" s="1" t="s">
        <v>13</v>
      </c>
    </row>
    <row r="34">
      <c r="A34" s="7" t="s">
        <v>21</v>
      </c>
      <c r="B34" s="7">
        <v>1.0</v>
      </c>
      <c r="C34" s="7" t="s">
        <v>47</v>
      </c>
      <c r="D34" s="8">
        <f>-(total!G34/$B34-shell_e!D42+relax_e!D42)*2625.5</f>
        <v>-15.73377091</v>
      </c>
      <c r="E34" s="8">
        <f t="shared" si="1"/>
        <v>87.78727967</v>
      </c>
      <c r="F34" s="8">
        <f>-((total!G34+ssos_corr!E42)/$B34-(shell_e!D42+shell_e!G42)+relax_e!D42+relax_e!G42)*2625.5</f>
        <v>72.05350877</v>
      </c>
      <c r="G34" s="8">
        <f>-((total!G34+ssos_corr!F42)/$B34-(shell_e!D42+shell_e!H42)+relax_e!D42+relax_e!H42)*2625.5</f>
        <v>50.3534114</v>
      </c>
      <c r="H34" s="8">
        <f>-((total!$G34+ssos_corr!G42)/$B34-(shell_e!$D42+shell_e!I42)+relax_e!$D42+relax_e!I42)*2625.5</f>
        <v>39.50336271</v>
      </c>
      <c r="I34" s="8">
        <f>-((total!$G34+ssos_corr!H42)/$B34-(shell_e!$D42+shell_e!J42)+relax_e!$D42+relax_e!J42)*2625.5</f>
        <v>59.6956284</v>
      </c>
      <c r="J34" s="1" t="s">
        <v>13</v>
      </c>
    </row>
    <row r="35">
      <c r="A35" s="7" t="s">
        <v>21</v>
      </c>
      <c r="B35" s="7">
        <v>1.0</v>
      </c>
      <c r="C35" s="7" t="s">
        <v>48</v>
      </c>
      <c r="D35" s="8">
        <f>-(total!G35/$B35-shell_e!D43+relax_e!D43)*2625.5</f>
        <v>-17.97168185</v>
      </c>
      <c r="E35" s="8">
        <f t="shared" si="1"/>
        <v>109.7236594</v>
      </c>
      <c r="F35" s="8">
        <f>-((total!G35+ssos_corr!E43)/$B35-(shell_e!D43+shell_e!G43)+relax_e!D43+relax_e!G43)*2625.5</f>
        <v>91.75197758</v>
      </c>
      <c r="G35" s="8">
        <f>-((total!G35+ssos_corr!F43)/$B35-(shell_e!D43+shell_e!H43)+relax_e!D43+relax_e!H43)*2625.5</f>
        <v>67.65508848</v>
      </c>
      <c r="H35" s="8">
        <f>-((total!$G35+ssos_corr!G43)/$B35-(shell_e!$D43+shell_e!I43)+relax_e!$D43+relax_e!I43)*2625.5</f>
        <v>55.60664393</v>
      </c>
      <c r="I35" s="8">
        <f>-((total!$G35+ssos_corr!H43)/$B35-(shell_e!$D43+shell_e!J43)+relax_e!$D43+relax_e!J43)*2625.5</f>
        <v>73.19898501</v>
      </c>
      <c r="J35" s="1" t="s">
        <v>13</v>
      </c>
    </row>
    <row r="36">
      <c r="A36" s="7" t="s">
        <v>21</v>
      </c>
      <c r="B36" s="7">
        <v>1.0</v>
      </c>
      <c r="C36" s="7" t="s">
        <v>49</v>
      </c>
      <c r="D36" s="8">
        <f>-(total!G36/$B36-shell_e!D44+relax_e!D44)*2625.5</f>
        <v>-17.72608928</v>
      </c>
      <c r="E36" s="8">
        <f t="shared" si="1"/>
        <v>113.9058144</v>
      </c>
      <c r="F36" s="8">
        <f>-((total!G36+ssos_corr!E44)/$B36-(shell_e!D44+shell_e!G44)+relax_e!D44+relax_e!G44)*2625.5</f>
        <v>96.17972513</v>
      </c>
      <c r="G36" s="8">
        <f>-((total!G36+ssos_corr!F44)/$B36-(shell_e!D44+shell_e!H44)+relax_e!D44+relax_e!H44)*2625.5</f>
        <v>71.46228633</v>
      </c>
      <c r="H36" s="8">
        <f>-((total!$G36+ssos_corr!G44)/$B36-(shell_e!$D44+shell_e!I44)+relax_e!$D44+relax_e!I44)*2625.5</f>
        <v>59.10356694</v>
      </c>
      <c r="I36" s="8">
        <f>-((total!$G36+ssos_corr!H44)/$B36-(shell_e!$D44+shell_e!J44)+relax_e!$D44+relax_e!J44)*2625.5</f>
        <v>76.61364666</v>
      </c>
      <c r="J36" s="1" t="s">
        <v>13</v>
      </c>
    </row>
    <row r="37">
      <c r="A37" s="7" t="s">
        <v>21</v>
      </c>
      <c r="B37" s="7">
        <v>1.0</v>
      </c>
      <c r="C37" s="7" t="s">
        <v>50</v>
      </c>
      <c r="D37" s="8">
        <f>-(total!G37/$B37-shell_e!D45+relax_e!D45)*2625.5</f>
        <v>-17.72608928</v>
      </c>
      <c r="E37" s="8">
        <f t="shared" si="1"/>
        <v>116.9576572</v>
      </c>
      <c r="F37" s="8">
        <f>-((total!G37+ssos_corr!E45)/$B37-(shell_e!D45+shell_e!G45)+relax_e!D45+relax_e!G45)*2625.5</f>
        <v>99.23156795</v>
      </c>
      <c r="G37" s="8">
        <f>-((total!G37+ssos_corr!F45)/$B37-(shell_e!D45+shell_e!H45)+relax_e!D45+relax_e!H45)*2625.5</f>
        <v>74.0612956</v>
      </c>
      <c r="H37" s="8">
        <f>-((total!$G37+ssos_corr!G45)/$B37-(shell_e!$D45+shell_e!I45)+relax_e!$D45+relax_e!I45)*2625.5</f>
        <v>61.47615942</v>
      </c>
      <c r="I37" s="8">
        <f>-((total!$G37+ssos_corr!H45)/$B37-(shell_e!$D45+shell_e!J45)+relax_e!$D45+relax_e!J45)*2625.5</f>
        <v>78.92621059</v>
      </c>
      <c r="J37" s="1" t="s">
        <v>13</v>
      </c>
    </row>
    <row r="38">
      <c r="A38" s="7" t="s">
        <v>53</v>
      </c>
      <c r="B38" s="7">
        <v>2.0</v>
      </c>
      <c r="C38" s="7" t="s">
        <v>47</v>
      </c>
      <c r="D38" s="8">
        <f>-(total!G38/$B38-shell_e!D46+relax_e!D46)*2625.5</f>
        <v>18.8719966</v>
      </c>
      <c r="E38" s="8">
        <f t="shared" si="1"/>
        <v>75.19021287</v>
      </c>
      <c r="F38" s="8">
        <f>-((total!G38+ssos_corr!E46)/$B38-(shell_e!D46+shell_e!G46)+relax_e!D46+relax_e!G46)*2625.5</f>
        <v>94.06220948</v>
      </c>
      <c r="G38" s="8">
        <f>-((total!G38+ssos_corr!F46)/$B38-(shell_e!D46+shell_e!H46)+relax_e!D46+relax_e!H46)*2625.5</f>
        <v>73.9927338</v>
      </c>
      <c r="H38" s="8">
        <f>-((total!$G38+ssos_corr!G46)/$B38-(shell_e!$D46+shell_e!I46)+relax_e!$D46+relax_e!I46)*2625.5</f>
        <v>63.95799596</v>
      </c>
      <c r="I38" s="8">
        <f>-((total!$G38+ssos_corr!H46)/$B38-(shell_e!$D46+shell_e!J46)+relax_e!$D46+relax_e!J46)*2625.5</f>
        <v>85.00080242</v>
      </c>
      <c r="J38" s="1" t="s">
        <v>16</v>
      </c>
    </row>
    <row r="39">
      <c r="A39" s="7" t="s">
        <v>53</v>
      </c>
      <c r="B39" s="7">
        <v>2.0</v>
      </c>
      <c r="C39" s="7" t="s">
        <v>48</v>
      </c>
      <c r="D39" s="8">
        <f>-(total!G39/$B39-shell_e!D47+relax_e!D47)*2625.5</f>
        <v>5.528559481</v>
      </c>
      <c r="E39" s="8">
        <f t="shared" si="1"/>
        <v>93.4726418</v>
      </c>
      <c r="F39" s="8">
        <f>-((total!G39+ssos_corr!E47)/$B39-(shell_e!D47+shell_e!G47)+relax_e!D47+relax_e!G47)*2625.5</f>
        <v>99.00120128</v>
      </c>
      <c r="G39" s="8">
        <f>-((total!G39+ssos_corr!F47)/$B39-(shell_e!D47+shell_e!H47)+relax_e!D47+relax_e!H47)*2625.5</f>
        <v>75.82137981</v>
      </c>
      <c r="H39" s="8">
        <f>-((total!$G39+ssos_corr!G47)/$B39-(shell_e!$D47+shell_e!I47)+relax_e!$D47+relax_e!I47)*2625.5</f>
        <v>64.23146908</v>
      </c>
      <c r="I39" s="8">
        <f>-((total!$G39+ssos_corr!H47)/$B39-(shell_e!$D47+shell_e!J47)+relax_e!$D47+relax_e!J47)*2625.5</f>
        <v>85.91935237</v>
      </c>
      <c r="J39" s="1" t="s">
        <v>16</v>
      </c>
    </row>
    <row r="40">
      <c r="A40" s="7" t="s">
        <v>53</v>
      </c>
      <c r="B40" s="7">
        <v>2.0</v>
      </c>
      <c r="C40" s="7" t="s">
        <v>49</v>
      </c>
      <c r="D40" s="8">
        <f>-(total!G40/$B40-shell_e!D48+relax_e!D48)*2625.5</f>
        <v>1.445767738</v>
      </c>
      <c r="E40" s="8">
        <f t="shared" si="1"/>
        <v>96.14636047</v>
      </c>
      <c r="F40" s="8">
        <f>-((total!G40+ssos_corr!E48)/$B40-(shell_e!D48+shell_e!G48)+relax_e!D48+relax_e!G48)*2625.5</f>
        <v>97.59212821</v>
      </c>
      <c r="G40" s="8">
        <f>-((total!G40+ssos_corr!F48)/$B40-(shell_e!D48+shell_e!H48)+relax_e!D48+relax_e!H48)*2625.5</f>
        <v>73.60276224</v>
      </c>
      <c r="H40" s="8">
        <f>-((total!$G40+ssos_corr!G48)/$B40-(shell_e!$D48+shell_e!I48)+relax_e!$D48+relax_e!I48)*2625.5</f>
        <v>61.60807926</v>
      </c>
      <c r="I40" s="8">
        <f>-((total!$G40+ssos_corr!H48)/$B40-(shell_e!$D48+shell_e!J48)+relax_e!$D48+relax_e!J48)*2625.5</f>
        <v>84.2865287</v>
      </c>
      <c r="J40" s="1" t="s">
        <v>16</v>
      </c>
    </row>
    <row r="41">
      <c r="A41" s="7" t="s">
        <v>53</v>
      </c>
      <c r="B41" s="7">
        <v>2.0</v>
      </c>
      <c r="C41" s="7" t="s">
        <v>50</v>
      </c>
      <c r="D41" s="8">
        <f>-(total!G41/$B41-shell_e!D49+relax_e!D49)*2625.5</f>
        <v>1.445767738</v>
      </c>
      <c r="E41" s="8">
        <f t="shared" si="1"/>
        <v>98.09745247</v>
      </c>
      <c r="F41" s="8">
        <f>-((total!G41+ssos_corr!E49)/$B41-(shell_e!D49+shell_e!G49)+relax_e!D49+relax_e!G49)*2625.5</f>
        <v>99.54322021</v>
      </c>
      <c r="G41" s="8">
        <f>-((total!G41+ssos_corr!F49)/$B41-(shell_e!D49+shell_e!H49)+relax_e!D49+relax_e!H49)*2625.5</f>
        <v>74.96310556</v>
      </c>
      <c r="H41" s="8">
        <f>-((total!$G41+ssos_corr!G49)/$B41-(shell_e!$D49+shell_e!I49)+relax_e!$D49+relax_e!I49)*2625.5</f>
        <v>62.67304823</v>
      </c>
      <c r="I41" s="8">
        <f>-((total!$G41+ssos_corr!H49)/$B41-(shell_e!$D49+shell_e!J49)+relax_e!$D49+relax_e!J49)*2625.5</f>
        <v>86.07434325</v>
      </c>
      <c r="J41" s="1" t="s">
        <v>16</v>
      </c>
    </row>
    <row r="42">
      <c r="A42" s="7" t="s">
        <v>23</v>
      </c>
      <c r="B42" s="7">
        <v>4.0</v>
      </c>
      <c r="C42" s="7" t="s">
        <v>47</v>
      </c>
      <c r="D42" s="8">
        <f>-(total!G42/$B42-shell_e!D50+relax_e!D50)*2625.5</f>
        <v>18.21891577</v>
      </c>
      <c r="E42" s="8">
        <f t="shared" si="1"/>
        <v>70.14014095</v>
      </c>
      <c r="F42" s="8">
        <f>-((total!G42+ssos_corr!E50)/$B42-(shell_e!D50+shell_e!G50)+relax_e!D50+relax_e!G50)*2625.5</f>
        <v>88.35905672</v>
      </c>
      <c r="G42" s="8">
        <f>-((total!G42+ssos_corr!F50)/$B42-(shell_e!D50+shell_e!H50)+relax_e!D50+relax_e!H50)*2625.5</f>
        <v>70.93984249</v>
      </c>
      <c r="H42" s="8">
        <f>-((total!$G42+ssos_corr!G50)/$B42-(shell_e!$D50+shell_e!I50)+relax_e!$D50+relax_e!I50)*2625.5</f>
        <v>62.23023538</v>
      </c>
      <c r="I42" s="8">
        <f>-((total!$G42+ssos_corr!H50)/$B42-(shell_e!$D50+shell_e!J50)+relax_e!$D50+relax_e!J50)*2625.5</f>
        <v>78.56887109</v>
      </c>
      <c r="J42" s="1" t="s">
        <v>24</v>
      </c>
    </row>
    <row r="43">
      <c r="A43" s="7" t="s">
        <v>23</v>
      </c>
      <c r="B43" s="7">
        <v>4.0</v>
      </c>
      <c r="C43" s="7" t="s">
        <v>48</v>
      </c>
      <c r="D43" s="8">
        <f>-(total!G43/$B43-shell_e!D51+relax_e!D51)*2625.5</f>
        <v>13.6701864</v>
      </c>
      <c r="E43" s="8">
        <f t="shared" si="1"/>
        <v>87.45224672</v>
      </c>
      <c r="F43" s="8">
        <f>-((total!G43+ssos_corr!E51)/$B43-(shell_e!D51+shell_e!G51)+relax_e!D51+relax_e!G51)*2625.5</f>
        <v>101.1224331</v>
      </c>
      <c r="G43" s="8">
        <f>-((total!G43+ssos_corr!F51)/$B43-(shell_e!D51+shell_e!H51)+relax_e!D51+relax_e!H51)*2625.5</f>
        <v>80.77177516</v>
      </c>
      <c r="H43" s="8">
        <f>-((total!$G43+ssos_corr!G51)/$B43-(shell_e!$D51+shell_e!I51)+relax_e!$D51+relax_e!I51)*2625.5</f>
        <v>70.59644618</v>
      </c>
      <c r="I43" s="8">
        <f>-((total!$G43+ssos_corr!H51)/$B43-(shell_e!$D51+shell_e!J51)+relax_e!$D51+relax_e!J51)*2625.5</f>
        <v>87.51099144</v>
      </c>
      <c r="J43" s="1" t="s">
        <v>24</v>
      </c>
    </row>
    <row r="44">
      <c r="A44" s="7" t="s">
        <v>23</v>
      </c>
      <c r="B44" s="7">
        <v>4.0</v>
      </c>
      <c r="C44" s="7" t="s">
        <v>49</v>
      </c>
      <c r="D44" s="8">
        <f>-(total!G44/$B44-shell_e!D52+relax_e!D52)*2625.5</f>
        <v>12.87099807</v>
      </c>
      <c r="E44" s="8">
        <f t="shared" si="1"/>
        <v>91.66302214</v>
      </c>
      <c r="F44" s="8">
        <f>-((total!G44+ssos_corr!E52)/$B44-(shell_e!D52+shell_e!G52)+relax_e!D52+relax_e!G52)*2625.5</f>
        <v>104.5340202</v>
      </c>
      <c r="G44" s="8">
        <f>-((total!G44+ssos_corr!F52)/$B44-(shell_e!D52+shell_e!H52)+relax_e!D52+relax_e!H52)*2625.5</f>
        <v>83.5680091</v>
      </c>
      <c r="H44" s="8">
        <f>-((total!$G44+ssos_corr!G52)/$B44-(shell_e!$D52+shell_e!I52)+relax_e!$D52+relax_e!I52)*2625.5</f>
        <v>73.08500355</v>
      </c>
      <c r="I44" s="8">
        <f>-((total!$G44+ssos_corr!H52)/$B44-(shell_e!$D52+shell_e!J52)+relax_e!$D52+relax_e!J52)*2625.5</f>
        <v>89.89286212</v>
      </c>
      <c r="J44" s="1" t="s">
        <v>24</v>
      </c>
    </row>
    <row r="45">
      <c r="A45" s="7" t="s">
        <v>23</v>
      </c>
      <c r="B45" s="7">
        <v>4.0</v>
      </c>
      <c r="C45" s="7" t="s">
        <v>50</v>
      </c>
      <c r="D45" s="8">
        <f>-(total!G45/$B45-shell_e!D53+relax_e!D53)*2625.5</f>
        <v>12.87099807</v>
      </c>
      <c r="E45" s="8">
        <f t="shared" si="1"/>
        <v>94.73575016</v>
      </c>
      <c r="F45" s="8">
        <f>-((total!G45+ssos_corr!E53)/$B45-(shell_e!D53+shell_e!G53)+relax_e!D53+relax_e!G53)*2625.5</f>
        <v>107.6067482</v>
      </c>
      <c r="G45" s="8">
        <f>-((total!G45+ssos_corr!F53)/$B45-(shell_e!D53+shell_e!H53)+relax_e!D53+relax_e!H53)*2625.5</f>
        <v>86.19169563</v>
      </c>
      <c r="H45" s="8">
        <f>-((total!$G45+ssos_corr!G53)/$B45-(shell_e!$D53+shell_e!I53)+relax_e!$D53+relax_e!I53)*2625.5</f>
        <v>75.48416933</v>
      </c>
      <c r="I45" s="8">
        <f>-((total!$G45+ssos_corr!H53)/$B45-(shell_e!$D53+shell_e!J53)+relax_e!$D53+relax_e!J53)*2625.5</f>
        <v>92.21417546</v>
      </c>
      <c r="J45" s="1" t="s">
        <v>24</v>
      </c>
    </row>
    <row r="46">
      <c r="A46" s="7" t="s">
        <v>54</v>
      </c>
      <c r="B46" s="7">
        <v>2.0</v>
      </c>
      <c r="C46" s="7" t="s">
        <v>47</v>
      </c>
      <c r="D46" s="8">
        <f>-(total!G46/$B46-shell_e!D54+relax_e!D54)*2625.5</f>
        <v>-38.52991375</v>
      </c>
      <c r="E46" s="8">
        <f t="shared" si="1"/>
        <v>129.5921784</v>
      </c>
      <c r="F46" s="8">
        <f>-((total!G46+ssos_corr!E54)/$B46-(shell_e!D54+shell_e!G54)+relax_e!D54+relax_e!G54)*2625.5</f>
        <v>91.06226468</v>
      </c>
      <c r="G46" s="8">
        <f>-((total!G46+ssos_corr!F54)/$B46-(shell_e!D54+shell_e!H54)+relax_e!D54+relax_e!H54)*2625.5</f>
        <v>61.01945021</v>
      </c>
      <c r="H46" s="8">
        <f>-((total!$G46+ssos_corr!G54)/$B46-(shell_e!$D54+shell_e!I54)+relax_e!$D54+relax_e!I54)*2625.5</f>
        <v>45.99804297</v>
      </c>
      <c r="I46" s="8">
        <f>-((total!$G46+ssos_corr!H54)/$B46-(shell_e!$D54+shell_e!J54)+relax_e!$D54+relax_e!J54)*2625.5</f>
        <v>70.77485683</v>
      </c>
      <c r="J46" s="1" t="s">
        <v>16</v>
      </c>
    </row>
    <row r="47">
      <c r="A47" s="7" t="s">
        <v>54</v>
      </c>
      <c r="B47" s="7">
        <v>2.0</v>
      </c>
      <c r="C47" s="7" t="s">
        <v>48</v>
      </c>
      <c r="D47" s="8">
        <f>-(total!G47/$B47-shell_e!D55+relax_e!D55)*2625.5</f>
        <v>-41.61900974</v>
      </c>
      <c r="E47" s="8">
        <f t="shared" si="1"/>
        <v>156.5079947</v>
      </c>
      <c r="F47" s="8">
        <f>-((total!G47+ssos_corr!E55)/$B47-(shell_e!D55+shell_e!G55)+relax_e!D55+relax_e!G55)*2625.5</f>
        <v>114.8889849</v>
      </c>
      <c r="G47" s="8">
        <f>-((total!G47+ssos_corr!F55)/$B47-(shell_e!D55+shell_e!H55)+relax_e!D55+relax_e!H55)*2625.5</f>
        <v>80.17950417</v>
      </c>
      <c r="H47" s="8">
        <f>-((total!$G47+ssos_corr!G55)/$B47-(shell_e!$D55+shell_e!I55)+relax_e!$D55+relax_e!I55)*2625.5</f>
        <v>62.82476379</v>
      </c>
      <c r="I47" s="8">
        <f>-((total!$G47+ssos_corr!H55)/$B47-(shell_e!$D55+shell_e!J55)+relax_e!$D55+relax_e!J55)*2625.5</f>
        <v>88.77248921</v>
      </c>
      <c r="J47" s="1" t="s">
        <v>16</v>
      </c>
    </row>
    <row r="48">
      <c r="A48" s="7" t="s">
        <v>54</v>
      </c>
      <c r="B48" s="7">
        <v>2.0</v>
      </c>
      <c r="C48" s="7" t="s">
        <v>49</v>
      </c>
      <c r="D48" s="8">
        <f>-(total!G48/$B48-shell_e!D56+relax_e!D56)*2625.5</f>
        <v>-42.26419657</v>
      </c>
      <c r="E48" s="8">
        <f t="shared" si="1"/>
        <v>161.233269</v>
      </c>
      <c r="F48" s="8">
        <f>-((total!G48+ssos_corr!E56)/$B48-(shell_e!D56+shell_e!G56)+relax_e!D56+relax_e!G56)*2625.5</f>
        <v>118.9690724</v>
      </c>
      <c r="G48" s="8">
        <f>-((total!G48+ssos_corr!F56)/$B48-(shell_e!D56+shell_e!H56)+relax_e!D56+relax_e!H56)*2625.5</f>
        <v>83.28759204</v>
      </c>
      <c r="H48" s="8">
        <f>-((total!$G48+ssos_corr!G56)/$B48-(shell_e!$D56+shell_e!I56)+relax_e!$D56+relax_e!I56)*2625.5</f>
        <v>65.44685187</v>
      </c>
      <c r="I48" s="8">
        <f>-((total!$G48+ssos_corr!H56)/$B48-(shell_e!$D56+shell_e!J56)+relax_e!$D56+relax_e!J56)*2625.5</f>
        <v>91.98607955</v>
      </c>
      <c r="J48" s="1" t="s">
        <v>16</v>
      </c>
    </row>
    <row r="49">
      <c r="A49" s="7" t="s">
        <v>54</v>
      </c>
      <c r="B49" s="7">
        <v>2.0</v>
      </c>
      <c r="C49" s="7" t="s">
        <v>50</v>
      </c>
      <c r="D49" s="8">
        <f>-(total!G49/$B49-shell_e!D57+relax_e!D57)*2625.5</f>
        <v>-42.26419657</v>
      </c>
      <c r="E49" s="8">
        <f t="shared" si="1"/>
        <v>164.6814421</v>
      </c>
      <c r="F49" s="8">
        <f>-((total!G49+ssos_corr!E57)/$B49-(shell_e!D57+shell_e!G57)+relax_e!D57+relax_e!G57)*2625.5</f>
        <v>122.4172455</v>
      </c>
      <c r="G49" s="8">
        <f>-((total!G49+ssos_corr!F57)/$B49-(shell_e!D57+shell_e!H57)+relax_e!D57+relax_e!H57)*2625.5</f>
        <v>86.02646818</v>
      </c>
      <c r="H49" s="8">
        <f>-((total!$G49+ssos_corr!G57)/$B49-(shell_e!$D57+shell_e!I57)+relax_e!$D57+relax_e!I57)*2625.5</f>
        <v>67.8310795</v>
      </c>
      <c r="I49" s="8">
        <f>-((total!$G49+ssos_corr!H57)/$B49-(shell_e!$D57+shell_e!J57)+relax_e!$D57+relax_e!J57)*2625.5</f>
        <v>94.80194397</v>
      </c>
      <c r="J49" s="1" t="s">
        <v>16</v>
      </c>
    </row>
    <row r="50">
      <c r="A50" s="7" t="s">
        <v>55</v>
      </c>
      <c r="B50" s="7">
        <v>4.0</v>
      </c>
      <c r="C50" s="7" t="s">
        <v>47</v>
      </c>
      <c r="D50" s="8">
        <f>-(total!G50/$B50-shell_e!D58+relax_e!D58)*2625.5</f>
        <v>38.44133597</v>
      </c>
      <c r="E50" s="8">
        <f t="shared" si="1"/>
        <v>22.16388481</v>
      </c>
      <c r="F50" s="8">
        <f>-((total!G50+ssos_corr!E58)/$B50-(shell_e!D58+shell_e!G58)+relax_e!D58+relax_e!G58)*2625.5</f>
        <v>60.60522078</v>
      </c>
      <c r="G50" s="8">
        <f>-((total!G50+ssos_corr!F58)/$B50-(shell_e!D58+shell_e!H58)+relax_e!D58+relax_e!H58)*2625.5</f>
        <v>47.55744921</v>
      </c>
      <c r="H50" s="8">
        <f>-((total!$G50+ssos_corr!G58)/$B50-(shell_e!$D58+shell_e!I58)+relax_e!$D58+relax_e!I58)*2625.5</f>
        <v>41.03356343</v>
      </c>
      <c r="I50" s="8">
        <f>-((total!$G50+ssos_corr!H58)/$B50-(shell_e!$D58+shell_e!J58)+relax_e!$D58+relax_e!J58)*2625.5</f>
        <v>65.25806857</v>
      </c>
      <c r="J50" s="1" t="s">
        <v>13</v>
      </c>
    </row>
    <row r="51">
      <c r="A51" s="7" t="s">
        <v>55</v>
      </c>
      <c r="B51" s="7">
        <v>4.0</v>
      </c>
      <c r="C51" s="7" t="s">
        <v>48</v>
      </c>
      <c r="D51" s="8">
        <f>-(total!G51/$B51-shell_e!D59+relax_e!D59)*2625.5</f>
        <v>35.56689522</v>
      </c>
      <c r="E51" s="8">
        <f t="shared" si="1"/>
        <v>49.33420912</v>
      </c>
      <c r="F51" s="8">
        <f>-((total!G51+ssos_corr!E59)/$B51-(shell_e!D59+shell_e!G59)+relax_e!D59+relax_e!G59)*2625.5</f>
        <v>84.90110434</v>
      </c>
      <c r="G51" s="8">
        <f>-((total!G51+ssos_corr!F59)/$B51-(shell_e!D59+shell_e!H59)+relax_e!D59+relax_e!H59)*2625.5</f>
        <v>67.15051646</v>
      </c>
      <c r="H51" s="8">
        <f>-((total!$G51+ssos_corr!G59)/$B51-(shell_e!$D59+shell_e!I59)+relax_e!$D59+relax_e!I59)*2625.5</f>
        <v>58.27522252</v>
      </c>
      <c r="I51" s="8">
        <f>-((total!$G51+ssos_corr!H59)/$B51-(shell_e!$D59+shell_e!J59)+relax_e!$D59+relax_e!J59)*2625.5</f>
        <v>83.66155476</v>
      </c>
      <c r="J51" s="1" t="s">
        <v>13</v>
      </c>
    </row>
    <row r="52">
      <c r="A52" s="7" t="s">
        <v>55</v>
      </c>
      <c r="B52" s="7">
        <v>4.0</v>
      </c>
      <c r="C52" s="7" t="s">
        <v>49</v>
      </c>
      <c r="D52" s="8">
        <f>-(total!G52/$B52-shell_e!D60+relax_e!D60)*2625.5</f>
        <v>35.07326304</v>
      </c>
      <c r="E52" s="8">
        <f t="shared" si="1"/>
        <v>59.8012914</v>
      </c>
      <c r="F52" s="8">
        <f>-((total!G52+ssos_corr!E60)/$B52-(shell_e!D60+shell_e!G60)+relax_e!D60+relax_e!G60)*2625.5</f>
        <v>94.87455444</v>
      </c>
      <c r="G52" s="8">
        <f>-((total!G52+ssos_corr!F60)/$B52-(shell_e!D60+shell_e!H60)+relax_e!D60+relax_e!H60)*2625.5</f>
        <v>75.66223518</v>
      </c>
      <c r="H52" s="8">
        <f>-((total!$G52+ssos_corr!G60)/$B52-(shell_e!$D60+shell_e!I60)+relax_e!$D60+relax_e!I60)*2625.5</f>
        <v>66.05607555</v>
      </c>
      <c r="I52" s="8">
        <f>-((total!$G52+ssos_corr!H60)/$B52-(shell_e!$D60+shell_e!J60)+relax_e!$D60+relax_e!J60)*2625.5</f>
        <v>91.00561884</v>
      </c>
      <c r="J52" s="1" t="s">
        <v>13</v>
      </c>
    </row>
    <row r="53">
      <c r="A53" s="7" t="s">
        <v>55</v>
      </c>
      <c r="B53" s="7">
        <v>4.0</v>
      </c>
      <c r="C53" s="7" t="s">
        <v>50</v>
      </c>
      <c r="D53" s="8">
        <f>-(total!G53/$B53-shell_e!D61+relax_e!D61)*2625.5</f>
        <v>35.07326304</v>
      </c>
      <c r="E53" s="8">
        <f t="shared" si="1"/>
        <v>67.43943252</v>
      </c>
      <c r="F53" s="8">
        <f>-((total!G53+ssos_corr!E61)/$B53-(shell_e!D61+shell_e!G61)+relax_e!D61+relax_e!G61)*2625.5</f>
        <v>102.5126956</v>
      </c>
      <c r="G53" s="8">
        <f>-((total!G53+ssos_corr!F61)/$B53-(shell_e!D61+shell_e!H61)+relax_e!D61+relax_e!H61)*2625.5</f>
        <v>82.23370746</v>
      </c>
      <c r="H53" s="8">
        <f>-((total!$G53+ssos_corr!G61)/$B53-(shell_e!$D61+shell_e!I61)+relax_e!$D61+relax_e!I61)*2625.5</f>
        <v>72.09421341</v>
      </c>
      <c r="I53" s="8">
        <f>-((total!$G53+ssos_corr!H61)/$B53-(shell_e!$D61+shell_e!J61)+relax_e!$D61+relax_e!J61)*2625.5</f>
        <v>96.72501882</v>
      </c>
      <c r="J53" s="1" t="s">
        <v>13</v>
      </c>
    </row>
    <row r="54">
      <c r="A54" s="7" t="s">
        <v>56</v>
      </c>
      <c r="B54" s="7">
        <v>2.0</v>
      </c>
      <c r="C54" s="7" t="s">
        <v>47</v>
      </c>
      <c r="D54" s="8">
        <f>-(total!G54/$B54-shell_e!D62+relax_e!D62)*2625.5</f>
        <v>52.98249951</v>
      </c>
      <c r="E54" s="8">
        <f t="shared" si="1"/>
        <v>48.17586769</v>
      </c>
      <c r="F54" s="8">
        <f>-((total!G54+ssos_corr!E62)/$B54-(shell_e!D62+shell_e!G62)+relax_e!D62+relax_e!G62)*2625.5</f>
        <v>101.1583672</v>
      </c>
      <c r="G54" s="8">
        <f>-((total!G54+ssos_corr!F62)/$B54-(shell_e!D62+shell_e!H62)+relax_e!D62+relax_e!H62)*2625.5</f>
        <v>86.39835633</v>
      </c>
      <c r="H54" s="8">
        <f>-((total!$G54+ssos_corr!G62)/$B54-(shell_e!$D62+shell_e!I62)+relax_e!$D62+relax_e!I62)*2625.5</f>
        <v>79.0183509</v>
      </c>
      <c r="I54" s="8">
        <f>-((total!$G54+ssos_corr!H62)/$B54-(shell_e!$D62+shell_e!J62)+relax_e!$D62+relax_e!J62)*2625.5</f>
        <v>97.30482441</v>
      </c>
      <c r="J54" s="1" t="s">
        <v>13</v>
      </c>
    </row>
    <row r="55">
      <c r="A55" s="7" t="s">
        <v>56</v>
      </c>
      <c r="B55" s="7">
        <v>2.0</v>
      </c>
      <c r="C55" s="7" t="s">
        <v>48</v>
      </c>
      <c r="D55" s="8">
        <f>-(total!G55/$B55-shell_e!D63+relax_e!D63)*2625.5</f>
        <v>35.82736907</v>
      </c>
      <c r="E55" s="8">
        <f t="shared" si="1"/>
        <v>66.21208131</v>
      </c>
      <c r="F55" s="8">
        <f>-((total!G55+ssos_corr!E63)/$B55-(shell_e!D63+shell_e!G63)+relax_e!D63+relax_e!G63)*2625.5</f>
        <v>102.0394504</v>
      </c>
      <c r="G55" s="8">
        <f>-((total!G55+ssos_corr!F63)/$B55-(shell_e!D63+shell_e!H63)+relax_e!D63+relax_e!H63)*2625.5</f>
        <v>83.57419834</v>
      </c>
      <c r="H55" s="8">
        <f>-((total!$G55+ssos_corr!G63)/$B55-(shell_e!$D63+shell_e!I63)+relax_e!$D63+relax_e!I63)*2625.5</f>
        <v>74.34157232</v>
      </c>
      <c r="I55" s="8">
        <f>-((total!$G55+ssos_corr!H63)/$B55-(shell_e!$D63+shell_e!J63)+relax_e!$D63+relax_e!J63)*2625.5</f>
        <v>94.87353788</v>
      </c>
      <c r="J55" s="1" t="s">
        <v>13</v>
      </c>
    </row>
    <row r="56">
      <c r="A56" s="7" t="s">
        <v>56</v>
      </c>
      <c r="B56" s="7">
        <v>2.0</v>
      </c>
      <c r="C56" s="7" t="s">
        <v>49</v>
      </c>
      <c r="D56" s="8">
        <f>-(total!G56/$B56-shell_e!D64+relax_e!D64)*2625.5</f>
        <v>30.38855655</v>
      </c>
      <c r="E56" s="8">
        <f t="shared" si="1"/>
        <v>70.91348241</v>
      </c>
      <c r="F56" s="8">
        <f>-((total!G56+ssos_corr!E64)/$B56-(shell_e!D64+shell_e!G64)+relax_e!D64+relax_e!G64)*2625.5</f>
        <v>101.302039</v>
      </c>
      <c r="G56" s="8">
        <f>-((total!G56+ssos_corr!F64)/$B56-(shell_e!D64+shell_e!H64)+relax_e!D64+relax_e!H64)*2625.5</f>
        <v>81.71434472</v>
      </c>
      <c r="H56" s="8">
        <f>-((total!$G56+ssos_corr!G64)/$B56-(shell_e!$D64+shell_e!I64)+relax_e!$D64+relax_e!I64)*2625.5</f>
        <v>71.9204976</v>
      </c>
      <c r="I56" s="8">
        <f>-((total!$G56+ssos_corr!H64)/$B56-(shell_e!$D64+shell_e!J64)+relax_e!$D64+relax_e!J64)*2625.5</f>
        <v>93.43354306</v>
      </c>
      <c r="J56" s="1" t="s">
        <v>13</v>
      </c>
    </row>
    <row r="57">
      <c r="A57" s="7" t="s">
        <v>56</v>
      </c>
      <c r="B57" s="7">
        <v>2.0</v>
      </c>
      <c r="C57" s="7" t="s">
        <v>50</v>
      </c>
      <c r="D57" s="8">
        <f>-(total!G57/$B57-shell_e!D65+relax_e!D65)*2625.5</f>
        <v>30.38855655</v>
      </c>
      <c r="E57" s="8">
        <f t="shared" si="1"/>
        <v>74.34423457</v>
      </c>
      <c r="F57" s="8">
        <f>-((total!G57+ssos_corr!E65)/$B57-(shell_e!D65+shell_e!G65)+relax_e!D65+relax_e!G65)*2625.5</f>
        <v>104.7327911</v>
      </c>
      <c r="G57" s="8">
        <f>-((total!G57+ssos_corr!F65)/$B57-(shell_e!D65+shell_e!H65)+relax_e!D65+relax_e!H65)*2625.5</f>
        <v>84.32601743</v>
      </c>
      <c r="H57" s="8">
        <f>-((total!$G57+ssos_corr!G65)/$B57-(shell_e!$D65+shell_e!I65)+relax_e!$D65+relax_e!I65)*2625.5</f>
        <v>74.12263058</v>
      </c>
      <c r="I57" s="8">
        <f>-((total!$G57+ssos_corr!H65)/$B57-(shell_e!$D65+shell_e!J65)+relax_e!$D65+relax_e!J65)*2625.5</f>
        <v>96.35159923</v>
      </c>
      <c r="J57" s="1" t="s">
        <v>13</v>
      </c>
    </row>
    <row r="58">
      <c r="A58" s="7" t="s">
        <v>28</v>
      </c>
      <c r="B58" s="7">
        <v>2.0</v>
      </c>
      <c r="C58" s="7" t="s">
        <v>47</v>
      </c>
      <c r="D58" s="8">
        <f>-(total!G58/$B58-shell_e!D66+relax_e!D66)*2625.5</f>
        <v>-3.803897164</v>
      </c>
      <c r="E58" s="8">
        <f t="shared" si="1"/>
        <v>93.63626023</v>
      </c>
      <c r="F58" s="8">
        <f>-((total!G58+ssos_corr!E66)/$B58-(shell_e!D66+shell_e!G66)+relax_e!D66+relax_e!G66)*2625.5</f>
        <v>89.83236306</v>
      </c>
      <c r="G58" s="8">
        <f>-((total!G58+ssos_corr!F66)/$B58-(shell_e!D66+shell_e!H66)+relax_e!D66+relax_e!H66)*2625.5</f>
        <v>69.81317429</v>
      </c>
      <c r="H58" s="8">
        <f>-((total!$G58+ssos_corr!G66)/$B58-(shell_e!$D66+shell_e!I66)+relax_e!$D66+relax_e!I66)*2625.5</f>
        <v>59.8035799</v>
      </c>
      <c r="I58" s="8">
        <f>-((total!$G58+ssos_corr!H66)/$B58-(shell_e!$D66+shell_e!J66)+relax_e!$D66+relax_e!J66)*2625.5</f>
        <v>73.44022116</v>
      </c>
      <c r="J58" s="1" t="s">
        <v>16</v>
      </c>
    </row>
    <row r="59">
      <c r="A59" s="7" t="s">
        <v>28</v>
      </c>
      <c r="B59" s="7">
        <v>2.0</v>
      </c>
      <c r="C59" s="7" t="s">
        <v>48</v>
      </c>
      <c r="D59" s="8">
        <f>-(total!G59/$B59-shell_e!D67+relax_e!D67)*2625.5</f>
        <v>-15.50469707</v>
      </c>
      <c r="E59" s="8">
        <f t="shared" si="1"/>
        <v>107.077445</v>
      </c>
      <c r="F59" s="8">
        <f>-((total!G59+ssos_corr!E67)/$B59-(shell_e!D67+shell_e!G67)+relax_e!D67+relax_e!G67)*2625.5</f>
        <v>91.57274791</v>
      </c>
      <c r="G59" s="8">
        <f>-((total!G59+ssos_corr!F67)/$B59-(shell_e!D67+shell_e!H67)+relax_e!D67+relax_e!H67)*2625.5</f>
        <v>68.85516024</v>
      </c>
      <c r="H59" s="8">
        <f>-((total!$G59+ssos_corr!G67)/$B59-(shell_e!$D67+shell_e!I67)+relax_e!$D67+relax_e!I67)*2625.5</f>
        <v>57.4963664</v>
      </c>
      <c r="I59" s="8">
        <f>-((total!$G59+ssos_corr!H67)/$B59-(shell_e!$D67+shell_e!J67)+relax_e!$D67+relax_e!J67)*2625.5</f>
        <v>72.64755581</v>
      </c>
      <c r="J59" s="1" t="s">
        <v>16</v>
      </c>
    </row>
    <row r="60">
      <c r="A60" s="7" t="s">
        <v>28</v>
      </c>
      <c r="B60" s="7">
        <v>2.0</v>
      </c>
      <c r="C60" s="7" t="s">
        <v>49</v>
      </c>
      <c r="D60" s="8">
        <f>-(total!G60/$B60-shell_e!D68+relax_e!D68)*2625.5</f>
        <v>-18.44401444</v>
      </c>
      <c r="E60" s="8">
        <f t="shared" si="1"/>
        <v>108.8805673</v>
      </c>
      <c r="F60" s="8">
        <f>-((total!G60+ssos_corr!E68)/$B60-(shell_e!D68+shell_e!G68)+relax_e!D68+relax_e!G68)*2625.5</f>
        <v>90.43655286</v>
      </c>
      <c r="G60" s="8">
        <f>-((total!G60+ssos_corr!F68)/$B60-(shell_e!D68+shell_e!H68)+relax_e!D68+relax_e!H68)*2625.5</f>
        <v>67.07590191</v>
      </c>
      <c r="H60" s="8">
        <f>-((total!$G60+ssos_corr!G68)/$B60-(shell_e!$D68+shell_e!I68)+relax_e!$D68+relax_e!I68)*2625.5</f>
        <v>55.39557643</v>
      </c>
      <c r="I60" s="8">
        <f>-((total!$G60+ssos_corr!H68)/$B60-(shell_e!$D68+shell_e!J68)+relax_e!$D68+relax_e!J68)*2625.5</f>
        <v>71.46019748</v>
      </c>
      <c r="J60" s="1" t="s">
        <v>16</v>
      </c>
    </row>
    <row r="61">
      <c r="A61" s="7" t="s">
        <v>28</v>
      </c>
      <c r="B61" s="7">
        <v>2.0</v>
      </c>
      <c r="C61" s="7" t="s">
        <v>50</v>
      </c>
      <c r="D61" s="8">
        <f>-(total!G61/$B61-shell_e!D69+relax_e!D69)*2625.5</f>
        <v>-18.44401444</v>
      </c>
      <c r="E61" s="8">
        <f t="shared" si="1"/>
        <v>110.1963593</v>
      </c>
      <c r="F61" s="8">
        <f>-((total!G61+ssos_corr!E69)/$B61-(shell_e!D69+shell_e!G69)+relax_e!D69+relax_e!G69)*2625.5</f>
        <v>91.75234483</v>
      </c>
      <c r="G61" s="8">
        <f>-((total!G61+ssos_corr!F69)/$B61-(shell_e!D69+shell_e!H69)+relax_e!D69+relax_e!H69)*2625.5</f>
        <v>67.92243148</v>
      </c>
      <c r="H61" s="8">
        <f>-((total!$G61+ssos_corr!G69)/$B61-(shell_e!$D69+shell_e!I69)+relax_e!$D69+relax_e!I69)*2625.5</f>
        <v>56.0074748</v>
      </c>
      <c r="I61" s="8">
        <f>-((total!$G61+ssos_corr!H69)/$B61-(shell_e!$D69+shell_e!J69)+relax_e!$D69+relax_e!J69)*2625.5</f>
        <v>72.73865408</v>
      </c>
      <c r="J61" s="1" t="s">
        <v>16</v>
      </c>
    </row>
    <row r="62">
      <c r="A62" s="1" t="s">
        <v>35</v>
      </c>
      <c r="B62" s="1">
        <v>8.0</v>
      </c>
      <c r="C62" s="1" t="s">
        <v>47</v>
      </c>
      <c r="D62" s="8">
        <f>-(total!G62/$B62-shell_e!D70+relax_e!D70)*2625.5</f>
        <v>8.405018915</v>
      </c>
      <c r="E62" s="8">
        <f t="shared" si="1"/>
        <v>33.87926873</v>
      </c>
      <c r="F62" s="8">
        <f>-((total!G62+ssos_corr!E70)/$B62-(shell_e!D70+shell_e!G70)+relax_e!D70+relax_e!G70)*2625.5</f>
        <v>42.28428764</v>
      </c>
      <c r="G62" s="8">
        <f>-((total!G62+ssos_corr!F70)/$B62-(shell_e!D70+shell_e!H70)+relax_e!D70+relax_e!H70)*2625.5</f>
        <v>30.12280851</v>
      </c>
      <c r="H62" s="8">
        <f>-((total!$G62+ssos_corr!G70)/$B62-(shell_e!$D70+shell_e!I70)+relax_e!$D70+relax_e!I70)*2625.5</f>
        <v>24.04206895</v>
      </c>
      <c r="I62" s="8">
        <f>-((total!$G62+ssos_corr!H70)/$B62-(shell_e!$D70+shell_e!J70)+relax_e!$D70+relax_e!J70)*2625.5</f>
        <v>41.40391055</v>
      </c>
      <c r="J62" s="1" t="s">
        <v>24</v>
      </c>
    </row>
    <row r="63">
      <c r="A63" s="1" t="s">
        <v>35</v>
      </c>
      <c r="B63" s="1">
        <v>8.0</v>
      </c>
      <c r="C63" s="1" t="s">
        <v>48</v>
      </c>
      <c r="D63" s="8">
        <f>-(total!G63/$B63-shell_e!D71+relax_e!D71)*2625.5</f>
        <v>6.327144577</v>
      </c>
      <c r="E63" s="8">
        <f t="shared" si="1"/>
        <v>49.49594159</v>
      </c>
      <c r="F63" s="8">
        <f>-((total!G63+ssos_corr!E71)/$B63-(shell_e!D71+shell_e!G71)+relax_e!D71+relax_e!G71)*2625.5</f>
        <v>55.82308616</v>
      </c>
      <c r="G63" s="8">
        <f>-((total!G63+ssos_corr!F71)/$B63-(shell_e!D71+shell_e!H71)+relax_e!D71+relax_e!H71)*2625.5</f>
        <v>41.07161493</v>
      </c>
      <c r="H63" s="8">
        <f>-((total!$G63+ssos_corr!G71)/$B63-(shell_e!$D71+shell_e!I71)+relax_e!$D71+relax_e!I71)*2625.5</f>
        <v>33.69587931</v>
      </c>
      <c r="I63" s="8">
        <f>-((total!$G63+ssos_corr!H71)/$B63-(shell_e!$D71+shell_e!J71)+relax_e!$D71+relax_e!J71)*2625.5</f>
        <v>51.43985237</v>
      </c>
      <c r="J63" s="1" t="s">
        <v>24</v>
      </c>
    </row>
    <row r="64">
      <c r="A64" s="1" t="s">
        <v>35</v>
      </c>
      <c r="B64" s="1">
        <v>8.0</v>
      </c>
      <c r="C64" s="1" t="s">
        <v>49</v>
      </c>
      <c r="D64" s="8">
        <f>-(total!G64/$B64-shell_e!D72+relax_e!D72)*2625.5</f>
        <v>6.267897154</v>
      </c>
      <c r="E64" s="8">
        <f t="shared" si="1"/>
        <v>54.61244423</v>
      </c>
      <c r="F64" s="8">
        <f>-((total!G64+ssos_corr!E72)/$B64-(shell_e!D72+shell_e!G72)+relax_e!D72+relax_e!G72)*2625.5</f>
        <v>60.88034139</v>
      </c>
      <c r="G64" s="8">
        <f>-((total!G64+ssos_corr!F72)/$B64-(shell_e!D72+shell_e!H72)+relax_e!D72+relax_e!H72)*2625.5</f>
        <v>45.43680172</v>
      </c>
      <c r="H64" s="8">
        <f>-((total!$G64+ssos_corr!G72)/$B64-(shell_e!$D72+shell_e!I72)+relax_e!$D72+relax_e!I72)*2625.5</f>
        <v>37.71503189</v>
      </c>
      <c r="I64" s="8">
        <f>-((total!$G64+ssos_corr!H72)/$B64-(shell_e!$D72+shell_e!J72)+relax_e!$D72+relax_e!J72)*2625.5</f>
        <v>55.18875798</v>
      </c>
      <c r="J64" s="1" t="s">
        <v>24</v>
      </c>
    </row>
    <row r="65">
      <c r="A65" s="1" t="s">
        <v>35</v>
      </c>
      <c r="B65" s="1">
        <v>8.0</v>
      </c>
      <c r="C65" s="1" t="s">
        <v>50</v>
      </c>
      <c r="D65" s="8">
        <f>-(total!G65/$B65-shell_e!D73+relax_e!D73)*2625.5</f>
        <v>6.267897154</v>
      </c>
      <c r="E65" s="8">
        <f t="shared" si="1"/>
        <v>58.34610833</v>
      </c>
      <c r="F65" s="8">
        <f>-((total!G65+ssos_corr!E73)/$B65-(shell_e!D73+shell_e!G73)+relax_e!D73+relax_e!G73)*2625.5</f>
        <v>64.61400548</v>
      </c>
      <c r="G65" s="8">
        <f>-((total!G65+ssos_corr!F73)/$B65-(shell_e!D73+shell_e!H73)+relax_e!D73+relax_e!H73)*2625.5</f>
        <v>48.66544291</v>
      </c>
      <c r="H65" s="8">
        <f>-((total!$G65+ssos_corr!G73)/$B65-(shell_e!$D73+shell_e!I73)+relax_e!$D73+relax_e!I73)*2625.5</f>
        <v>40.69116162</v>
      </c>
      <c r="I65" s="8">
        <f>-((total!$G65+ssos_corr!H73)/$B65-(shell_e!$D73+shell_e!J73)+relax_e!$D73+relax_e!J73)*2625.5</f>
        <v>57.96768046</v>
      </c>
      <c r="J65" s="1" t="s">
        <v>24</v>
      </c>
    </row>
    <row r="66">
      <c r="A66" s="7" t="s">
        <v>57</v>
      </c>
      <c r="B66" s="7">
        <v>2.0</v>
      </c>
      <c r="C66" s="7" t="s">
        <v>47</v>
      </c>
      <c r="D66" s="8">
        <f>-(total!G66/$B66-shell_e!D74+relax_e!D74)*2625.5</f>
        <v>32.04715994</v>
      </c>
      <c r="E66" s="8">
        <f t="shared" si="1"/>
        <v>74.55381775</v>
      </c>
      <c r="F66" s="8">
        <f>-((total!G66+ssos_corr!E74)/$B66-(shell_e!D74+shell_e!G74)+relax_e!D74+relax_e!G74)*2625.5</f>
        <v>106.6009777</v>
      </c>
      <c r="G66" s="8">
        <f>-((total!G66+ssos_corr!F74)/$B66-(shell_e!D74+shell_e!H74)+relax_e!D74+relax_e!H74)*2625.5</f>
        <v>84.71765578</v>
      </c>
      <c r="H66" s="8">
        <f>-((total!$G66+ssos_corr!G74)/$B66-(shell_e!$D74+shell_e!I74)+relax_e!$D74+relax_e!I74)*2625.5</f>
        <v>73.77599482</v>
      </c>
      <c r="I66" s="8">
        <f>-((total!$G66+ssos_corr!H74)/$B66-(shell_e!$D74+shell_e!J74)+relax_e!$D74+relax_e!J74)*2625.5</f>
        <v>99.6533825</v>
      </c>
      <c r="J66" s="1" t="s">
        <v>13</v>
      </c>
    </row>
    <row r="67">
      <c r="A67" s="7" t="s">
        <v>57</v>
      </c>
      <c r="B67" s="7">
        <v>2.0</v>
      </c>
      <c r="C67" s="7" t="s">
        <v>48</v>
      </c>
      <c r="D67" s="8">
        <f>-(total!G67/$B67-shell_e!D75+relax_e!D75)*2625.5</f>
        <v>22.33215755</v>
      </c>
      <c r="E67" s="8">
        <f t="shared" si="1"/>
        <v>99.26643061</v>
      </c>
      <c r="F67" s="8">
        <f>-((total!G67+ssos_corr!E75)/$B67-(shell_e!D75+shell_e!G75)+relax_e!D75+relax_e!G75)*2625.5</f>
        <v>121.5985882</v>
      </c>
      <c r="G67" s="8">
        <f>-((total!G67+ssos_corr!F75)/$B67-(shell_e!D75+shell_e!H75)+relax_e!D75+relax_e!H75)*2625.5</f>
        <v>94.99208883</v>
      </c>
      <c r="H67" s="8">
        <f>-((total!$G67+ssos_corr!G75)/$B67-(shell_e!$D75+shell_e!I75)+relax_e!$D75+relax_e!I75)*2625.5</f>
        <v>81.68883917</v>
      </c>
      <c r="I67" s="8">
        <f>-((total!$G67+ssos_corr!H75)/$B67-(shell_e!$D75+shell_e!J75)+relax_e!$D75+relax_e!J75)*2625.5</f>
        <v>109.7493556</v>
      </c>
      <c r="J67" s="1" t="s">
        <v>13</v>
      </c>
    </row>
    <row r="68">
      <c r="A68" s="7" t="s">
        <v>57</v>
      </c>
      <c r="B68" s="7">
        <v>2.0</v>
      </c>
      <c r="C68" s="7" t="s">
        <v>49</v>
      </c>
      <c r="D68" s="8">
        <f>-(total!G68/$B68-shell_e!D76+relax_e!D76)*2625.5</f>
        <v>20.22949379</v>
      </c>
      <c r="E68" s="8">
        <f t="shared" si="1"/>
        <v>105.7859778</v>
      </c>
      <c r="F68" s="8">
        <f>-((total!G68+ssos_corr!E76)/$B68-(shell_e!D76+shell_e!G76)+relax_e!D76+relax_e!G76)*2625.5</f>
        <v>126.0154715</v>
      </c>
      <c r="G68" s="8">
        <f>-((total!G68+ssos_corr!F76)/$B68-(shell_e!D76+shell_e!H76)+relax_e!D76+relax_e!H76)*2625.5</f>
        <v>98.12011166</v>
      </c>
      <c r="H68" s="8">
        <f>-((total!$G68+ssos_corr!G76)/$B68-(shell_e!$D76+shell_e!I76)+relax_e!$D76+relax_e!I76)*2625.5</f>
        <v>84.17243172</v>
      </c>
      <c r="I68" s="8">
        <f>-((total!$G68+ssos_corr!H76)/$B68-(shell_e!$D76+shell_e!J76)+relax_e!$D76+relax_e!J76)*2625.5</f>
        <v>112.9170861</v>
      </c>
      <c r="J68" s="1" t="s">
        <v>13</v>
      </c>
    </row>
    <row r="69">
      <c r="A69" s="7" t="s">
        <v>57</v>
      </c>
      <c r="B69" s="7">
        <v>2.0</v>
      </c>
      <c r="C69" s="7" t="s">
        <v>50</v>
      </c>
      <c r="D69" s="8">
        <f>-(total!G69/$B69-shell_e!D77+relax_e!D77)*2625.5</f>
        <v>20.22949379</v>
      </c>
      <c r="E69" s="8">
        <f t="shared" si="1"/>
        <v>110.5434851</v>
      </c>
      <c r="F69" s="8">
        <f>-((total!G69+ssos_corr!E77)/$B69-(shell_e!D77+shell_e!G77)+relax_e!D77+relax_e!G77)*2625.5</f>
        <v>130.7729789</v>
      </c>
      <c r="G69" s="8">
        <f>-((total!G69+ssos_corr!F77)/$B69-(shell_e!D77+shell_e!H77)+relax_e!D77+relax_e!H77)*2625.5</f>
        <v>101.9370992</v>
      </c>
      <c r="H69" s="8">
        <f>-((total!$G69+ssos_corr!G77)/$B69-(shell_e!$D77+shell_e!I77)+relax_e!$D77+relax_e!I77)*2625.5</f>
        <v>87.5191593</v>
      </c>
      <c r="I69" s="8">
        <f>-((total!$G69+ssos_corr!H77)/$B69-(shell_e!$D77+shell_e!J77)+relax_e!$D77+relax_e!J77)*2625.5</f>
        <v>116.7630494</v>
      </c>
      <c r="J69" s="1" t="s">
        <v>13</v>
      </c>
    </row>
    <row r="70">
      <c r="A70" s="7" t="s">
        <v>30</v>
      </c>
      <c r="B70" s="7">
        <v>6.0</v>
      </c>
      <c r="C70" s="7" t="s">
        <v>47</v>
      </c>
      <c r="D70" s="8">
        <f>-(total!G70/$B70-shell_e!D78+relax_e!D78)*2625.5</f>
        <v>11.6152199</v>
      </c>
      <c r="E70" s="8">
        <f t="shared" si="1"/>
        <v>68.8705684</v>
      </c>
      <c r="F70" s="8">
        <f>-((total!G70+ssos_corr!E78)/$B70-(shell_e!D78+shell_e!G78)+relax_e!D78+relax_e!G78)*2625.5</f>
        <v>80.4857883</v>
      </c>
      <c r="G70" s="8">
        <f>-((total!G70+ssos_corr!F78)/$B70-(shell_e!D78+shell_e!H78)+relax_e!D78+relax_e!H78)*2625.5</f>
        <v>65.02789967</v>
      </c>
      <c r="H70" s="8">
        <f>-((total!$G70+ssos_corr!G78)/$B70-(shell_e!$D78+shell_e!I78)+relax_e!$D78+relax_e!I78)*2625.5</f>
        <v>57.29895535</v>
      </c>
      <c r="I70" s="8">
        <f>-((total!$G70+ssos_corr!H78)/$B70-(shell_e!$D78+shell_e!J78)+relax_e!$D78+relax_e!J78)*2625.5</f>
        <v>69.18246502</v>
      </c>
      <c r="J70" s="1" t="s">
        <v>16</v>
      </c>
    </row>
    <row r="71">
      <c r="A71" s="7" t="s">
        <v>30</v>
      </c>
      <c r="B71" s="7">
        <v>6.0</v>
      </c>
      <c r="C71" s="7" t="s">
        <v>48</v>
      </c>
      <c r="D71" s="8">
        <f>-(total!G71/$B71-shell_e!D79+relax_e!D79)*2625.5</f>
        <v>-0.1089486355</v>
      </c>
      <c r="E71" s="8">
        <f t="shared" si="1"/>
        <v>80.26197075</v>
      </c>
      <c r="F71" s="8">
        <f>-((total!G71+ssos_corr!E79)/$B71-(shell_e!D79+shell_e!G79)+relax_e!D79+relax_e!G79)*2625.5</f>
        <v>80.15302212</v>
      </c>
      <c r="G71" s="8">
        <f>-((total!G71+ssos_corr!F79)/$B71-(shell_e!D79+shell_e!H79)+relax_e!D79+relax_e!H79)*2625.5</f>
        <v>62.32991083</v>
      </c>
      <c r="H71" s="8">
        <f>-((total!$G71+ssos_corr!G79)/$B71-(shell_e!$D79+shell_e!I79)+relax_e!$D79+relax_e!I79)*2625.5</f>
        <v>53.41835518</v>
      </c>
      <c r="I71" s="8">
        <f>-((total!$G71+ssos_corr!H79)/$B71-(shell_e!$D79+shell_e!J79)+relax_e!$D79+relax_e!J79)*2625.5</f>
        <v>66.78337795</v>
      </c>
      <c r="J71" s="1" t="s">
        <v>16</v>
      </c>
    </row>
    <row r="72">
      <c r="A72" s="7" t="s">
        <v>30</v>
      </c>
      <c r="B72" s="7">
        <v>6.0</v>
      </c>
      <c r="C72" s="7" t="s">
        <v>49</v>
      </c>
      <c r="D72" s="8">
        <f>-(total!G72/$B72-shell_e!D80+relax_e!D80)*2625.5</f>
        <v>-3.33263731</v>
      </c>
      <c r="E72" s="8">
        <f t="shared" si="1"/>
        <v>81.84771269</v>
      </c>
      <c r="F72" s="8">
        <f>-((total!G72+ssos_corr!E80)/$B72-(shell_e!D80+shell_e!G80)+relax_e!D80+relax_e!G80)*2625.5</f>
        <v>78.51507538</v>
      </c>
      <c r="G72" s="8">
        <f>-((total!G72+ssos_corr!F80)/$B72-(shell_e!D80+shell_e!H80)+relax_e!D80+relax_e!H80)*2625.5</f>
        <v>60.14827677</v>
      </c>
      <c r="H72" s="8">
        <f>-((total!$G72+ssos_corr!G80)/$B72-(shell_e!$D80+shell_e!I80)+relax_e!$D80+relax_e!I80)*2625.5</f>
        <v>50.96487747</v>
      </c>
      <c r="I72" s="8">
        <f>-((total!$G72+ssos_corr!H80)/$B72-(shell_e!$D80+shell_e!J80)+relax_e!$D80+relax_e!J80)*2625.5</f>
        <v>65.07799809</v>
      </c>
      <c r="J72" s="1" t="s">
        <v>16</v>
      </c>
    </row>
    <row r="73">
      <c r="A73" s="7" t="s">
        <v>30</v>
      </c>
      <c r="B73" s="7">
        <v>6.0</v>
      </c>
      <c r="C73" s="7" t="s">
        <v>50</v>
      </c>
      <c r="D73" s="8">
        <f>-(total!G73/$B73-shell_e!D81+relax_e!D81)*2625.5</f>
        <v>-3.33263731</v>
      </c>
      <c r="E73" s="8">
        <f t="shared" si="1"/>
        <v>83.00487572</v>
      </c>
      <c r="F73" s="8">
        <f>-((total!G73+ssos_corr!E81)/$B73-(shell_e!D81+shell_e!G81)+relax_e!D81+relax_e!G81)*2625.5</f>
        <v>79.67223841</v>
      </c>
      <c r="G73" s="8">
        <f>-((total!G73+ssos_corr!F81)/$B73-(shell_e!D81+shell_e!H81)+relax_e!D81+relax_e!H81)*2625.5</f>
        <v>60.90869501</v>
      </c>
      <c r="H73" s="8">
        <f>-((total!$G73+ssos_corr!G81)/$B73-(shell_e!$D81+shell_e!I81)+relax_e!$D81+relax_e!I81)*2625.5</f>
        <v>51.52692331</v>
      </c>
      <c r="I73" s="8">
        <f>-((total!$G73+ssos_corr!H81)/$B73-(shell_e!$D81+shell_e!J81)+relax_e!$D81+relax_e!J81)*2625.5</f>
        <v>66.18595318</v>
      </c>
      <c r="J73" s="1" t="s">
        <v>16</v>
      </c>
    </row>
    <row r="74">
      <c r="A74" s="1" t="s">
        <v>36</v>
      </c>
      <c r="B74" s="1">
        <v>6.0</v>
      </c>
      <c r="C74" s="1" t="s">
        <v>47</v>
      </c>
      <c r="D74" s="8">
        <f>-(total!G74/$B74-shell_e!D82+relax_e!D82)*2625.5</f>
        <v>9.979268421</v>
      </c>
      <c r="E74" s="8">
        <f t="shared" si="1"/>
        <v>58.87470659</v>
      </c>
      <c r="F74" s="8">
        <f>-((total!G74+ssos_corr!E82)/$B74-(shell_e!D82+shell_e!G82)+relax_e!D82+relax_e!G82)*2625.5</f>
        <v>68.85397501</v>
      </c>
      <c r="G74" s="8">
        <f>-((total!$G74+ssos_corr!F82)/$B74-(shell_e!$D82+shell_e!H82)+relax_e!$D82+relax_e!H82)*2625.5</f>
        <v>56.36454781</v>
      </c>
      <c r="H74" s="8">
        <f>-((total!$G74+ssos_corr!G82)/$B74-(shell_e!$D82+shell_e!I82)+relax_e!$D82+relax_e!I82)*2625.5</f>
        <v>50.1198342</v>
      </c>
      <c r="I74" s="8">
        <f>-((total!$G74+ssos_corr!H82)/$B74-(shell_e!$D82+shell_e!J82)+relax_e!$D82+relax_e!J82)*2625.5</f>
        <v>58.44679104</v>
      </c>
      <c r="J74" s="1" t="s">
        <v>16</v>
      </c>
    </row>
    <row r="75">
      <c r="A75" s="1" t="s">
        <v>36</v>
      </c>
      <c r="B75" s="1">
        <v>6.0</v>
      </c>
      <c r="C75" s="1" t="s">
        <v>48</v>
      </c>
      <c r="D75" s="8">
        <f>-(total!G75/$B75-shell_e!D83+relax_e!D83)*2625.5</f>
        <v>-5.789241298</v>
      </c>
      <c r="E75" s="8">
        <f t="shared" si="1"/>
        <v>68.53871842</v>
      </c>
      <c r="F75" s="8">
        <f>-((total!G75+ssos_corr!E83)/$B75-(shell_e!D83+shell_e!G83)+relax_e!D83+relax_e!G83)*2625.5</f>
        <v>62.74947712</v>
      </c>
      <c r="G75" s="8">
        <f>-((total!$G75+ssos_corr!F83)/$B75-(shell_e!$D83+shell_e!H83)+relax_e!$D83+relax_e!H83)*2625.5</f>
        <v>48.38459292</v>
      </c>
      <c r="H75" s="8">
        <f>-((total!$G75+ssos_corr!G83)/$B75-(shell_e!$D83+shell_e!I83)+relax_e!$D83+relax_e!I83)*2625.5</f>
        <v>41.20215082</v>
      </c>
      <c r="I75" s="8">
        <f>-((total!$G75+ssos_corr!H83)/$B75-(shell_e!$D83+shell_e!J83)+relax_e!$D83+relax_e!J83)*2625.5</f>
        <v>50.45467547</v>
      </c>
      <c r="J75" s="1" t="s">
        <v>16</v>
      </c>
    </row>
    <row r="76">
      <c r="A76" s="1" t="s">
        <v>36</v>
      </c>
      <c r="B76" s="1">
        <v>6.0</v>
      </c>
      <c r="C76" s="1" t="s">
        <v>49</v>
      </c>
      <c r="D76" s="8">
        <f>-(total!G76/$B76-shell_e!D84+relax_e!D84)*2625.5</f>
        <v>-10.10052338</v>
      </c>
      <c r="E76" s="8">
        <f t="shared" si="1"/>
        <v>69.28524984</v>
      </c>
      <c r="F76" s="8">
        <f>-((total!G76+ssos_corr!E84)/$B76-(shell_e!D84+shell_e!G84)+relax_e!D84+relax_e!G84)*2625.5</f>
        <v>59.18472646</v>
      </c>
      <c r="G76" s="8">
        <f>-((total!$G76+ssos_corr!F84)/$B76-(shell_e!$D84+shell_e!H84)+relax_e!$D84+relax_e!H84)*2625.5</f>
        <v>44.41025847</v>
      </c>
      <c r="H76" s="8">
        <f>-((total!$G76+ssos_corr!G84)/$B76-(shell_e!$D84+shell_e!I84)+relax_e!$D84+relax_e!I84)*2625.5</f>
        <v>37.02302448</v>
      </c>
      <c r="I76" s="8">
        <f>-((total!$G76+ssos_corr!H84)/$B76-(shell_e!$D84+shell_e!J84)+relax_e!$D84+relax_e!J84)*2625.5</f>
        <v>47.01594307</v>
      </c>
      <c r="J76" s="1" t="s">
        <v>16</v>
      </c>
    </row>
    <row r="77">
      <c r="A77" s="1" t="s">
        <v>36</v>
      </c>
      <c r="B77" s="1">
        <v>6.0</v>
      </c>
      <c r="C77" s="1" t="s">
        <v>50</v>
      </c>
      <c r="D77" s="8">
        <f>-(total!G77/$B77-shell_e!D85+relax_e!D85)*2625.5</f>
        <v>-10.10052338</v>
      </c>
      <c r="E77" s="8">
        <f t="shared" si="1"/>
        <v>69.830016</v>
      </c>
      <c r="F77" s="8">
        <f>-((total!G77+ssos_corr!E85)/$B77-(shell_e!D85+shell_e!G85)+relax_e!D85+relax_e!G85)*2625.5</f>
        <v>59.72949263</v>
      </c>
      <c r="G77" s="8">
        <f>-((total!$G77+ssos_corr!F85)/$B77-(shell_e!$D85+shell_e!H85)+relax_e!$D85+relax_e!H85)*2625.5</f>
        <v>44.65613918</v>
      </c>
      <c r="H77" s="8">
        <f>-((total!$G77+ssos_corr!G85)/$B77-(shell_e!$D85+shell_e!I85)+relax_e!$D85+relax_e!I85)*2625.5</f>
        <v>37.11946245</v>
      </c>
      <c r="I77" s="8">
        <f>-((total!$G77+ssos_corr!H85)/$B77-(shell_e!$D85+shell_e!J85)+relax_e!$D85+relax_e!J85)*2625.5</f>
        <v>47.65266851</v>
      </c>
      <c r="J77" s="1" t="s">
        <v>16</v>
      </c>
    </row>
    <row r="78">
      <c r="A78" s="7" t="s">
        <v>31</v>
      </c>
      <c r="B78" s="7">
        <v>2.0</v>
      </c>
      <c r="C78" s="7" t="s">
        <v>47</v>
      </c>
      <c r="D78" s="8">
        <f>-(total!G78/$B78-shell_e!D90+relax_e!D90)*2625.5</f>
        <v>46.34523649</v>
      </c>
      <c r="E78" s="8">
        <f t="shared" si="1"/>
        <v>27.60246682</v>
      </c>
      <c r="F78" s="8">
        <f>-((total!G78+ssos_corr!E90)/$B78-(shell_e!D90+shell_e!G90)+relax_e!D90+relax_e!G90)*2625.5</f>
        <v>73.94770331</v>
      </c>
      <c r="G78" s="8">
        <f>-((total!$G78+ssos_corr!F90)/$B78-(shell_e!$D90+shell_e!H90)+relax_e!$D90+relax_e!H90)*2625.5</f>
        <v>62.11712245</v>
      </c>
      <c r="H78" s="8">
        <f>-((total!$G78+ssos_corr!G90)/$B78-(shell_e!$D90+shell_e!I90)+relax_e!$D90+relax_e!I90)*2625.5</f>
        <v>56.20183203</v>
      </c>
      <c r="I78" s="8">
        <f>-((total!$G78+ssos_corr!H90)/$B78-(shell_e!$D90+shell_e!J90)+relax_e!$D90+relax_e!J90)*2625.5</f>
        <v>75.20444174</v>
      </c>
      <c r="J78" s="1" t="s">
        <v>13</v>
      </c>
    </row>
    <row r="79">
      <c r="A79" s="7" t="s">
        <v>31</v>
      </c>
      <c r="B79" s="7">
        <v>2.0</v>
      </c>
      <c r="C79" s="7" t="s">
        <v>48</v>
      </c>
      <c r="D79" s="8">
        <f>-(total!G79/$B79-shell_e!D91+relax_e!D91)*2625.5</f>
        <v>44.89286451</v>
      </c>
      <c r="E79" s="8">
        <f t="shared" si="1"/>
        <v>50.61182586</v>
      </c>
      <c r="F79" s="8">
        <f>-((total!G79+ssos_corr!E91)/$B79-(shell_e!D91+shell_e!G91)+relax_e!D91+relax_e!G91)*2625.5</f>
        <v>95.50469037</v>
      </c>
      <c r="G79" s="8">
        <f>-((total!$G79+ssos_corr!F91)/$B79-(shell_e!$D91+shell_e!H91)+relax_e!$D91+relax_e!H91)*2625.5</f>
        <v>79.91112712</v>
      </c>
      <c r="H79" s="8">
        <f>-((total!$G79+ssos_corr!G91)/$B79-(shell_e!$D91+shell_e!I91)+relax_e!$D91+relax_e!I91)*2625.5</f>
        <v>72.11434549</v>
      </c>
      <c r="I79" s="8">
        <f>-((total!$G79+ssos_corr!H91)/$B79-(shell_e!$D91+shell_e!J91)+relax_e!$D91+relax_e!J91)*2625.5</f>
        <v>91.5458752</v>
      </c>
      <c r="J79" s="1" t="s">
        <v>13</v>
      </c>
    </row>
    <row r="80">
      <c r="A80" s="7" t="s">
        <v>31</v>
      </c>
      <c r="B80" s="7">
        <v>2.0</v>
      </c>
      <c r="C80" s="7" t="s">
        <v>49</v>
      </c>
      <c r="D80" s="8">
        <f>-(total!G80/$B80-shell_e!D92+relax_e!D92)*2625.5</f>
        <v>45.19420665</v>
      </c>
      <c r="E80" s="8">
        <f t="shared" si="1"/>
        <v>58.04494574</v>
      </c>
      <c r="F80" s="8">
        <f>-((total!G80+ssos_corr!E92)/$B80-(shell_e!D92+shell_e!G92)+relax_e!D92+relax_e!G92)*2625.5</f>
        <v>103.2391524</v>
      </c>
      <c r="G80" s="8">
        <f>-((total!$G80+ssos_corr!F92)/$B80-(shell_e!$D92+shell_e!H92)+relax_e!$D92+relax_e!H92)*2625.5</f>
        <v>86.63704611</v>
      </c>
      <c r="H80" s="8">
        <f>-((total!$G80+ssos_corr!G92)/$B80-(shell_e!$D92+shell_e!I92)+relax_e!$D92+relax_e!I92)*2625.5</f>
        <v>78.33599296</v>
      </c>
      <c r="I80" s="8">
        <f>-((total!$G80+ssos_corr!H92)/$B80-(shell_e!$D92+shell_e!J92)+relax_e!$D92+relax_e!J92)*2625.5</f>
        <v>97.38280987</v>
      </c>
      <c r="J80" s="1" t="s">
        <v>13</v>
      </c>
    </row>
    <row r="81">
      <c r="A81" s="7" t="s">
        <v>31</v>
      </c>
      <c r="B81" s="7">
        <v>2.0</v>
      </c>
      <c r="C81" s="7" t="s">
        <v>50</v>
      </c>
      <c r="D81" s="8">
        <f>-(total!G81/$B81-shell_e!D93+relax_e!D93)*2625.5</f>
        <v>45.19420665</v>
      </c>
      <c r="E81" s="8">
        <f t="shared" si="1"/>
        <v>63.4691143</v>
      </c>
      <c r="F81" s="8">
        <f>-((total!G81+ssos_corr!E93)/$B81-(shell_e!D93+shell_e!G93)+relax_e!D93+relax_e!G93)*2625.5</f>
        <v>108.663321</v>
      </c>
      <c r="G81" s="8">
        <f>-((total!$G81+ssos_corr!F93)/$B81-(shell_e!$D93+shell_e!H93)+relax_e!$D93+relax_e!H93)*2625.5</f>
        <v>91.32525083</v>
      </c>
      <c r="H81" s="8">
        <f>-((total!$G81+ssos_corr!G93)/$B81-(shell_e!$D93+shell_e!I93)+relax_e!$D93+relax_e!I93)*2625.5</f>
        <v>82.65621577</v>
      </c>
      <c r="I81" s="8">
        <f>-((total!$G81+ssos_corr!H93)/$B81-(shell_e!$D93+shell_e!J93)+relax_e!$D93+relax_e!J93)*2625.5</f>
        <v>101.4222963</v>
      </c>
      <c r="J81" s="1" t="s">
        <v>13</v>
      </c>
    </row>
    <row r="82">
      <c r="D82" s="8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197</v>
      </c>
      <c r="B1" s="1" t="s">
        <v>156</v>
      </c>
      <c r="C1" s="1" t="s">
        <v>198</v>
      </c>
      <c r="D1" s="1" t="s">
        <v>199</v>
      </c>
      <c r="E1" s="1" t="s">
        <v>200</v>
      </c>
      <c r="F1" s="1" t="s">
        <v>201</v>
      </c>
    </row>
    <row r="2">
      <c r="A2" s="1" t="s">
        <v>14</v>
      </c>
      <c r="B2" s="110">
        <v>-0.0071388001306101345</v>
      </c>
      <c r="C2" s="110">
        <v>-0.007170589685101009</v>
      </c>
      <c r="D2" s="110">
        <v>-0.007189398725585244</v>
      </c>
      <c r="E2" s="8">
        <f t="shared" ref="E2:E3" si="1">(B2-C2)*2600</f>
        <v>0.08265284168</v>
      </c>
      <c r="F2" s="8">
        <f t="shared" ref="F2:F3" si="2">(B2-D2)*2600</f>
        <v>0.1315563469</v>
      </c>
    </row>
    <row r="3">
      <c r="A3" s="1" t="s">
        <v>51</v>
      </c>
      <c r="B3" s="110">
        <v>-0.0024103536008888704</v>
      </c>
      <c r="C3" s="110">
        <v>-0.0024257354168880085</v>
      </c>
      <c r="D3" s="110">
        <v>-0.002417129709185506</v>
      </c>
      <c r="E3" s="8">
        <f t="shared" si="1"/>
        <v>0.0399927216</v>
      </c>
      <c r="F3" s="8">
        <f t="shared" si="2"/>
        <v>0.01761788157</v>
      </c>
    </row>
    <row r="4">
      <c r="B4" s="43"/>
      <c r="C4" s="43"/>
    </row>
    <row r="6">
      <c r="B6" s="111"/>
    </row>
    <row r="7">
      <c r="C7" s="111"/>
    </row>
    <row r="8">
      <c r="C8" s="1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</row>
    <row r="2">
      <c r="A2" s="7" t="s">
        <v>46</v>
      </c>
      <c r="D2" s="10">
        <f>E2+coh_e!D2</f>
        <v>45.2834299</v>
      </c>
      <c r="E2" s="10">
        <f t="shared" ref="E2:E93" si="1">F2*$I$2+G2*$I$3</f>
        <v>24.90882089</v>
      </c>
      <c r="F2" s="10">
        <f>(coh_e!G2-coh_e!D2-G2*1.2)*3</f>
        <v>20.36109377</v>
      </c>
      <c r="G2" s="10">
        <f>(coh_e!H2-coh_e!D2)/1.3</f>
        <v>11.43438255</v>
      </c>
      <c r="H2" s="10">
        <f>F2+G2-coh_e!E2</f>
        <v>0</v>
      </c>
      <c r="I2" s="1">
        <v>0.6</v>
      </c>
      <c r="J2" s="10">
        <f>SQRT(SUMSQ(B5:B93)/COUNT(B5:B93))</f>
        <v>12.02504726</v>
      </c>
      <c r="K2" s="10">
        <f>SUM(N5:N93)/COUNT(N5:N93)</f>
        <v>9.127978979</v>
      </c>
      <c r="L2" s="10">
        <f>MAX(B5:B93)</f>
        <v>33.13847512</v>
      </c>
      <c r="M2" s="11">
        <f>MAX(N5:N93)</f>
        <v>33.13847512</v>
      </c>
    </row>
    <row r="3">
      <c r="A3" s="7" t="s">
        <v>46</v>
      </c>
      <c r="D3" s="10">
        <f>E3+coh_e!D3</f>
        <v>56.77242158</v>
      </c>
      <c r="E3" s="10">
        <f t="shared" si="1"/>
        <v>39.65476866</v>
      </c>
      <c r="F3" s="10">
        <f>(coh_e!G3-coh_e!D3-G3*1.2)*3</f>
        <v>27.51408459</v>
      </c>
      <c r="G3" s="10">
        <f>(coh_e!H3-coh_e!D3)/1.3</f>
        <v>20.85253866</v>
      </c>
      <c r="H3" s="10">
        <f>F3+G3-coh_e!E3</f>
        <v>0</v>
      </c>
      <c r="I3" s="1">
        <v>1.11</v>
      </c>
    </row>
    <row r="4">
      <c r="A4" s="7" t="s">
        <v>46</v>
      </c>
      <c r="D4" s="10">
        <f>E4+coh_e!D4</f>
        <v>60.57225085</v>
      </c>
      <c r="E4" s="10">
        <f t="shared" si="1"/>
        <v>43.92777649</v>
      </c>
      <c r="F4" s="10">
        <f>(coh_e!G4-coh_e!D4-G4*1.2)*3</f>
        <v>29.45973864</v>
      </c>
      <c r="G4" s="10">
        <f>(coh_e!H4-coh_e!D4)/1.3</f>
        <v>23.65039037</v>
      </c>
      <c r="H4" s="10">
        <f>F4+G4-coh_e!E4</f>
        <v>0.0000000001492708179</v>
      </c>
    </row>
    <row r="5">
      <c r="A5" s="7" t="s">
        <v>46</v>
      </c>
      <c r="B5" s="10">
        <f>D5-ref!C2</f>
        <v>-10.56772106</v>
      </c>
      <c r="C5" s="10">
        <f>D5-coh_e!G5</f>
        <v>5.887753502</v>
      </c>
      <c r="D5" s="10">
        <f>E5+coh_e!D5</f>
        <v>63.03227894</v>
      </c>
      <c r="E5" s="10">
        <f t="shared" si="1"/>
        <v>46.38780458</v>
      </c>
      <c r="F5" s="10">
        <f>(coh_e!G5-coh_e!D5-G5*1.2)*3</f>
        <v>30.60088229</v>
      </c>
      <c r="G5" s="10">
        <f>(coh_e!H5-coh_e!D5)/1.3</f>
        <v>25.24979748</v>
      </c>
      <c r="H5" s="10">
        <f>F5+G5-coh_e!E5</f>
        <v>0</v>
      </c>
      <c r="M5" s="10"/>
      <c r="N5" s="10">
        <f>ABS(B5)</f>
        <v>10.56772106</v>
      </c>
    </row>
    <row r="6">
      <c r="A6" s="7" t="s">
        <v>14</v>
      </c>
      <c r="D6" s="10">
        <f>E6+coh_e!D6</f>
        <v>21.76220885</v>
      </c>
      <c r="E6" s="10">
        <f t="shared" si="1"/>
        <v>15.80644555</v>
      </c>
      <c r="F6" s="10">
        <f>(coh_e!G6-coh_e!D6-G6*1.2)*3</f>
        <v>11.23636353</v>
      </c>
      <c r="G6" s="10">
        <f>(coh_e!H6-coh_e!D6)/1.3</f>
        <v>8.166331022</v>
      </c>
      <c r="H6" s="10">
        <f>F6+G6-coh_e!E6</f>
        <v>0</v>
      </c>
      <c r="M6" s="10"/>
      <c r="N6" s="10"/>
    </row>
    <row r="7">
      <c r="A7" s="7" t="s">
        <v>14</v>
      </c>
      <c r="D7" s="10">
        <f>E7+coh_e!D7</f>
        <v>29.43020516</v>
      </c>
      <c r="E7" s="10">
        <f t="shared" si="1"/>
        <v>24.41596565</v>
      </c>
      <c r="F7" s="10">
        <f>(coh_e!G7-coh_e!D7-G7*1.2)*3</f>
        <v>15.30511883</v>
      </c>
      <c r="G7" s="10">
        <f>(coh_e!H7-coh_e!D7)/1.3</f>
        <v>13.72332824</v>
      </c>
      <c r="H7" s="10">
        <f>F7+G7-coh_e!E7</f>
        <v>0</v>
      </c>
      <c r="M7" s="10"/>
      <c r="N7" s="10"/>
    </row>
    <row r="8">
      <c r="A8" s="7" t="s">
        <v>14</v>
      </c>
      <c r="D8" s="10">
        <f>E8+coh_e!D8</f>
        <v>31.59939299</v>
      </c>
      <c r="E8" s="10">
        <f t="shared" si="1"/>
        <v>26.84287962</v>
      </c>
      <c r="F8" s="10">
        <f>(coh_e!G8-coh_e!D8-G8*1.2)*3</f>
        <v>16.27975538</v>
      </c>
      <c r="G8" s="10">
        <f>(coh_e!H8-coh_e!D8)/1.3</f>
        <v>15.38290666</v>
      </c>
      <c r="H8" s="10">
        <f>F8+G8-coh_e!E8</f>
        <v>0</v>
      </c>
      <c r="M8" s="10"/>
      <c r="N8" s="10"/>
    </row>
    <row r="9">
      <c r="A9" s="7" t="s">
        <v>14</v>
      </c>
      <c r="B9" s="10">
        <f>D9-ref!C3</f>
        <v>-5.329615729</v>
      </c>
      <c r="C9" s="10">
        <f>D9-coh_e!G9</f>
        <v>3.037471571</v>
      </c>
      <c r="D9" s="10">
        <f>E9+coh_e!D9</f>
        <v>33.37038427</v>
      </c>
      <c r="E9" s="10">
        <f t="shared" si="1"/>
        <v>28.6138709</v>
      </c>
      <c r="F9" s="10">
        <f>(coh_e!G9-coh_e!D9-G9*1.2)*3</f>
        <v>16.99097664</v>
      </c>
      <c r="G9" s="10">
        <f>(coh_e!H9-coh_e!D9)/1.3</f>
        <v>16.59395038</v>
      </c>
      <c r="H9" s="10">
        <f>F9+G9-coh_e!E9</f>
        <v>0</v>
      </c>
      <c r="M9" s="10"/>
      <c r="N9" s="10">
        <f>ABS(B9)</f>
        <v>5.329615729</v>
      </c>
    </row>
    <row r="10">
      <c r="A10" s="1" t="s">
        <v>33</v>
      </c>
      <c r="D10" s="10">
        <f>E10+coh_e!D10</f>
        <v>106.4992296</v>
      </c>
      <c r="E10" s="10">
        <f t="shared" si="1"/>
        <v>165.0911516</v>
      </c>
      <c r="F10" s="10">
        <f>(coh_e!G10-coh_e!D10-G10*1.2)*3</f>
        <v>93.92448385</v>
      </c>
      <c r="G10" s="10">
        <f>(coh_e!H10-coh_e!D10)/1.3</f>
        <v>97.96077597</v>
      </c>
      <c r="H10" s="10">
        <f>F10+G10-coh_e!E10</f>
        <v>-0.0000000008954259556</v>
      </c>
      <c r="M10" s="10"/>
      <c r="N10" s="10"/>
    </row>
    <row r="11">
      <c r="A11" s="1" t="s">
        <v>33</v>
      </c>
      <c r="D11" s="10">
        <f>E11+coh_e!D11</f>
        <v>130.329877</v>
      </c>
      <c r="E11" s="10">
        <f t="shared" si="1"/>
        <v>195.4129214</v>
      </c>
      <c r="F11" s="10">
        <f>(coh_e!G11-coh_e!D11-G11*1.2)*3</f>
        <v>107.2188295</v>
      </c>
      <c r="G11" s="10">
        <f>(coh_e!H11-coh_e!D11)/1.3</f>
        <v>118.0915529</v>
      </c>
      <c r="H11" s="10">
        <f>F11+G11-coh_e!E11</f>
        <v>0</v>
      </c>
      <c r="M11" s="10"/>
      <c r="N11" s="10"/>
    </row>
    <row r="12">
      <c r="A12" s="1" t="s">
        <v>33</v>
      </c>
      <c r="D12" s="10">
        <f>E12+coh_e!D12</f>
        <v>137.515284</v>
      </c>
      <c r="E12" s="10">
        <f t="shared" si="1"/>
        <v>203.6669241</v>
      </c>
      <c r="F12" s="10">
        <f>(coh_e!G12-coh_e!D12-G12*1.2)*3</f>
        <v>78.05046112</v>
      </c>
      <c r="G12" s="10">
        <f>(coh_e!H12-coh_e!D12)/1.3</f>
        <v>141.294277</v>
      </c>
      <c r="H12" s="10">
        <f>F12+G12-coh_e!E12</f>
        <v>0</v>
      </c>
      <c r="M12" s="10"/>
      <c r="N12" s="10"/>
    </row>
    <row r="13">
      <c r="A13" s="1" t="s">
        <v>33</v>
      </c>
      <c r="B13" s="10">
        <f>D13-ref!C20</f>
        <v>33.13847512</v>
      </c>
      <c r="C13" s="10">
        <f>D13-coh_e!G13</f>
        <v>0.8971099642</v>
      </c>
      <c r="D13" s="10">
        <f>E13+coh_e!D13</f>
        <v>143.5384751</v>
      </c>
      <c r="E13" s="10">
        <f t="shared" si="1"/>
        <v>209.6901153</v>
      </c>
      <c r="F13" s="10">
        <f>(coh_e!G13-coh_e!D13-G13*1.2)*3</f>
        <v>56.76543554</v>
      </c>
      <c r="G13" s="10">
        <f>(coh_e!H13-coh_e!D13)/1.3</f>
        <v>158.2259946</v>
      </c>
      <c r="H13" s="10">
        <f>F13+G13-coh_e!E13</f>
        <v>-0.0000000002984847924</v>
      </c>
      <c r="M13" s="10"/>
      <c r="N13" s="10">
        <f>ABS(B13)</f>
        <v>33.13847512</v>
      </c>
    </row>
    <row r="14">
      <c r="A14" s="1" t="s">
        <v>15</v>
      </c>
      <c r="D14" s="10">
        <f>E14+coh_e!D14</f>
        <v>36.38872124</v>
      </c>
      <c r="E14" s="10">
        <f t="shared" si="1"/>
        <v>61.07091458</v>
      </c>
      <c r="F14" s="10">
        <f>(coh_e!G14-coh_e!D14-G14*1.2)*3</f>
        <v>37.94029927</v>
      </c>
      <c r="G14" s="10">
        <f>(coh_e!H14-coh_e!D14)/1.3</f>
        <v>34.51057209</v>
      </c>
      <c r="H14" s="10">
        <f>F14+G14-coh_e!E14</f>
        <v>0</v>
      </c>
      <c r="M14" s="10"/>
      <c r="N14" s="10"/>
    </row>
    <row r="15">
      <c r="A15" s="1" t="s">
        <v>15</v>
      </c>
      <c r="D15" s="10">
        <f>E15+coh_e!D15</f>
        <v>52.6183052</v>
      </c>
      <c r="E15" s="10">
        <f t="shared" si="1"/>
        <v>77.14482527</v>
      </c>
      <c r="F15" s="10">
        <f>(coh_e!G15-coh_e!D15-G15*1.2)*3</f>
        <v>47.78668217</v>
      </c>
      <c r="G15" s="10">
        <f>(coh_e!H15-coh_e!D15)/1.3</f>
        <v>43.66920357</v>
      </c>
      <c r="H15" s="10">
        <f>F15+G15-coh_e!E15</f>
        <v>0</v>
      </c>
      <c r="M15" s="10"/>
      <c r="N15" s="10"/>
    </row>
    <row r="16">
      <c r="A16" s="1" t="s">
        <v>15</v>
      </c>
      <c r="D16" s="10">
        <f>E16+coh_e!D16</f>
        <v>60.39359316</v>
      </c>
      <c r="E16" s="10">
        <f t="shared" si="1"/>
        <v>84.62433639</v>
      </c>
      <c r="F16" s="10">
        <f>(coh_e!G16-coh_e!D16-G16*1.2)*3</f>
        <v>44.87370632</v>
      </c>
      <c r="G16" s="10">
        <f>(coh_e!H16-coh_e!D16)/1.3</f>
        <v>51.98208343</v>
      </c>
      <c r="H16" s="10">
        <f>F16+G16-coh_e!E16</f>
        <v>0</v>
      </c>
      <c r="M16" s="10"/>
      <c r="N16" s="10"/>
    </row>
    <row r="17">
      <c r="A17" s="1" t="s">
        <v>15</v>
      </c>
      <c r="B17" s="10">
        <f>D17-ref!C4</f>
        <v>11.05161479</v>
      </c>
      <c r="C17" s="10">
        <f>D17-coh_e!G17</f>
        <v>6.175130818</v>
      </c>
      <c r="D17" s="10">
        <f>E17+coh_e!D17</f>
        <v>65.85161479</v>
      </c>
      <c r="E17" s="10">
        <f t="shared" si="1"/>
        <v>90.08235802</v>
      </c>
      <c r="F17" s="10">
        <f>(coh_e!G17-coh_e!D17-G17*1.2)*3</f>
        <v>42.74802123</v>
      </c>
      <c r="G17" s="10">
        <f>(coh_e!H17-coh_e!D17)/1.3</f>
        <v>58.048239</v>
      </c>
      <c r="H17" s="10">
        <f>F17+G17-coh_e!E17</f>
        <v>0</v>
      </c>
      <c r="M17" s="10"/>
      <c r="N17" s="10">
        <f>ABS(B17)</f>
        <v>11.05161479</v>
      </c>
    </row>
    <row r="18">
      <c r="A18" s="7" t="s">
        <v>51</v>
      </c>
      <c r="D18" s="10">
        <f>E18+coh_e!D18</f>
        <v>12.57381724</v>
      </c>
      <c r="E18" s="10">
        <f t="shared" si="1"/>
        <v>3.304578956</v>
      </c>
      <c r="F18" s="10">
        <f>(coh_e!G18-coh_e!D18-G18*1.2)*3</f>
        <v>4.369233879</v>
      </c>
      <c r="G18" s="10">
        <f>(coh_e!H18-coh_e!D18)/1.3</f>
        <v>0.6153501161</v>
      </c>
      <c r="H18" s="10">
        <f>F18+G18-coh_e!E18</f>
        <v>0</v>
      </c>
      <c r="M18" s="10"/>
      <c r="N18" s="10"/>
    </row>
    <row r="19">
      <c r="A19" s="7" t="s">
        <v>51</v>
      </c>
      <c r="D19" s="10">
        <f>E19+coh_e!D19</f>
        <v>18.49689088</v>
      </c>
      <c r="E19" s="10">
        <f t="shared" si="1"/>
        <v>11.2459378</v>
      </c>
      <c r="F19" s="10">
        <f>(coh_e!G19-coh_e!D19-G19*1.2)*3</f>
        <v>8.438019946</v>
      </c>
      <c r="G19" s="10">
        <f>(coh_e!H19-coh_e!D19)/1.3</f>
        <v>5.570383632</v>
      </c>
      <c r="H19" s="10">
        <f>F19+G19-coh_e!E19</f>
        <v>0</v>
      </c>
      <c r="M19" s="10"/>
      <c r="N19" s="10"/>
    </row>
    <row r="20">
      <c r="A20" s="7" t="s">
        <v>51</v>
      </c>
      <c r="D20" s="10">
        <f>E20+coh_e!D20</f>
        <v>21.62730193</v>
      </c>
      <c r="E20" s="10">
        <f t="shared" si="1"/>
        <v>14.75224253</v>
      </c>
      <c r="F20" s="10">
        <f>(coh_e!G20-coh_e!D20-G20*1.2)*3</f>
        <v>10.27953053</v>
      </c>
      <c r="G20" s="10">
        <f>(coh_e!H20-coh_e!D20)/1.3</f>
        <v>7.7338056</v>
      </c>
      <c r="H20" s="10">
        <f>F20+G20-coh_e!E20</f>
        <v>0</v>
      </c>
      <c r="M20" s="10"/>
      <c r="N20" s="10"/>
    </row>
    <row r="21">
      <c r="A21" s="7" t="s">
        <v>51</v>
      </c>
      <c r="B21" s="10">
        <f>D21-ref!C5</f>
        <v>-5.214043267</v>
      </c>
      <c r="C21" s="10">
        <f>D21-coh_e!G21</f>
        <v>2.261429442</v>
      </c>
      <c r="D21" s="10">
        <f>E21+coh_e!D21</f>
        <v>24.18595673</v>
      </c>
      <c r="E21" s="10">
        <f t="shared" si="1"/>
        <v>17.31089734</v>
      </c>
      <c r="F21" s="10">
        <f>(coh_e!G21-coh_e!D21-G21*1.2)*3</f>
        <v>11.62333555</v>
      </c>
      <c r="G21" s="10">
        <f>(coh_e!H21-coh_e!D21)/1.3</f>
        <v>9.312518928</v>
      </c>
      <c r="H21" s="10">
        <f>F21+G21-coh_e!E21</f>
        <v>0</v>
      </c>
      <c r="M21" s="10"/>
      <c r="N21" s="10">
        <f>ABS(B21)</f>
        <v>5.214043267</v>
      </c>
    </row>
    <row r="22">
      <c r="A22" s="7" t="s">
        <v>18</v>
      </c>
      <c r="D22" s="10">
        <f>E22+coh_e!D22</f>
        <v>62.99639715</v>
      </c>
      <c r="E22" s="10">
        <f t="shared" si="1"/>
        <v>33.73751319</v>
      </c>
      <c r="F22" s="10">
        <f>(coh_e!G22-coh_e!D22-G22*1.2)*3</f>
        <v>25.20863314</v>
      </c>
      <c r="G22" s="10">
        <f>(coh_e!H22-coh_e!D22)/1.3</f>
        <v>16.76786784</v>
      </c>
      <c r="H22" s="10">
        <f>F22+G22-coh_e!E22</f>
        <v>0</v>
      </c>
      <c r="M22" s="10"/>
      <c r="N22" s="10"/>
    </row>
    <row r="23">
      <c r="A23" s="7" t="s">
        <v>18</v>
      </c>
      <c r="D23" s="10">
        <f>E23+coh_e!D23</f>
        <v>74.54462607</v>
      </c>
      <c r="E23" s="10">
        <f t="shared" si="1"/>
        <v>46.83894566</v>
      </c>
      <c r="F23" s="10">
        <f>(coh_e!G23-coh_e!D23-G23*1.2)*3</f>
        <v>31.72412465</v>
      </c>
      <c r="G23" s="10">
        <f>(coh_e!H23-coh_e!D23)/1.3</f>
        <v>25.04907286</v>
      </c>
      <c r="H23" s="10">
        <f>F23+G23-coh_e!E23</f>
        <v>0</v>
      </c>
      <c r="M23" s="10"/>
      <c r="N23" s="10"/>
    </row>
    <row r="24">
      <c r="A24" s="7" t="s">
        <v>18</v>
      </c>
      <c r="D24" s="10">
        <f>E24+coh_e!D24</f>
        <v>77.58518067</v>
      </c>
      <c r="E24" s="10">
        <f t="shared" si="1"/>
        <v>50.64764052</v>
      </c>
      <c r="F24" s="10">
        <f>(coh_e!G24-coh_e!D24-G24*1.2)*3</f>
        <v>33.5975822</v>
      </c>
      <c r="G24" s="10">
        <f>(coh_e!H24-coh_e!D24)/1.3</f>
        <v>27.46764973</v>
      </c>
      <c r="H24" s="10">
        <f>F24+G24-coh_e!E24</f>
        <v>0</v>
      </c>
      <c r="M24" s="10"/>
      <c r="N24" s="10"/>
    </row>
    <row r="25">
      <c r="A25" s="7" t="s">
        <v>18</v>
      </c>
      <c r="B25" s="10">
        <f>D25-ref!C6</f>
        <v>-1.135501461</v>
      </c>
      <c r="C25" s="10">
        <f>D25-coh_e!G25</f>
        <v>6.692989821</v>
      </c>
      <c r="D25" s="10">
        <f>E25+coh_e!D25</f>
        <v>80.36449854</v>
      </c>
      <c r="E25" s="10">
        <f t="shared" si="1"/>
        <v>53.42695838</v>
      </c>
      <c r="F25" s="10">
        <f>(coh_e!G25-coh_e!D25-G25*1.2)*3</f>
        <v>34.96469988</v>
      </c>
      <c r="G25" s="10">
        <f>(coh_e!H25-coh_e!D25)/1.3</f>
        <v>29.23255717</v>
      </c>
      <c r="H25" s="10">
        <f>F25+G25-coh_e!E25</f>
        <v>-0.0000000002238351726</v>
      </c>
      <c r="M25" s="10"/>
      <c r="N25" s="10">
        <f>ABS(B25)</f>
        <v>1.135501461</v>
      </c>
    </row>
    <row r="26">
      <c r="A26" s="7" t="s">
        <v>52</v>
      </c>
      <c r="D26" s="10">
        <f>E26+coh_e!D26</f>
        <v>83.15315138</v>
      </c>
      <c r="E26" s="10">
        <f t="shared" si="1"/>
        <v>48.77448692</v>
      </c>
      <c r="F26" s="10">
        <f>(coh_e!G26-coh_e!D26-G26*1.2)*3</f>
        <v>29.84824411</v>
      </c>
      <c r="G26" s="10">
        <f>(coh_e!H26-coh_e!D26)/1.3</f>
        <v>27.8067932</v>
      </c>
      <c r="H26" s="10">
        <f>F26+G26-coh_e!E26</f>
        <v>0.0000000001492423962</v>
      </c>
      <c r="M26" s="10"/>
      <c r="N26" s="10"/>
    </row>
    <row r="27">
      <c r="A27" s="7" t="s">
        <v>52</v>
      </c>
      <c r="D27" s="10">
        <f>E27+coh_e!D27</f>
        <v>82.03252682</v>
      </c>
      <c r="E27" s="10">
        <f t="shared" si="1"/>
        <v>62.03977918</v>
      </c>
      <c r="F27" s="10">
        <f>(coh_e!G27-coh_e!D27-G27*1.2)*3</f>
        <v>36.86649748</v>
      </c>
      <c r="G27" s="10">
        <f>(coh_e!H27-coh_e!D27)/1.3</f>
        <v>35.96385648</v>
      </c>
      <c r="H27" s="10">
        <f>F27+G27-coh_e!E27</f>
        <v>-0.0000000004477129778</v>
      </c>
      <c r="M27" s="10"/>
      <c r="N27" s="10"/>
    </row>
    <row r="28">
      <c r="A28" s="7" t="s">
        <v>52</v>
      </c>
      <c r="D28" s="10">
        <f>E28+coh_e!D28</f>
        <v>80.34614805</v>
      </c>
      <c r="E28" s="10">
        <f t="shared" si="1"/>
        <v>63.73564949</v>
      </c>
      <c r="F28" s="10">
        <f>(coh_e!G28-coh_e!D28-G28*1.2)*3</f>
        <v>38.08113086</v>
      </c>
      <c r="G28" s="10">
        <f>(coh_e!H28-coh_e!D28)/1.3</f>
        <v>36.83510899</v>
      </c>
      <c r="H28" s="10">
        <f>F28+G28-coh_e!E28</f>
        <v>0.0000000001492281854</v>
      </c>
      <c r="M28" s="10"/>
      <c r="N28" s="10"/>
    </row>
    <row r="29">
      <c r="A29" s="7" t="s">
        <v>52</v>
      </c>
      <c r="B29" s="10">
        <f>D29-ref!C7</f>
        <v>-6.616324972</v>
      </c>
      <c r="C29" s="10">
        <f>D29-coh_e!G29</f>
        <v>7.018949414</v>
      </c>
      <c r="D29" s="10">
        <f>E29+coh_e!D29</f>
        <v>81.58367503</v>
      </c>
      <c r="E29" s="10">
        <f t="shared" si="1"/>
        <v>64.97317647</v>
      </c>
      <c r="F29" s="10">
        <f>(coh_e!G29-coh_e!D29-G29*1.2)*3</f>
        <v>38.96748495</v>
      </c>
      <c r="G29" s="10">
        <f>(coh_e!H29-coh_e!D29)/1.3</f>
        <v>37.47088784</v>
      </c>
      <c r="H29" s="10">
        <f>F29+G29-coh_e!E29</f>
        <v>-0.0000000001492139745</v>
      </c>
      <c r="M29" s="10"/>
      <c r="N29" s="10">
        <f>ABS(B29)</f>
        <v>6.616324972</v>
      </c>
    </row>
    <row r="30">
      <c r="A30" s="7" t="s">
        <v>20</v>
      </c>
      <c r="D30" s="10">
        <f>E30+coh_e!D30</f>
        <v>62.8527161</v>
      </c>
      <c r="E30" s="10">
        <f t="shared" si="1"/>
        <v>24.9941757</v>
      </c>
      <c r="F30" s="10">
        <f>(coh_e!G30-coh_e!D30-G30*1.2)*3</f>
        <v>18.06307142</v>
      </c>
      <c r="G30" s="10">
        <f>(coh_e!H30-coh_e!D30)/1.3</f>
        <v>12.75345302</v>
      </c>
      <c r="H30" s="10">
        <f>F30+G30-coh_e!E30</f>
        <v>-0.0000000002238813579</v>
      </c>
      <c r="M30" s="10"/>
      <c r="N30" s="10"/>
    </row>
    <row r="31">
      <c r="A31" s="7" t="s">
        <v>20</v>
      </c>
      <c r="D31" s="10">
        <f>E31+coh_e!D31</f>
        <v>70.34611328</v>
      </c>
      <c r="E31" s="10">
        <f t="shared" si="1"/>
        <v>39.11057148</v>
      </c>
      <c r="F31" s="10">
        <f>(coh_e!G31-coh_e!D31-G31*1.2)*3</f>
        <v>24.87068361</v>
      </c>
      <c r="G31" s="10">
        <f>(coh_e!H31-coh_e!D31)/1.3</f>
        <v>21.79113632</v>
      </c>
      <c r="H31" s="10">
        <f>F31+G31-coh_e!E31</f>
        <v>0.0000000001492423962</v>
      </c>
      <c r="M31" s="10"/>
      <c r="N31" s="10"/>
    </row>
    <row r="32">
      <c r="A32" s="7" t="s">
        <v>20</v>
      </c>
      <c r="D32" s="10">
        <f>E32+coh_e!D32</f>
        <v>72.17010569</v>
      </c>
      <c r="E32" s="10">
        <f t="shared" si="1"/>
        <v>42.39166861</v>
      </c>
      <c r="F32" s="10">
        <f>(coh_e!G32-coh_e!D32-G32*1.2)*3</f>
        <v>26.46386541</v>
      </c>
      <c r="G32" s="10">
        <f>(coh_e!H32-coh_e!D32)/1.3</f>
        <v>23.88590033</v>
      </c>
      <c r="H32" s="10">
        <f>F32+G32-coh_e!E32</f>
        <v>0</v>
      </c>
      <c r="M32" s="10"/>
      <c r="N32" s="10"/>
    </row>
    <row r="33">
      <c r="A33" s="7" t="s">
        <v>20</v>
      </c>
      <c r="B33" s="10">
        <f>D33-ref!C8</f>
        <v>-6.535580191</v>
      </c>
      <c r="C33" s="10">
        <f>D33-coh_e!G33</f>
        <v>5.07974927</v>
      </c>
      <c r="D33" s="10">
        <f>E33+coh_e!D33</f>
        <v>74.56441981</v>
      </c>
      <c r="E33" s="10">
        <f t="shared" si="1"/>
        <v>44.78598273</v>
      </c>
      <c r="F33" s="10">
        <f>(coh_e!G33-coh_e!D33-G33*1.2)*3</f>
        <v>27.62645753</v>
      </c>
      <c r="G33" s="10">
        <f>(coh_e!H33-coh_e!D33)/1.3</f>
        <v>25.4145119</v>
      </c>
      <c r="H33" s="10">
        <f>F33+G33-coh_e!E33</f>
        <v>0</v>
      </c>
      <c r="M33" s="10"/>
      <c r="N33" s="10">
        <f>ABS(B33)</f>
        <v>6.535580191</v>
      </c>
    </row>
    <row r="34">
      <c r="A34" s="7" t="s">
        <v>21</v>
      </c>
      <c r="D34" s="10">
        <f>E34+coh_e!D34</f>
        <v>58.60854932</v>
      </c>
      <c r="E34" s="10">
        <f t="shared" si="1"/>
        <v>74.34232022</v>
      </c>
      <c r="F34" s="10">
        <f>(coh_e!G34-coh_e!D34-G34*1.2)*3</f>
        <v>45.29717689</v>
      </c>
      <c r="G34" s="10">
        <f>(coh_e!H34-coh_e!D34)/1.3</f>
        <v>42.49010278</v>
      </c>
      <c r="H34" s="10">
        <f>F34+G34-coh_e!E34</f>
        <v>-0.0000000002984847924</v>
      </c>
      <c r="M34" s="10"/>
      <c r="N34" s="10"/>
    </row>
    <row r="35">
      <c r="A35" s="7" t="s">
        <v>21</v>
      </c>
      <c r="D35" s="10">
        <f>E35+coh_e!D35</f>
        <v>76.727857</v>
      </c>
      <c r="E35" s="10">
        <f t="shared" si="1"/>
        <v>94.69953885</v>
      </c>
      <c r="F35" s="10">
        <f>(coh_e!G35-coh_e!D35-G35*1.2)*3</f>
        <v>53.12494729</v>
      </c>
      <c r="G35" s="10">
        <f>(coh_e!H35-coh_e!D35)/1.3</f>
        <v>56.59871214</v>
      </c>
      <c r="H35" s="10">
        <f>F35+G35-coh_e!E35</f>
        <v>0</v>
      </c>
      <c r="M35" s="10"/>
      <c r="N35" s="10"/>
    </row>
    <row r="36">
      <c r="A36" s="7" t="s">
        <v>21</v>
      </c>
      <c r="D36" s="10">
        <f>E36+coh_e!D36</f>
        <v>80.7582645</v>
      </c>
      <c r="E36" s="10">
        <f t="shared" si="1"/>
        <v>98.48435378</v>
      </c>
      <c r="F36" s="10">
        <f>(coh_e!G36-coh_e!D36-G36*1.2)*3</f>
        <v>54.80607885</v>
      </c>
      <c r="G36" s="10">
        <f>(coh_e!H36-coh_e!D36)/1.3</f>
        <v>59.09973555</v>
      </c>
      <c r="H36" s="10">
        <f>F36+G36-coh_e!E36</f>
        <v>0</v>
      </c>
      <c r="M36" s="10"/>
      <c r="N36" s="10"/>
    </row>
    <row r="37">
      <c r="A37" s="7" t="s">
        <v>21</v>
      </c>
      <c r="B37" s="10">
        <f>D37-ref!C9</f>
        <v>-0.5798435283</v>
      </c>
      <c r="C37" s="10">
        <f>D37-coh_e!G37</f>
        <v>9.458860874</v>
      </c>
      <c r="D37" s="10">
        <f>E37+coh_e!D37</f>
        <v>83.52015647</v>
      </c>
      <c r="E37" s="10">
        <f t="shared" si="1"/>
        <v>101.2462458</v>
      </c>
      <c r="F37" s="10">
        <f>(coh_e!G37-coh_e!D37-G37*1.2)*3</f>
        <v>56.03285054</v>
      </c>
      <c r="G37" s="10">
        <f>(coh_e!H37-coh_e!D37)/1.3</f>
        <v>60.9248067</v>
      </c>
      <c r="H37" s="10">
        <f>F37+G37-coh_e!E37</f>
        <v>-0.0000000001492423962</v>
      </c>
      <c r="M37" s="10"/>
      <c r="N37" s="10">
        <f>ABS(B37)</f>
        <v>0.5798435283</v>
      </c>
    </row>
    <row r="38">
      <c r="A38" s="7" t="s">
        <v>53</v>
      </c>
      <c r="D38" s="10">
        <f>E38+coh_e!D38</f>
        <v>81.67370869</v>
      </c>
      <c r="E38" s="10">
        <f t="shared" si="1"/>
        <v>62.80171209</v>
      </c>
      <c r="F38" s="10">
        <f>(coh_e!G38-coh_e!D38-G38*1.2)*3</f>
        <v>40.50867491</v>
      </c>
      <c r="G38" s="10">
        <f>(coh_e!H38-coh_e!D38)/1.3</f>
        <v>34.68153796</v>
      </c>
      <c r="H38" s="10">
        <f>F38+G38-coh_e!E38</f>
        <v>0.0000000001492566071</v>
      </c>
      <c r="M38" s="10"/>
      <c r="N38" s="10"/>
    </row>
    <row r="39">
      <c r="A39" s="7" t="s">
        <v>53</v>
      </c>
      <c r="D39" s="10">
        <f>E39+coh_e!D39</f>
        <v>84.64174756</v>
      </c>
      <c r="E39" s="10">
        <f t="shared" si="1"/>
        <v>79.11318808</v>
      </c>
      <c r="F39" s="10">
        <f>(coh_e!G39-coh_e!D39-G39*1.2)*3</f>
        <v>48.31655749</v>
      </c>
      <c r="G39" s="10">
        <f>(coh_e!H39-coh_e!D39)/1.3</f>
        <v>45.15608431</v>
      </c>
      <c r="H39" s="10">
        <f>F39+G39-coh_e!E39</f>
        <v>-0.0000000001492281854</v>
      </c>
      <c r="M39" s="10"/>
      <c r="N39" s="10"/>
    </row>
    <row r="40">
      <c r="A40" s="7" t="s">
        <v>53</v>
      </c>
      <c r="D40" s="10">
        <f>E40+coh_e!D40</f>
        <v>82.73572162</v>
      </c>
      <c r="E40" s="10">
        <f t="shared" si="1"/>
        <v>81.28995388</v>
      </c>
      <c r="F40" s="10">
        <f>(coh_e!G40-coh_e!D40-G40*1.2)*3</f>
        <v>49.8676593</v>
      </c>
      <c r="G40" s="10">
        <f>(coh_e!H40-coh_e!D40)/1.3</f>
        <v>46.27870117</v>
      </c>
      <c r="H40" s="10">
        <f>F40+G40-coh_e!E40</f>
        <v>0.0000000001492423962</v>
      </c>
      <c r="M40" s="10"/>
      <c r="N40" s="10"/>
    </row>
    <row r="41">
      <c r="A41" s="7" t="s">
        <v>53</v>
      </c>
      <c r="B41" s="10">
        <f>D41-ref!C10</f>
        <v>-5.675827661</v>
      </c>
      <c r="C41" s="10">
        <f>D41-coh_e!G41</f>
        <v>9.361066782</v>
      </c>
      <c r="D41" s="10">
        <f>E41+coh_e!D41</f>
        <v>84.32417234</v>
      </c>
      <c r="E41" s="10">
        <f t="shared" si="1"/>
        <v>82.8784046</v>
      </c>
      <c r="F41" s="10">
        <f>(coh_e!G41-coh_e!D41-G41*1.2)*3</f>
        <v>50.99954441</v>
      </c>
      <c r="G41" s="10">
        <f>(coh_e!H41-coh_e!D41)/1.3</f>
        <v>47.09790807</v>
      </c>
      <c r="H41" s="10">
        <f>F41+G41-coh_e!E41</f>
        <v>0.0000000004477129778</v>
      </c>
      <c r="M41" s="10"/>
      <c r="N41" s="10">
        <f>ABS(B41)</f>
        <v>5.675827661</v>
      </c>
    </row>
    <row r="42">
      <c r="A42" s="7" t="s">
        <v>23</v>
      </c>
      <c r="D42" s="10">
        <f>E42+coh_e!D42</f>
        <v>77.56897957</v>
      </c>
      <c r="E42" s="10">
        <f t="shared" si="1"/>
        <v>59.3500638</v>
      </c>
      <c r="F42" s="10">
        <f>(coh_e!G42-coh_e!D42-G42*1.2)*3</f>
        <v>36.28527971</v>
      </c>
      <c r="G42" s="10">
        <f>(coh_e!H42-coh_e!D42)/1.3</f>
        <v>33.85486123</v>
      </c>
      <c r="H42" s="10">
        <f>F42+G42-coh_e!E42</f>
        <v>0</v>
      </c>
      <c r="M42" s="10"/>
      <c r="N42" s="10"/>
    </row>
    <row r="43">
      <c r="A43" s="7" t="s">
        <v>23</v>
      </c>
      <c r="D43" s="10">
        <f>E43+coh_e!D43</f>
        <v>88.47414404</v>
      </c>
      <c r="E43" s="10">
        <f t="shared" si="1"/>
        <v>74.80395763</v>
      </c>
      <c r="F43" s="10">
        <f>(coh_e!G43-coh_e!D43-G43*1.2)*3</f>
        <v>43.66281612</v>
      </c>
      <c r="G43" s="10">
        <f>(coh_e!H43-coh_e!D43)/1.3</f>
        <v>43.78943059</v>
      </c>
      <c r="H43" s="10">
        <f>F43+G43-coh_e!E43</f>
        <v>-0.0000000002238493835</v>
      </c>
      <c r="M43" s="10"/>
      <c r="N43" s="10"/>
    </row>
    <row r="44">
      <c r="A44" s="7" t="s">
        <v>23</v>
      </c>
      <c r="D44" s="10">
        <f>E44+coh_e!D44</f>
        <v>91.49122889</v>
      </c>
      <c r="E44" s="10">
        <f t="shared" si="1"/>
        <v>78.62023082</v>
      </c>
      <c r="F44" s="10">
        <f>(coh_e!G44-coh_e!D44-G44*1.2)*3</f>
        <v>45.3445564</v>
      </c>
      <c r="G44" s="10">
        <f>(coh_e!H44-coh_e!D44)/1.3</f>
        <v>46.31846575</v>
      </c>
      <c r="H44" s="10">
        <f>F44+G44-coh_e!E44</f>
        <v>0.0000000001492708179</v>
      </c>
      <c r="M44" s="10"/>
      <c r="N44" s="10"/>
    </row>
    <row r="45">
      <c r="A45" s="7" t="s">
        <v>23</v>
      </c>
      <c r="B45" s="10">
        <f>D45-ref!C11</f>
        <v>3.876076892</v>
      </c>
      <c r="C45" s="10">
        <f>D45-coh_e!G45</f>
        <v>8.084381262</v>
      </c>
      <c r="D45" s="10">
        <f>E45+coh_e!D45</f>
        <v>94.27607689</v>
      </c>
      <c r="E45" s="10">
        <f t="shared" si="1"/>
        <v>81.40507882</v>
      </c>
      <c r="F45" s="10">
        <f>(coh_e!G45-coh_e!D45-G45*1.2)*3</f>
        <v>46.57177227</v>
      </c>
      <c r="G45" s="10">
        <f>(coh_e!H45-coh_e!D45)/1.3</f>
        <v>48.16397789</v>
      </c>
      <c r="H45" s="10">
        <f>F45+G45-coh_e!E45</f>
        <v>0</v>
      </c>
      <c r="M45" s="10"/>
      <c r="N45" s="10">
        <f>ABS(B45)</f>
        <v>3.876076892</v>
      </c>
    </row>
    <row r="46">
      <c r="A46" s="7" t="s">
        <v>54</v>
      </c>
      <c r="D46" s="10">
        <f>E46+coh_e!D46</f>
        <v>72.38636095</v>
      </c>
      <c r="E46" s="10">
        <f t="shared" si="1"/>
        <v>110.9162747</v>
      </c>
      <c r="F46" s="10">
        <f>(coh_e!G46-coh_e!D46-G46*1.2)*3</f>
        <v>64.57067326</v>
      </c>
      <c r="G46" s="10">
        <f>(coh_e!H46-coh_e!D46)/1.3</f>
        <v>65.02150517</v>
      </c>
      <c r="H46" s="10">
        <f>F46+G46-coh_e!E46</f>
        <v>0.0000000001492139745</v>
      </c>
      <c r="M46" s="10"/>
      <c r="N46" s="10"/>
    </row>
    <row r="47">
      <c r="A47" s="7" t="s">
        <v>54</v>
      </c>
      <c r="D47" s="10">
        <f>E47+coh_e!D47</f>
        <v>93.25988284</v>
      </c>
      <c r="E47" s="10">
        <f t="shared" si="1"/>
        <v>134.8788926</v>
      </c>
      <c r="F47" s="10">
        <f>(coh_e!G47-coh_e!D47-G47*1.2)*3</f>
        <v>76.16663043</v>
      </c>
      <c r="G47" s="10">
        <f>(coh_e!H47-coh_e!D47)/1.3</f>
        <v>80.34136425</v>
      </c>
      <c r="H47" s="10">
        <f>F47+G47-coh_e!E47</f>
        <v>-0.0000000004477271887</v>
      </c>
      <c r="M47" s="10"/>
      <c r="N47" s="10"/>
    </row>
    <row r="48">
      <c r="A48" s="7" t="s">
        <v>54</v>
      </c>
      <c r="D48" s="10">
        <f>E48+coh_e!D48</f>
        <v>96.73163766</v>
      </c>
      <c r="E48" s="10">
        <f t="shared" si="1"/>
        <v>138.9958342</v>
      </c>
      <c r="F48" s="10">
        <f>(coh_e!G48-coh_e!D48-G48*1.2)*3</f>
        <v>78.37861632</v>
      </c>
      <c r="G48" s="10">
        <f>(coh_e!H48-coh_e!D48)/1.3</f>
        <v>82.85465264</v>
      </c>
      <c r="H48" s="10">
        <f>F48+G48-coh_e!E48</f>
        <v>0.0000000001492423962</v>
      </c>
      <c r="M48" s="10"/>
      <c r="N48" s="10"/>
    </row>
    <row r="49">
      <c r="A49" s="7" t="s">
        <v>54</v>
      </c>
      <c r="B49" s="10">
        <f>D49-ref!C12</f>
        <v>18.43589238</v>
      </c>
      <c r="C49" s="10">
        <f>D49-coh_e!G49</f>
        <v>13.7094242</v>
      </c>
      <c r="D49" s="10">
        <f>E49+coh_e!D49</f>
        <v>99.73589238</v>
      </c>
      <c r="E49" s="10">
        <f t="shared" si="1"/>
        <v>142.0000889</v>
      </c>
      <c r="F49" s="10">
        <f>(coh_e!G49-coh_e!D49-G49*1.2)*3</f>
        <v>79.9927682</v>
      </c>
      <c r="G49" s="10">
        <f>(coh_e!H49-coh_e!D49)/1.3</f>
        <v>84.6886739</v>
      </c>
      <c r="H49" s="10">
        <f>F49+G49-coh_e!E49</f>
        <v>-0.0000000002985132141</v>
      </c>
      <c r="M49" s="10"/>
      <c r="N49" s="10">
        <f>ABS(B49)</f>
        <v>18.43589238</v>
      </c>
    </row>
    <row r="50">
      <c r="A50" s="7" t="s">
        <v>55</v>
      </c>
      <c r="D50" s="10">
        <f>E50+coh_e!D50</f>
        <v>52.75661762</v>
      </c>
      <c r="E50" s="10">
        <f t="shared" si="1"/>
        <v>14.31528166</v>
      </c>
      <c r="F50" s="10">
        <f>(coh_e!G50-coh_e!D50-G50*1.2)*3</f>
        <v>20.16986369</v>
      </c>
      <c r="G50" s="10">
        <f>(coh_e!H50-coh_e!D50)/1.3</f>
        <v>1.994021123</v>
      </c>
      <c r="H50" s="10">
        <f>F50+G50-coh_e!E50</f>
        <v>0.0000000001492388435</v>
      </c>
      <c r="M50" s="10"/>
      <c r="N50" s="10"/>
    </row>
    <row r="51">
      <c r="A51" s="7" t="s">
        <v>55</v>
      </c>
      <c r="D51" s="10">
        <f>E51+coh_e!D51</f>
        <v>74.07607217</v>
      </c>
      <c r="E51" s="10">
        <f t="shared" si="1"/>
        <v>38.50917695</v>
      </c>
      <c r="F51" s="10">
        <f>(coh_e!G51-coh_e!D51-G51*1.2)*3</f>
        <v>31.86626504</v>
      </c>
      <c r="G51" s="10">
        <f>(coh_e!H51-coh_e!D51)/1.3</f>
        <v>17.46794408</v>
      </c>
      <c r="H51" s="10">
        <f>F51+G51-coh_e!E51</f>
        <v>-0.0000000004477413995</v>
      </c>
      <c r="M51" s="10"/>
      <c r="N51" s="10"/>
    </row>
    <row r="52">
      <c r="A52" s="7" t="s">
        <v>55</v>
      </c>
      <c r="D52" s="10">
        <f>E52+coh_e!D52</f>
        <v>83.10883356</v>
      </c>
      <c r="E52" s="10">
        <f t="shared" si="1"/>
        <v>48.03557052</v>
      </c>
      <c r="F52" s="10">
        <f>(coh_e!G52-coh_e!D52-G52*1.2)*3</f>
        <v>35.9683587</v>
      </c>
      <c r="G52" s="10">
        <f>(coh_e!H52-coh_e!D52)/1.3</f>
        <v>23.8329327</v>
      </c>
      <c r="H52" s="10">
        <f>F52+G52-coh_e!E52</f>
        <v>0</v>
      </c>
      <c r="M52" s="10"/>
      <c r="N52" s="10"/>
    </row>
    <row r="53">
      <c r="A53" s="7" t="s">
        <v>55</v>
      </c>
      <c r="B53" s="10">
        <f>D53-ref!C13</f>
        <v>-8.73947384</v>
      </c>
      <c r="C53" s="10">
        <f>D53-coh_e!G53</f>
        <v>7.8268187</v>
      </c>
      <c r="D53" s="10">
        <f>E53+coh_e!D53</f>
        <v>90.06052616</v>
      </c>
      <c r="E53" s="10">
        <f t="shared" si="1"/>
        <v>54.98726312</v>
      </c>
      <c r="F53" s="10">
        <f>(coh_e!G53-coh_e!D53-G53*1.2)*3</f>
        <v>38.96177839</v>
      </c>
      <c r="G53" s="10">
        <f>(coh_e!H53-coh_e!D53)/1.3</f>
        <v>28.47765413</v>
      </c>
      <c r="H53" s="10">
        <f>F53+G53-coh_e!E53</f>
        <v>0</v>
      </c>
      <c r="M53" s="10"/>
      <c r="N53" s="10">
        <f>ABS(B53)</f>
        <v>8.73947384</v>
      </c>
    </row>
    <row r="54">
      <c r="A54" s="7" t="s">
        <v>56</v>
      </c>
      <c r="D54" s="10">
        <f>E54+coh_e!D54</f>
        <v>92.1020849</v>
      </c>
      <c r="E54" s="10">
        <f t="shared" si="1"/>
        <v>39.11958539</v>
      </c>
      <c r="F54" s="10">
        <f>(coh_e!G54-coh_e!D54-G54*1.2)*3</f>
        <v>28.14828969</v>
      </c>
      <c r="G54" s="10">
        <f>(coh_e!H54-coh_e!D54)/1.3</f>
        <v>20.02757799</v>
      </c>
      <c r="H54" s="10">
        <f>F54+G54-coh_e!E54</f>
        <v>-0.0000000002985061087</v>
      </c>
      <c r="M54" s="10"/>
      <c r="N54" s="10"/>
    </row>
    <row r="55">
      <c r="A55" s="7" t="s">
        <v>56</v>
      </c>
      <c r="D55" s="10">
        <f>E55+coh_e!D55</f>
        <v>90.66403605</v>
      </c>
      <c r="E55" s="10">
        <f t="shared" si="1"/>
        <v>54.83666698</v>
      </c>
      <c r="F55" s="10">
        <f>(coh_e!G55-coh_e!D55-G55*1.2)*3</f>
        <v>36.58577111</v>
      </c>
      <c r="G55" s="10">
        <f>(coh_e!H55-coh_e!D55)/1.3</f>
        <v>29.6263102</v>
      </c>
      <c r="H55" s="10">
        <f>F55+G55-coh_e!E55</f>
        <v>0.0000000001492708179</v>
      </c>
      <c r="M55" s="10"/>
      <c r="N55" s="10"/>
    </row>
    <row r="56">
      <c r="A56" s="7" t="s">
        <v>56</v>
      </c>
      <c r="D56" s="10">
        <f>E56+coh_e!D56</f>
        <v>89.22994595</v>
      </c>
      <c r="E56" s="10">
        <f t="shared" si="1"/>
        <v>58.8413894</v>
      </c>
      <c r="F56" s="10">
        <f>(coh_e!G56-coh_e!D56-G56*1.2)*3</f>
        <v>38.96583545</v>
      </c>
      <c r="G56" s="10">
        <f>(coh_e!H56-coh_e!D56)/1.3</f>
        <v>31.94764696</v>
      </c>
      <c r="H56" s="10">
        <f>F56+G56-coh_e!E56</f>
        <v>-0.0000000001492566071</v>
      </c>
      <c r="M56" s="10"/>
      <c r="N56" s="10"/>
    </row>
    <row r="57">
      <c r="A57" s="7" t="s">
        <v>56</v>
      </c>
      <c r="B57" s="10">
        <f>D57-ref!C14</f>
        <v>-4.647689049</v>
      </c>
      <c r="C57" s="10">
        <f>D57-coh_e!G57</f>
        <v>7.826293522</v>
      </c>
      <c r="D57" s="10">
        <f>E57+coh_e!D57</f>
        <v>92.15231095</v>
      </c>
      <c r="E57" s="10">
        <f t="shared" si="1"/>
        <v>61.7637544</v>
      </c>
      <c r="F57" s="10">
        <f>(coh_e!G57-coh_e!D57-G57*1.2)*3</f>
        <v>40.70263916</v>
      </c>
      <c r="G57" s="10">
        <f>(coh_e!H57-coh_e!D57)/1.3</f>
        <v>33.64159541</v>
      </c>
      <c r="H57" s="10">
        <f>F57+G57-coh_e!E57</f>
        <v>-0.0000000001492281854</v>
      </c>
      <c r="M57" s="10"/>
      <c r="N57" s="10">
        <f>ABS(B57)</f>
        <v>4.647689049</v>
      </c>
    </row>
    <row r="58">
      <c r="A58" s="7" t="s">
        <v>28</v>
      </c>
      <c r="D58" s="10">
        <f>E58+coh_e!D58</f>
        <v>77.33156151</v>
      </c>
      <c r="E58" s="10">
        <f t="shared" si="1"/>
        <v>81.13545868</v>
      </c>
      <c r="F58" s="10">
        <f>(coh_e!G58-coh_e!D58-G58*1.2)*3</f>
        <v>44.70743172</v>
      </c>
      <c r="G58" s="10">
        <f>(coh_e!H58-coh_e!D58)/1.3</f>
        <v>48.92882851</v>
      </c>
      <c r="H58" s="10">
        <f>F58+G58-coh_e!E58</f>
        <v>0.0000000001492423962</v>
      </c>
      <c r="M58" s="10"/>
      <c r="N58" s="10"/>
    </row>
    <row r="59">
      <c r="A59" s="7" t="s">
        <v>28</v>
      </c>
      <c r="D59" s="10">
        <f>E59+coh_e!D59</f>
        <v>77.38064866</v>
      </c>
      <c r="E59" s="10">
        <f t="shared" si="1"/>
        <v>92.88534573</v>
      </c>
      <c r="F59" s="10">
        <f>(coh_e!G59-coh_e!D59-G59*1.2)*3</f>
        <v>50.92278077</v>
      </c>
      <c r="G59" s="10">
        <f>(coh_e!H59-coh_e!D59)/1.3</f>
        <v>56.15466421</v>
      </c>
      <c r="H59" s="10">
        <f>F59+G59-coh_e!E59</f>
        <v>-0.0000000001492566071</v>
      </c>
      <c r="M59" s="10"/>
      <c r="N59" s="10"/>
    </row>
    <row r="60">
      <c r="A60" s="7" t="s">
        <v>28</v>
      </c>
      <c r="D60" s="10">
        <f>E60+coh_e!D60</f>
        <v>75.85216544</v>
      </c>
      <c r="E60" s="10">
        <f t="shared" si="1"/>
        <v>94.29617988</v>
      </c>
      <c r="F60" s="10">
        <f>(coh_e!G60-coh_e!D60-G60*1.2)*3</f>
        <v>52.08088202</v>
      </c>
      <c r="G60" s="10">
        <f>(coh_e!H60-coh_e!D60)/1.3</f>
        <v>56.79968528</v>
      </c>
      <c r="H60" s="10">
        <f>F60+G60-coh_e!E60</f>
        <v>0.0000000004477413995</v>
      </c>
      <c r="M60" s="10"/>
      <c r="N60" s="10"/>
    </row>
    <row r="61">
      <c r="A61" s="7" t="s">
        <v>28</v>
      </c>
      <c r="B61" s="10">
        <f>D61-ref!C15</f>
        <v>12.58169306</v>
      </c>
      <c r="C61" s="10">
        <f>D61-coh_e!G61</f>
        <v>8.959261579</v>
      </c>
      <c r="D61" s="10">
        <f>E61+coh_e!D61</f>
        <v>76.88169306</v>
      </c>
      <c r="E61" s="10">
        <f t="shared" si="1"/>
        <v>95.3257075</v>
      </c>
      <c r="F61" s="10">
        <f>(coh_e!G61-coh_e!D61-G61*1.2)*3</f>
        <v>52.92598293</v>
      </c>
      <c r="G61" s="10">
        <f>(coh_e!H61-coh_e!D61)/1.3</f>
        <v>57.27037634</v>
      </c>
      <c r="H61" s="10">
        <f>F61+G61-coh_e!E61</f>
        <v>0</v>
      </c>
      <c r="M61" s="10"/>
      <c r="N61" s="10">
        <f>ABS(B61)</f>
        <v>12.58169306</v>
      </c>
    </row>
    <row r="62">
      <c r="A62" s="1" t="s">
        <v>35</v>
      </c>
      <c r="D62" s="10">
        <f>E62+coh_e!D62</f>
        <v>34.86711517</v>
      </c>
      <c r="E62" s="10">
        <f t="shared" si="1"/>
        <v>26.46209625</v>
      </c>
      <c r="F62" s="10">
        <f>(coh_e!G62-coh_e!D62-G62*1.2)*3</f>
        <v>21.8507687</v>
      </c>
      <c r="G62" s="10">
        <f>(coh_e!H62-coh_e!D62)/1.3</f>
        <v>12.02850003</v>
      </c>
      <c r="H62" s="10">
        <f>F62+G62-coh_e!E62</f>
        <v>-0.0000000001492352908</v>
      </c>
      <c r="M62" s="10"/>
      <c r="N62" s="10"/>
    </row>
    <row r="63">
      <c r="A63" s="1" t="s">
        <v>35</v>
      </c>
      <c r="D63" s="10">
        <f>E63+coh_e!D63</f>
        <v>46.76167469</v>
      </c>
      <c r="E63" s="10">
        <f t="shared" si="1"/>
        <v>40.43453012</v>
      </c>
      <c r="F63" s="10">
        <f>(coh_e!G63-coh_e!D63-G63*1.2)*3</f>
        <v>28.44306871</v>
      </c>
      <c r="G63" s="10">
        <f>(coh_e!H63-coh_e!D63)/1.3</f>
        <v>21.05287287</v>
      </c>
      <c r="H63" s="10">
        <f>F63+G63-coh_e!E63</f>
        <v>0</v>
      </c>
      <c r="M63" s="10"/>
      <c r="N63" s="10"/>
    </row>
    <row r="64">
      <c r="A64" s="1" t="s">
        <v>35</v>
      </c>
      <c r="D64" s="10">
        <f>E64+coh_e!D64</f>
        <v>51.37231655</v>
      </c>
      <c r="E64" s="10">
        <f t="shared" si="1"/>
        <v>45.1044194</v>
      </c>
      <c r="F64" s="10">
        <f>(coh_e!G64-coh_e!D64-G64*1.2)*3</f>
        <v>30.42234059</v>
      </c>
      <c r="G64" s="10">
        <f>(coh_e!H64-coh_e!D64)/1.3</f>
        <v>24.19010364</v>
      </c>
      <c r="H64" s="10">
        <f>F64+G64-coh_e!E64</f>
        <v>0</v>
      </c>
      <c r="M64" s="10"/>
      <c r="N64" s="10"/>
    </row>
    <row r="65">
      <c r="A65" s="1" t="s">
        <v>35</v>
      </c>
      <c r="B65" s="10">
        <f>D65-ref!C22</f>
        <v>-24.01992641</v>
      </c>
      <c r="C65" s="10">
        <f>D65-coh_e!G65</f>
        <v>6.114630689</v>
      </c>
      <c r="D65" s="10">
        <f>E65+coh_e!D65</f>
        <v>54.78007359</v>
      </c>
      <c r="E65" s="10">
        <f t="shared" si="1"/>
        <v>48.51217644</v>
      </c>
      <c r="F65" s="10">
        <f>(coh_e!G65-coh_e!D65-G65*1.2)*3</f>
        <v>31.86667413</v>
      </c>
      <c r="G65" s="10">
        <f>(coh_e!H65-coh_e!D65)/1.3</f>
        <v>26.4794342</v>
      </c>
      <c r="H65" s="10">
        <f>F65+G65-coh_e!E65</f>
        <v>-0.0000000001492495016</v>
      </c>
      <c r="M65" s="10"/>
      <c r="N65" s="10">
        <f>ABS(B65)</f>
        <v>24.01992641</v>
      </c>
    </row>
    <row r="66">
      <c r="A66" s="7" t="s">
        <v>57</v>
      </c>
      <c r="D66" s="10">
        <f>E66+coh_e!D66</f>
        <v>93.14999351</v>
      </c>
      <c r="E66" s="10">
        <f t="shared" si="1"/>
        <v>61.10283356</v>
      </c>
      <c r="F66" s="10">
        <f>(coh_e!G66-coh_e!D66-G66*1.2)*3</f>
        <v>42.45471399</v>
      </c>
      <c r="G66" s="10">
        <f>(coh_e!H66-coh_e!D66)/1.3</f>
        <v>32.09910375</v>
      </c>
      <c r="H66" s="10">
        <f>F66+G66-coh_e!E66</f>
        <v>0</v>
      </c>
      <c r="M66" s="10"/>
      <c r="N66" s="10"/>
    </row>
    <row r="67">
      <c r="A67" s="7" t="s">
        <v>57</v>
      </c>
      <c r="D67" s="10">
        <f>E67+coh_e!D67</f>
        <v>105.1780987</v>
      </c>
      <c r="E67" s="10">
        <f t="shared" si="1"/>
        <v>82.84594116</v>
      </c>
      <c r="F67" s="10">
        <f>(coh_e!G67-coh_e!D67-G67*1.2)*3</f>
        <v>53.60744475</v>
      </c>
      <c r="G67" s="10">
        <f>(coh_e!H67-coh_e!D67)/1.3</f>
        <v>45.65898586</v>
      </c>
      <c r="H67" s="10">
        <f>F67+G67-coh_e!E67</f>
        <v>0</v>
      </c>
      <c r="M67" s="10"/>
      <c r="N67" s="10"/>
    </row>
    <row r="68">
      <c r="A68" s="7" t="s">
        <v>57</v>
      </c>
      <c r="D68" s="10">
        <f>E68+coh_e!D68</f>
        <v>108.7863869</v>
      </c>
      <c r="E68" s="10">
        <f t="shared" si="1"/>
        <v>88.55689307</v>
      </c>
      <c r="F68" s="10">
        <f>(coh_e!G68-coh_e!D68-G68*1.2)*3</f>
        <v>56.59910243</v>
      </c>
      <c r="G68" s="10">
        <f>(coh_e!H68-coh_e!D68)/1.3</f>
        <v>49.18687533</v>
      </c>
      <c r="H68" s="10">
        <f>F68+G68-coh_e!E68</f>
        <v>0.0000000001492423962</v>
      </c>
      <c r="M68" s="10"/>
      <c r="N68" s="10"/>
    </row>
    <row r="69">
      <c r="A69" s="7" t="s">
        <v>57</v>
      </c>
      <c r="B69" s="10">
        <f>D69-ref!C16</f>
        <v>-17.14616174</v>
      </c>
      <c r="C69" s="10">
        <f>D69-coh_e!G69</f>
        <v>11.01673909</v>
      </c>
      <c r="D69" s="10">
        <f>E69+coh_e!D69</f>
        <v>112.9538383</v>
      </c>
      <c r="E69" s="10">
        <f t="shared" si="1"/>
        <v>92.72434447</v>
      </c>
      <c r="F69" s="10">
        <f>(coh_e!G69-coh_e!D69-G69*1.2)*3</f>
        <v>58.78220398</v>
      </c>
      <c r="G69" s="10">
        <f>(coh_e!H69-coh_e!D69)/1.3</f>
        <v>51.76128116</v>
      </c>
      <c r="H69" s="10">
        <f>F69+G69-coh_e!E69</f>
        <v>0</v>
      </c>
      <c r="M69" s="10"/>
      <c r="N69" s="10">
        <f>ABS(B69)</f>
        <v>17.14616174</v>
      </c>
    </row>
    <row r="70">
      <c r="A70" s="7" t="s">
        <v>30</v>
      </c>
      <c r="D70" s="10">
        <f>E70+coh_e!D70</f>
        <v>70.85964177</v>
      </c>
      <c r="E70" s="10">
        <f t="shared" si="1"/>
        <v>59.24442187</v>
      </c>
      <c r="F70" s="10">
        <f>(coh_e!G70-coh_e!D70-G70*1.2)*3</f>
        <v>33.72923343</v>
      </c>
      <c r="G70" s="10">
        <f>(coh_e!H70-coh_e!D70)/1.3</f>
        <v>35.14133496</v>
      </c>
      <c r="H70" s="10">
        <f>F70+G70-coh_e!E70</f>
        <v>0.0000000001492566071</v>
      </c>
      <c r="M70" s="10"/>
      <c r="N70" s="10"/>
    </row>
    <row r="71">
      <c r="A71" s="7" t="s">
        <v>30</v>
      </c>
      <c r="D71" s="10">
        <f>E71+coh_e!D71</f>
        <v>69.04740685</v>
      </c>
      <c r="E71" s="10">
        <f t="shared" si="1"/>
        <v>69.15635549</v>
      </c>
      <c r="F71" s="10">
        <f>(coh_e!G71-coh_e!D71-G71*1.2)*3</f>
        <v>39.08712166</v>
      </c>
      <c r="G71" s="10">
        <f>(coh_e!H71-coh_e!D71)/1.3</f>
        <v>41.17484909</v>
      </c>
      <c r="H71" s="10">
        <f>F71+G71-coh_e!E71</f>
        <v>-0.0000000001492281854</v>
      </c>
      <c r="M71" s="10"/>
      <c r="N71" s="10"/>
    </row>
    <row r="72">
      <c r="A72" s="7" t="s">
        <v>30</v>
      </c>
      <c r="D72" s="10">
        <f>E72+coh_e!D72</f>
        <v>67.07732303</v>
      </c>
      <c r="E72" s="10">
        <f t="shared" si="1"/>
        <v>70.40996034</v>
      </c>
      <c r="F72" s="10">
        <f>(coh_e!G72-coh_e!D72-G72*1.2)*3</f>
        <v>40.08039363</v>
      </c>
      <c r="G72" s="10">
        <f>(coh_e!H72-coh_e!D72)/1.3</f>
        <v>41.76731906</v>
      </c>
      <c r="H72" s="10">
        <f>F72+G72-coh_e!E72</f>
        <v>0</v>
      </c>
      <c r="M72" s="10"/>
      <c r="N72" s="10"/>
    </row>
    <row r="73">
      <c r="A73" s="7" t="s">
        <v>30</v>
      </c>
      <c r="B73" s="10">
        <f>D73-ref!C17</f>
        <v>5.392115751</v>
      </c>
      <c r="C73" s="10">
        <f>D73-coh_e!G73</f>
        <v>7.08342074</v>
      </c>
      <c r="D73" s="10">
        <f>E73+coh_e!D73</f>
        <v>67.99211575</v>
      </c>
      <c r="E73" s="10">
        <f t="shared" si="1"/>
        <v>71.32475306</v>
      </c>
      <c r="F73" s="10">
        <f>(coh_e!G73-coh_e!D73-G73*1.2)*3</f>
        <v>40.80521371</v>
      </c>
      <c r="G73" s="10">
        <f>(coh_e!H73-coh_e!D73)/1.3</f>
        <v>42.19966201</v>
      </c>
      <c r="H73" s="10">
        <f>F73+G73-coh_e!E73</f>
        <v>-0.0000000002984705816</v>
      </c>
      <c r="M73" s="10"/>
      <c r="N73" s="10">
        <f>ABS(B73)</f>
        <v>5.392115751</v>
      </c>
    </row>
    <row r="74">
      <c r="A74" s="1" t="s">
        <v>36</v>
      </c>
      <c r="D74" s="10">
        <f>E74+coh_e!D74</f>
        <v>61.05154511</v>
      </c>
      <c r="E74" s="10">
        <f t="shared" si="1"/>
        <v>51.07227668</v>
      </c>
      <c r="F74" s="10">
        <f>(coh_e!G74-coh_e!D74-G74*1.2)*3</f>
        <v>27.9973483</v>
      </c>
      <c r="G74" s="10">
        <f>(coh_e!H74-coh_e!D74)/1.3</f>
        <v>30.8773583</v>
      </c>
      <c r="H74" s="10">
        <f>F74+G74-coh_e!E74</f>
        <v>0.0000000001492352908</v>
      </c>
      <c r="M74" s="10"/>
      <c r="N74" s="10"/>
    </row>
    <row r="75">
      <c r="A75" s="1" t="s">
        <v>36</v>
      </c>
      <c r="D75" s="10">
        <f>E75+coh_e!D75</f>
        <v>53.76907435</v>
      </c>
      <c r="E75" s="10">
        <f t="shared" si="1"/>
        <v>59.55831565</v>
      </c>
      <c r="F75" s="10">
        <f>(coh_e!G75-coh_e!D75-G75*1.2)*3</f>
        <v>32.39149371</v>
      </c>
      <c r="G75" s="10">
        <f>(coh_e!H75-coh_e!D75)/1.3</f>
        <v>36.14722471</v>
      </c>
      <c r="H75" s="10">
        <f>F75+G75-coh_e!E75</f>
        <v>-0.0000000002984847924</v>
      </c>
      <c r="M75" s="10"/>
      <c r="N75" s="10"/>
    </row>
    <row r="76">
      <c r="A76" s="1" t="s">
        <v>36</v>
      </c>
      <c r="D76" s="10">
        <f>E76+coh_e!D76</f>
        <v>49.95755684</v>
      </c>
      <c r="E76" s="10">
        <f t="shared" si="1"/>
        <v>60.05808021</v>
      </c>
      <c r="F76" s="10">
        <f>(coh_e!G76-coh_e!D76-G76*1.2)*3</f>
        <v>33.03636687</v>
      </c>
      <c r="G76" s="10">
        <f>(coh_e!H76-coh_e!D76)/1.3</f>
        <v>36.24888297</v>
      </c>
      <c r="H76" s="10">
        <f>F76+G76-coh_e!E76</f>
        <v>0</v>
      </c>
      <c r="M76" s="10"/>
      <c r="N76" s="10"/>
    </row>
    <row r="77">
      <c r="A77" s="1" t="s">
        <v>36</v>
      </c>
      <c r="B77" s="10">
        <f>D77-ref!C23</f>
        <v>-14.2777501</v>
      </c>
      <c r="C77" s="10">
        <f>D77-coh_e!G77</f>
        <v>5.666110719</v>
      </c>
      <c r="D77" s="10">
        <f>E77+coh_e!D77</f>
        <v>50.3222499</v>
      </c>
      <c r="E77" s="10">
        <f t="shared" si="1"/>
        <v>60.42277327</v>
      </c>
      <c r="F77" s="10">
        <f>(coh_e!G77-coh_e!D77-G77*1.2)*3</f>
        <v>33.50694998</v>
      </c>
      <c r="G77" s="10">
        <f>(coh_e!H77-coh_e!D77)/1.3</f>
        <v>36.32306602</v>
      </c>
      <c r="H77" s="10">
        <f>F77+G77-coh_e!E77</f>
        <v>-0.0000000002984990033</v>
      </c>
      <c r="M77" s="10"/>
      <c r="N77" s="10">
        <f>ABS(B77)</f>
        <v>14.2777501</v>
      </c>
    </row>
    <row r="78">
      <c r="A78" s="7" t="s">
        <v>31</v>
      </c>
      <c r="D78" s="10">
        <f>E78+coh_e!D78</f>
        <v>66.77353483</v>
      </c>
      <c r="E78" s="10">
        <f t="shared" si="1"/>
        <v>20.42829834</v>
      </c>
      <c r="F78" s="10">
        <f>(coh_e!G78-coh_e!D78-G78*1.2)*3</f>
        <v>20.02047025</v>
      </c>
      <c r="G78" s="10">
        <f>(coh_e!H78-coh_e!D78)/1.3</f>
        <v>7.581996569</v>
      </c>
      <c r="H78" s="10">
        <f>F78+G78-coh_e!E78</f>
        <v>0.0000000002238493835</v>
      </c>
      <c r="M78" s="10"/>
      <c r="N78" s="10"/>
    </row>
    <row r="79">
      <c r="A79" s="7" t="s">
        <v>31</v>
      </c>
      <c r="D79" s="10">
        <f>E79+coh_e!D79</f>
        <v>85.93915641</v>
      </c>
      <c r="E79" s="10">
        <f t="shared" si="1"/>
        <v>41.0462919</v>
      </c>
      <c r="F79" s="10">
        <f>(coh_e!G79-coh_e!D79-G79*1.2)*3</f>
        <v>29.67222511</v>
      </c>
      <c r="G79" s="10">
        <f>(coh_e!H79-coh_e!D79)/1.3</f>
        <v>20.93960075</v>
      </c>
      <c r="H79" s="10">
        <f>F79+G79-coh_e!E79</f>
        <v>0.0000000001492423962</v>
      </c>
      <c r="M79" s="10"/>
      <c r="N79" s="10"/>
    </row>
    <row r="80">
      <c r="A80" s="7" t="s">
        <v>31</v>
      </c>
      <c r="D80" s="10">
        <f>E80+coh_e!D80</f>
        <v>93.0229518</v>
      </c>
      <c r="E80" s="10">
        <f t="shared" si="1"/>
        <v>47.82874515</v>
      </c>
      <c r="F80" s="10">
        <f>(coh_e!G80-coh_e!D80-G80*1.2)*3</f>
        <v>32.55126396</v>
      </c>
      <c r="G80" s="10">
        <f>(coh_e!H80-coh_e!D80)/1.3</f>
        <v>25.49368178</v>
      </c>
      <c r="H80" s="10">
        <f>F80+G80-coh_e!E80</f>
        <v>0</v>
      </c>
      <c r="M80" s="10"/>
      <c r="N80" s="10"/>
    </row>
    <row r="81">
      <c r="A81" s="7" t="s">
        <v>31</v>
      </c>
      <c r="B81" s="10">
        <f>D81-ref!C18</f>
        <v>-4.12769042</v>
      </c>
      <c r="C81" s="10">
        <f>D81-coh_e!G81</f>
        <v>6.647058746</v>
      </c>
      <c r="D81" s="10">
        <f>E81+coh_e!D81</f>
        <v>97.97230958</v>
      </c>
      <c r="E81" s="10">
        <f t="shared" si="1"/>
        <v>52.77810293</v>
      </c>
      <c r="F81" s="10">
        <f>(coh_e!G81-coh_e!D81-G81*1.2)*3</f>
        <v>34.65218421</v>
      </c>
      <c r="G81" s="10">
        <f>(coh_e!H81-coh_e!D81)/1.3</f>
        <v>28.8169301</v>
      </c>
      <c r="H81" s="10">
        <f>F81+G81-coh_e!E81</f>
        <v>0</v>
      </c>
      <c r="M81" s="10"/>
      <c r="N81" s="10">
        <f>ABS(B81)</f>
        <v>4.12769042</v>
      </c>
    </row>
    <row r="82">
      <c r="A82" s="7" t="s">
        <v>68</v>
      </c>
      <c r="D82" s="10">
        <f>E82+coh_e_challenging!D2</f>
        <v>44.3302319</v>
      </c>
      <c r="E82" s="10">
        <f t="shared" si="1"/>
        <v>96.6334635</v>
      </c>
      <c r="F82" s="10">
        <f>(coh_e_challenging!F2-coh_e_challenging!D2-G82*1.2)*3</f>
        <v>57.30523213</v>
      </c>
      <c r="G82" s="10">
        <f>(coh_e_challenging!G2-coh_e_challenging!D2)/1.3</f>
        <v>56.08137317</v>
      </c>
      <c r="H82" s="10">
        <f>F82+G82-coh_e_challenging!E2+coh_e_challenging!D2</f>
        <v>0.0000000004477485049</v>
      </c>
      <c r="M82" s="10"/>
      <c r="N82" s="10"/>
    </row>
    <row r="83">
      <c r="A83" s="7" t="s">
        <v>68</v>
      </c>
      <c r="D83" s="10">
        <f>E83+coh_e_challenging!D3</f>
        <v>63.66673122</v>
      </c>
      <c r="E83" s="10">
        <f t="shared" si="1"/>
        <v>116.401839</v>
      </c>
      <c r="F83" s="10">
        <f>(coh_e_challenging!F3-coh_e_challenging!D3-G83*1.2)*3</f>
        <v>66.12144978</v>
      </c>
      <c r="G83" s="10">
        <f>(coh_e_challenging!G3-coh_e_challenging!D3)/1.3</f>
        <v>69.12519743</v>
      </c>
      <c r="H83" s="10">
        <f>F83+G83-coh_e_challenging!E3+coh_e_challenging!D3</f>
        <v>0.0000000002985132141</v>
      </c>
      <c r="M83" s="10"/>
      <c r="N83" s="10"/>
    </row>
    <row r="84">
      <c r="A84" s="1" t="s">
        <v>68</v>
      </c>
      <c r="D84" s="10">
        <f>E84+coh_e_challenging!D4</f>
        <v>68.71298995</v>
      </c>
      <c r="E84" s="10">
        <f t="shared" si="1"/>
        <v>121.5967844</v>
      </c>
      <c r="F84" s="10">
        <f>(coh_e_challenging!F4-coh_e_challenging!D4-G84*1.2)*3</f>
        <v>45.53775696</v>
      </c>
      <c r="G84" s="10">
        <f>(coh_e_challenging!G4-coh_e_challenging!D4)/1.3</f>
        <v>84.93164881</v>
      </c>
      <c r="H84" s="10">
        <f>F84+G84-coh_e_challenging!E4+coh_e_challenging!D4</f>
        <v>0.0000000001492423962</v>
      </c>
      <c r="M84" s="10"/>
      <c r="N84" s="10"/>
    </row>
    <row r="85">
      <c r="A85" s="7" t="s">
        <v>68</v>
      </c>
      <c r="B85" s="10">
        <f>D85-ref!C19</f>
        <v>0.703896013</v>
      </c>
      <c r="D85" s="10">
        <f>E85+coh_e_challenging!D5</f>
        <v>72.50389601</v>
      </c>
      <c r="E85" s="10">
        <f t="shared" si="1"/>
        <v>125.3876904</v>
      </c>
      <c r="F85" s="10">
        <f>(coh_e_challenging!F5-coh_e_challenging!D5-G85*1.2)*3</f>
        <v>30.51722436</v>
      </c>
      <c r="G85" s="10">
        <f>(coh_e_challenging!G5-coh_e_challenging!D5)/1.3</f>
        <v>96.46608631</v>
      </c>
      <c r="H85" s="10">
        <f>F85+G85-coh_e_challenging!E5+coh_e_challenging!D5</f>
        <v>-0.0000000002984421599</v>
      </c>
      <c r="M85" s="10"/>
      <c r="N85" s="10">
        <f>ABS(B85)</f>
        <v>0.703896013</v>
      </c>
    </row>
    <row r="86">
      <c r="A86" s="7" t="s">
        <v>34</v>
      </c>
      <c r="D86" s="10">
        <f>E86+coh_e_challenging!D6</f>
        <v>169.7545195</v>
      </c>
      <c r="E86" s="10">
        <f t="shared" si="1"/>
        <v>92.65948032</v>
      </c>
      <c r="F86" s="10">
        <f>(coh_e_challenging!F6-coh_e_challenging!D6-G86*1.2)*3</f>
        <v>57.6693294</v>
      </c>
      <c r="G86" s="10">
        <f>(coh_e_challenging!G6-coh_e_challenging!D6)/1.3</f>
        <v>52.30439881</v>
      </c>
      <c r="H86" s="10">
        <f>F86+G86-coh_e_challenging!E6+coh_e_challenging!D6</f>
        <v>0.0000000001492423962</v>
      </c>
      <c r="M86" s="10"/>
      <c r="N86" s="10"/>
    </row>
    <row r="87">
      <c r="A87" s="7" t="s">
        <v>34</v>
      </c>
      <c r="D87" s="10">
        <f>E87+coh_e_challenging!D7</f>
        <v>167.0384398</v>
      </c>
      <c r="E87" s="10">
        <f t="shared" si="1"/>
        <v>114.1647258</v>
      </c>
      <c r="F87" s="10">
        <f>(coh_e_challenging!F7-coh_e_challenging!D7-G87*1.2)*3</f>
        <v>68.43944699</v>
      </c>
      <c r="G87" s="10">
        <f>(coh_e_challenging!G7-coh_e_challenging!D7)/1.3</f>
        <v>65.85680864</v>
      </c>
      <c r="H87" s="10">
        <f>F87+G87-coh_e_challenging!E7+coh_e_challenging!D7</f>
        <v>0</v>
      </c>
      <c r="M87" s="10"/>
      <c r="N87" s="10"/>
    </row>
    <row r="88">
      <c r="A88" s="1" t="s">
        <v>34</v>
      </c>
      <c r="D88" s="10">
        <f>E88+coh_e_challenging!D8</f>
        <v>163.1552309</v>
      </c>
      <c r="E88" s="10">
        <f t="shared" si="1"/>
        <v>115.9558686</v>
      </c>
      <c r="F88" s="10">
        <f>(coh_e_challenging!F8-coh_e_challenging!D8-G88*1.2)*3</f>
        <v>69.35684679</v>
      </c>
      <c r="G88" s="10">
        <f>(coh_e_challenging!G8-coh_e_challenging!D8)/1.3</f>
        <v>66.97455899</v>
      </c>
      <c r="H88" s="10">
        <f>F88+G88-coh_e_challenging!E8+coh_e_challenging!D8</f>
        <v>0.0000000001492992396</v>
      </c>
      <c r="M88" s="10"/>
      <c r="N88" s="10"/>
    </row>
    <row r="89">
      <c r="A89" s="7" t="s">
        <v>34</v>
      </c>
      <c r="B89" s="10">
        <f>D89-ref!C21</f>
        <v>0.96228102</v>
      </c>
      <c r="D89" s="10">
        <f>E89+coh_e_challenging!D9</f>
        <v>164.462281</v>
      </c>
      <c r="E89" s="10">
        <f t="shared" si="1"/>
        <v>117.2629187</v>
      </c>
      <c r="F89" s="10">
        <f>(coh_e_challenging!F9-coh_e_challenging!D9-G89*1.2)*3</f>
        <v>70.02630071</v>
      </c>
      <c r="G89" s="10">
        <f>(coh_e_challenging!G9-coh_e_challenging!D9)/1.3</f>
        <v>67.79021465</v>
      </c>
      <c r="H89" s="10">
        <f>F89+G89-coh_e_challenging!E9+coh_e_challenging!D9</f>
        <v>0.0000000001492708179</v>
      </c>
      <c r="M89" s="10"/>
      <c r="N89" s="10">
        <f>ABS(B89)</f>
        <v>0.96228102</v>
      </c>
    </row>
    <row r="90">
      <c r="A90" s="7" t="s">
        <v>37</v>
      </c>
      <c r="D90" s="10">
        <f>E90+coh_e_challenging!D10</f>
        <v>139.4923857</v>
      </c>
      <c r="E90" s="10">
        <f t="shared" si="1"/>
        <v>72.89187801</v>
      </c>
      <c r="F90" s="10">
        <f>(coh_e_challenging!F10-coh_e_challenging!D10-G90*1.2)*3</f>
        <v>50.05143343</v>
      </c>
      <c r="G90" s="10">
        <f>(coh_e_challenging!G10-coh_e_challenging!D10)/1.3</f>
        <v>38.61352969</v>
      </c>
      <c r="H90" s="10">
        <f>F90+G90-coh_e_challenging!E10+coh_e_challenging!D10</f>
        <v>0</v>
      </c>
      <c r="M90" s="10"/>
      <c r="N90" s="10"/>
    </row>
    <row r="91">
      <c r="A91" s="7" t="s">
        <v>37</v>
      </c>
      <c r="D91" s="10">
        <f>E91+coh_e_challenging!D11</f>
        <v>146.3157541</v>
      </c>
      <c r="E91" s="10">
        <f t="shared" si="1"/>
        <v>102.1087601</v>
      </c>
      <c r="F91" s="10">
        <f>(coh_e_challenging!F11-coh_e_challenging!D11-G91*1.2)*3</f>
        <v>60.83928132</v>
      </c>
      <c r="G91" s="10">
        <f>(coh_e_challenging!G11-coh_e_challenging!D11)/1.3</f>
        <v>59.10377597</v>
      </c>
      <c r="H91" s="10">
        <f>F91+G91-coh_e_challenging!E11+coh_e_challenging!D11</f>
        <v>-0.0000000001491855528</v>
      </c>
      <c r="M91" s="10"/>
      <c r="N91" s="10"/>
    </row>
    <row r="92">
      <c r="A92" s="1" t="s">
        <v>37</v>
      </c>
      <c r="D92" s="10">
        <f>E92+coh_e_challenging!D12</f>
        <v>143.8760773</v>
      </c>
      <c r="E92" s="10">
        <f t="shared" si="1"/>
        <v>104.1810955</v>
      </c>
      <c r="F92" s="10">
        <f>(coh_e_challenging!F12-coh_e_challenging!D12-G92*1.2)*3</f>
        <v>61.7811058</v>
      </c>
      <c r="G92" s="10">
        <f>(coh_e_challenging!G12-coh_e_challenging!D12)/1.3</f>
        <v>60.4616505</v>
      </c>
      <c r="H92" s="10">
        <f>F92+G92-coh_e_challenging!E12+coh_e_challenging!D12</f>
        <v>0.0000000001492708179</v>
      </c>
      <c r="M92" s="10"/>
      <c r="N92" s="10"/>
    </row>
    <row r="93">
      <c r="A93" s="7" t="s">
        <v>37</v>
      </c>
      <c r="B93" s="10">
        <f>D93-ref!C24</f>
        <v>9.188322072</v>
      </c>
      <c r="D93" s="10">
        <f>E93+coh_e_challenging!D13</f>
        <v>145.3883221</v>
      </c>
      <c r="E93" s="10">
        <f t="shared" si="1"/>
        <v>105.6933403</v>
      </c>
      <c r="F93" s="10">
        <f>(coh_e_challenging!F13-coh_e_challenging!D13-G93*1.2)*3</f>
        <v>62.46838313</v>
      </c>
      <c r="G93" s="10">
        <f>(coh_e_challenging!G13-coh_e_challenging!D13)/1.3</f>
        <v>61.45253191</v>
      </c>
      <c r="H93" s="10">
        <f>F93+G93-coh_e_challenging!E13+coh_e_challenging!D13</f>
        <v>0</v>
      </c>
      <c r="M93" s="10"/>
      <c r="N93" s="10">
        <f>ABS(B93)</f>
        <v>9.188322072</v>
      </c>
    </row>
    <row r="956">
      <c r="A956" s="9"/>
      <c r="B956" s="9"/>
      <c r="C956" s="9"/>
      <c r="D956" s="9"/>
      <c r="E956" s="9"/>
      <c r="F956" s="9"/>
      <c r="G956" s="9"/>
      <c r="H956" s="9"/>
      <c r="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63"/>
  </cols>
  <sheetData>
    <row r="1">
      <c r="A1" s="7" t="s">
        <v>0</v>
      </c>
      <c r="B1" s="7" t="s">
        <v>38</v>
      </c>
      <c r="C1" s="7" t="s">
        <v>39</v>
      </c>
      <c r="D1" s="7" t="s">
        <v>40</v>
      </c>
      <c r="E1" s="7" t="s">
        <v>42</v>
      </c>
      <c r="F1" s="7" t="s">
        <v>43</v>
      </c>
      <c r="G1" s="1" t="s">
        <v>44</v>
      </c>
      <c r="H1" s="1" t="s">
        <v>45</v>
      </c>
      <c r="I1" s="1" t="s">
        <v>11</v>
      </c>
      <c r="J1" s="2"/>
    </row>
    <row r="2">
      <c r="A2" s="7" t="s">
        <v>68</v>
      </c>
      <c r="B2" s="7">
        <v>2.0</v>
      </c>
      <c r="C2" s="7" t="s">
        <v>47</v>
      </c>
      <c r="D2" s="8">
        <f>-(challenging!D2/B2-shell_e!D6+relax_e!D6)*2625.5</f>
        <v>-52.30323159</v>
      </c>
      <c r="E2" s="8">
        <f>-((challenging!D2+ssos_corr!E6)/B2-(shell_e!D6+shell_e!G6)+relax_e!D6+relax_e!G6)*2625.5</f>
        <v>61.08337371</v>
      </c>
      <c r="F2" s="8">
        <f>-((challenging!$D2+ssos_corr!F6)/$B2-(shell_e!$D6+shell_e!H6)+relax_e!$D6+relax_e!H6)*2625.5</f>
        <v>34.09616025</v>
      </c>
      <c r="G2" s="8">
        <f>-((challenging!$D2+ssos_corr!G6)/$B2-(shell_e!$D6+shell_e!I6)+relax_e!$D6+relax_e!I6)*2625.5</f>
        <v>20.60255353</v>
      </c>
      <c r="H2" s="8">
        <f>-((challenging!$D2+ssos_corr!H6)/$B2-(shell_e!$D6+shell_e!J6)+relax_e!$D6+relax_e!J6)*2625.5</f>
        <v>44.05306712</v>
      </c>
      <c r="I2" s="1" t="s">
        <v>16</v>
      </c>
    </row>
    <row r="3">
      <c r="A3" s="7" t="s">
        <v>68</v>
      </c>
      <c r="B3" s="7">
        <v>2.0</v>
      </c>
      <c r="C3" s="7" t="s">
        <v>48</v>
      </c>
      <c r="D3" s="8">
        <f>-(challenging!D3/B3-shell_e!D7+relax_e!D7)*2625.5</f>
        <v>-52.73510779</v>
      </c>
      <c r="E3" s="8">
        <f>-((challenging!D3+ssos_corr!E7)/B3-(shell_e!D7+shell_e!G7)+relax_e!D7+relax_e!G7)*2625.5</f>
        <v>82.51153942</v>
      </c>
      <c r="F3" s="8">
        <f>-((challenging!D3+ssos_corr!F7)/B3-(shell_e!D7+shell_e!H7)+relax_e!D7+relax_e!H7)*2625.5</f>
        <v>52.25561238</v>
      </c>
      <c r="G3" s="8">
        <f>-((challenging!$D3+ssos_corr!G7)/$B3-(shell_e!$D7+shell_e!I7)+relax_e!$D7+relax_e!I7)*2625.5</f>
        <v>37.12764887</v>
      </c>
      <c r="H3" s="8">
        <f>-((challenging!$D3+ssos_corr!H7)/$B3-(shell_e!$D7+shell_e!J7)+relax_e!$D7+relax_e!J7)*2625.5</f>
        <v>60.2116414</v>
      </c>
      <c r="I3" s="1" t="s">
        <v>16</v>
      </c>
    </row>
    <row r="4">
      <c r="A4" s="1" t="s">
        <v>68</v>
      </c>
      <c r="B4" s="1">
        <v>2.0</v>
      </c>
      <c r="C4" s="1" t="s">
        <v>49</v>
      </c>
      <c r="D4" s="8">
        <f>-(challenging!D4/B4-shell_e!D8+relax_e!D8)*2625.5</f>
        <v>-52.88379441</v>
      </c>
      <c r="E4" s="8">
        <f>-((challenging!D4+ssos_corr!E8)/B4-(shell_e!D8+shell_e!G8)+relax_e!D8+relax_e!G8)*2625.5</f>
        <v>77.58561136</v>
      </c>
      <c r="F4" s="8">
        <f>-((challenging!D4+ssos_corr!F8)/B4-(shell_e!D8+shell_e!H8)+relax_e!D8+relax_e!H8)*2625.5</f>
        <v>64.21343649</v>
      </c>
      <c r="G4" s="8">
        <f>-((challenging!$D4+ssos_corr!G8)/$B4-(shell_e!$D8+shell_e!I8)+relax_e!$D8+relax_e!I8)*2625.5</f>
        <v>57.52734905</v>
      </c>
      <c r="H4" s="8">
        <f>-((challenging!$D4+ssos_corr!H8)/$B4-(shell_e!$D8+shell_e!J8)+relax_e!$D8+relax_e!J8)*2625.5</f>
        <v>39.83257159</v>
      </c>
      <c r="I4" s="1" t="s">
        <v>16</v>
      </c>
    </row>
    <row r="5">
      <c r="A5" s="7" t="s">
        <v>68</v>
      </c>
      <c r="B5" s="7">
        <v>2.0</v>
      </c>
      <c r="C5" s="7" t="s">
        <v>50</v>
      </c>
      <c r="D5" s="8">
        <f>-(challenging!D5/B5-shell_e!D9+relax_e!D9)*2625.5</f>
        <v>-52.88379441</v>
      </c>
      <c r="E5" s="8">
        <f>-((challenging!$D5+ssos_corr!E9)/$B5-(shell_e!$D9+shell_e!G9)+relax_e!$D9+relax_e!G9)*2625.5</f>
        <v>74.09951626</v>
      </c>
      <c r="F5" s="8">
        <f>-((challenging!$D5+ssos_corr!F9)/$B5-(shell_e!$D9+shell_e!H9)+relax_e!$D9+relax_e!H9)*2625.5</f>
        <v>73.04791729</v>
      </c>
      <c r="G5" s="8">
        <f>-((challenging!$D5+ssos_corr!G9)/$B5-(shell_e!$D9+shell_e!I9)+relax_e!$D9+relax_e!I9)*2625.5</f>
        <v>72.5221178</v>
      </c>
      <c r="H5" s="8">
        <f>-((challenging!$D5+ssos_corr!H9)/$B5-(shell_e!$D9+shell_e!J9)+relax_e!$D9+relax_e!J9)*2625.5</f>
        <v>25.06985954</v>
      </c>
      <c r="I5" s="1" t="s">
        <v>16</v>
      </c>
    </row>
    <row r="6">
      <c r="A6" s="7" t="s">
        <v>34</v>
      </c>
      <c r="B6" s="7">
        <v>4.0</v>
      </c>
      <c r="C6" s="7" t="s">
        <v>47</v>
      </c>
      <c r="D6" s="8">
        <f>-((challenging!D6)/B6-(shell_e!D30)+relax_e!D30)*2625.5</f>
        <v>77.09503918</v>
      </c>
      <c r="E6" s="8">
        <f>-((challenging!$D6+ssos_corr!E30)/$B6-(shell_e!$D30+shell_e!G30)+relax_e!$D30+relax_e!G30)*2625.5</f>
        <v>187.0687674</v>
      </c>
      <c r="F6" s="8">
        <f>-((challenging!$D6+ssos_corr!F30)/$B6-(shell_e!$D30+shell_e!H30)+relax_e!$D30+relax_e!H30)*2625.5</f>
        <v>159.0834275</v>
      </c>
      <c r="G6" s="8">
        <f>-((challenging!$D6+ssos_corr!G30)/$B6-(shell_e!$D30+shell_e!I30)+relax_e!$D30+relax_e!I30)*2625.5</f>
        <v>145.0907576</v>
      </c>
      <c r="H6" s="8">
        <f>-((challenging!$D6+ssos_corr!H30)/$B6-(shell_e!$D30+shell_e!J30)+relax_e!$D30+relax_e!J30)*2625.5</f>
        <v>172.4102336</v>
      </c>
      <c r="I6" s="1" t="s">
        <v>24</v>
      </c>
    </row>
    <row r="7">
      <c r="A7" s="7" t="s">
        <v>34</v>
      </c>
      <c r="B7" s="7">
        <v>4.0</v>
      </c>
      <c r="C7" s="7" t="s">
        <v>48</v>
      </c>
      <c r="D7" s="8">
        <f>-((challenging!D7)/B7-(shell_e!D31)+relax_e!D31)*2625.5</f>
        <v>52.87371401</v>
      </c>
      <c r="E7" s="8">
        <f>-((challenging!$D7+ssos_corr!E31)/$B7-(shell_e!$D31+shell_e!G31)+relax_e!$D31+relax_e!G31)*2625.5</f>
        <v>187.1699696</v>
      </c>
      <c r="F7" s="8">
        <f>-((challenging!$D7+ssos_corr!F31)/$B7-(shell_e!$D31+shell_e!H31)+relax_e!$D31+relax_e!H31)*2625.5</f>
        <v>154.7150334</v>
      </c>
      <c r="G7" s="8">
        <f>-((challenging!$D7+ssos_corr!G31)/$B7-(shell_e!$D31+shell_e!I31)+relax_e!$D31+relax_e!I31)*2625.5</f>
        <v>138.4875652</v>
      </c>
      <c r="H7" s="8">
        <f>-((challenging!$D7+ssos_corr!H31)/$B7-(shell_e!$D31+shell_e!J31)+relax_e!$D31+relax_e!J31)*2625.5</f>
        <v>167.5033241</v>
      </c>
      <c r="I7" s="1" t="s">
        <v>24</v>
      </c>
    </row>
    <row r="8">
      <c r="A8" s="1" t="s">
        <v>34</v>
      </c>
      <c r="B8" s="1">
        <v>4.0</v>
      </c>
      <c r="C8" s="1" t="s">
        <v>49</v>
      </c>
      <c r="D8" s="8">
        <f>-((challenging!D8)/B8-(shell_e!D32)+relax_e!D32)*2625.5</f>
        <v>47.19936233</v>
      </c>
      <c r="E8" s="8">
        <f>-((challenging!$D8+ssos_corr!E32)/$B8-(shell_e!$D32+shell_e!G32)+relax_e!$D32+relax_e!G32)*2625.5</f>
        <v>183.5307681</v>
      </c>
      <c r="F8" s="8">
        <f>-((challenging!$D8+ssos_corr!F32)/$B8-(shell_e!$D32+shell_e!H32)+relax_e!$D32+relax_e!H32)*2625.5</f>
        <v>150.6877821</v>
      </c>
      <c r="G8" s="8">
        <f>-((challenging!$D8+ssos_corr!G32)/$B8-(shell_e!$D32+shell_e!I32)+relax_e!$D32+relax_e!I32)*2625.5</f>
        <v>134.266289</v>
      </c>
      <c r="H8" s="8">
        <f>-((challenging!$D8+ssos_corr!H32)/$B8-(shell_e!$D32+shell_e!J32)+relax_e!$D32+relax_e!J32)*2625.5</f>
        <v>163.4595183</v>
      </c>
      <c r="I8" s="1" t="s">
        <v>24</v>
      </c>
    </row>
    <row r="9">
      <c r="A9" s="7" t="s">
        <v>34</v>
      </c>
      <c r="B9" s="7">
        <v>4.0</v>
      </c>
      <c r="C9" s="7" t="s">
        <v>50</v>
      </c>
      <c r="D9" s="8">
        <f>-((challenging!D9)/B9-(shell_e!D33)+relax_e!D33)*2625.5</f>
        <v>47.19936233</v>
      </c>
      <c r="E9" s="8">
        <f>-((challenging!$D9+ssos_corr!E33)/$B9-(shell_e!$D33+shell_e!G33)+relax_e!$D33+relax_e!G33)*2625.5</f>
        <v>185.0158777</v>
      </c>
      <c r="F9" s="8">
        <f>-((challenging!$D9+ssos_corr!F33)/$B9-(shell_e!$D33+shell_e!H33)+relax_e!$D33+relax_e!H33)*2625.5</f>
        <v>151.8897201</v>
      </c>
      <c r="G9" s="8">
        <f>-((challenging!$D9+ssos_corr!G33)/$B9-(shell_e!$D33+shell_e!I33)+relax_e!$D33+relax_e!I33)*2625.5</f>
        <v>135.3266414</v>
      </c>
      <c r="H9" s="8">
        <f>-((challenging!$D9+ssos_corr!H33)/$B9-(shell_e!$D33+shell_e!J33)+relax_e!$D33+relax_e!J33)*2625.5</f>
        <v>164.6493761</v>
      </c>
      <c r="I9" s="1" t="s">
        <v>24</v>
      </c>
    </row>
    <row r="10">
      <c r="A10" s="7" t="s">
        <v>37</v>
      </c>
      <c r="B10" s="7">
        <v>4.0</v>
      </c>
      <c r="C10" s="7" t="s">
        <v>47</v>
      </c>
      <c r="D10" s="8">
        <f>-(challenging!D10/B10-shell_e!D86+relax_e!D86)*2625.5</f>
        <v>66.60050774</v>
      </c>
      <c r="E10" s="8">
        <f>-((challenging!$D10+ssos_corr!E86)/$B10-(shell_e!$D86+shell_e!G86)+relax_e!$D86+relax_e!G86)*2625.5</f>
        <v>155.2654709</v>
      </c>
      <c r="F10" s="8">
        <f>-((challenging!$D10+ssos_corr!F86)/$B10-(shell_e!$D86+shell_e!H86)+relax_e!$D86+relax_e!H86)*2625.5</f>
        <v>129.6205545</v>
      </c>
      <c r="G10" s="8">
        <f>-((challenging!$D10+ssos_corr!G86)/$B10-(shell_e!$D86+shell_e!I86)+relax_e!$D86+relax_e!I86)*2625.5</f>
        <v>116.7980963</v>
      </c>
      <c r="H10" s="8">
        <f>-((challenging!$D10+ssos_corr!H86)/$B10-(shell_e!$D86+shell_e!J86)+relax_e!$D86+relax_e!J86)*2625.5</f>
        <v>146.6122687</v>
      </c>
      <c r="I10" s="1" t="s">
        <v>24</v>
      </c>
    </row>
    <row r="11">
      <c r="A11" s="7" t="s">
        <v>37</v>
      </c>
      <c r="B11" s="7">
        <v>4.0</v>
      </c>
      <c r="C11" s="7" t="s">
        <v>48</v>
      </c>
      <c r="D11" s="8">
        <f>-(challenging!D11/B11-shell_e!D87+relax_e!D87)*2625.5</f>
        <v>44.20699401</v>
      </c>
      <c r="E11" s="8">
        <f>-((challenging!$D11+ssos_corr!E87)/$B11-(shell_e!$D87+shell_e!G87)+relax_e!$D87+relax_e!G87)*2625.5</f>
        <v>164.1500513</v>
      </c>
      <c r="F11" s="8">
        <f>-((challenging!$D11+ssos_corr!F87)/$B11-(shell_e!$D87+shell_e!H87)+relax_e!$D87+relax_e!H87)*2625.5</f>
        <v>135.4112856</v>
      </c>
      <c r="G11" s="8">
        <f>-((challenging!$D11+ssos_corr!G87)/$B11-(shell_e!$D87+shell_e!I87)+relax_e!$D87+relax_e!I87)*2625.5</f>
        <v>121.0419028</v>
      </c>
      <c r="H11" s="8">
        <f>-((challenging!$D11+ssos_corr!H87)/$B11-(shell_e!$D87+shell_e!J87)+relax_e!$D87+relax_e!J87)*2625.5</f>
        <v>146.3311773</v>
      </c>
      <c r="I11" s="1" t="s">
        <v>24</v>
      </c>
    </row>
    <row r="12">
      <c r="A12" s="1" t="s">
        <v>37</v>
      </c>
      <c r="B12" s="1">
        <v>4.0</v>
      </c>
      <c r="C12" s="1" t="s">
        <v>49</v>
      </c>
      <c r="D12" s="8">
        <f>-(challenging!D12/B12-shell_e!D88+relax_e!D88)*2625.5</f>
        <v>39.69498177</v>
      </c>
      <c r="E12" s="8">
        <f>-((challenging!$D12+ssos_corr!E88)/$B12-(shell_e!$D88+shell_e!G88)+relax_e!$D88+relax_e!G88)*2625.5</f>
        <v>161.9377381</v>
      </c>
      <c r="F12" s="8">
        <f>-((challenging!$D12+ssos_corr!F88)/$B12-(shell_e!$D88+shell_e!H88)+relax_e!$D88+relax_e!H88)*2625.5</f>
        <v>132.8426643</v>
      </c>
      <c r="G12" s="8">
        <f>-((challenging!$D12+ssos_corr!G88)/$B12-(shell_e!$D88+shell_e!I88)+relax_e!$D88+relax_e!I88)*2625.5</f>
        <v>118.2951274</v>
      </c>
      <c r="H12" s="8">
        <f>-((challenging!$D12+ssos_corr!H88)/$B12-(shell_e!$D88+shell_e!J88)+relax_e!$D88+relax_e!J88)*2625.5</f>
        <v>143.5772685</v>
      </c>
      <c r="I12" s="1" t="s">
        <v>24</v>
      </c>
    </row>
    <row r="13">
      <c r="A13" s="7" t="s">
        <v>37</v>
      </c>
      <c r="B13" s="7">
        <v>4.0</v>
      </c>
      <c r="C13" s="7" t="s">
        <v>50</v>
      </c>
      <c r="D13" s="8">
        <f>-(challenging!D13/B13-shell_e!D89+relax_e!D89)*2625.5</f>
        <v>39.69498177</v>
      </c>
      <c r="E13" s="8">
        <f>-((challenging!$D13+ssos_corr!E89)/$B13-(shell_e!$D89+shell_e!G89)+relax_e!$D89+relax_e!G89)*2625.5</f>
        <v>163.6158968</v>
      </c>
      <c r="F13" s="8">
        <f>-((challenging!$D13+ssos_corr!F89)/$B13-(shell_e!$D89+shell_e!H89)+relax_e!$D89+relax_e!H89)*2625.5</f>
        <v>134.2608144</v>
      </c>
      <c r="G13" s="8">
        <f>-((challenging!$D13+ssos_corr!G89)/$B13-(shell_e!$D89+shell_e!I89)+relax_e!$D89+relax_e!I89)*2625.5</f>
        <v>119.5832733</v>
      </c>
      <c r="H13" s="8">
        <f>-((challenging!$D13+ssos_corr!H89)/$B13-(shell_e!$D89+shell_e!J89)+relax_e!$D89+relax_e!J89)*2625.5</f>
        <v>144.8602088</v>
      </c>
      <c r="I13" s="1" t="s">
        <v>24</v>
      </c>
    </row>
    <row r="15">
      <c r="E15" s="12"/>
      <c r="F15" s="12"/>
    </row>
    <row r="16">
      <c r="D16" s="12"/>
      <c r="E16" s="12"/>
      <c r="F16" s="12"/>
    </row>
    <row r="17">
      <c r="D17" s="12"/>
      <c r="E17" s="12"/>
      <c r="F17" s="12"/>
    </row>
    <row r="18">
      <c r="D18" s="12"/>
      <c r="E18" s="12"/>
      <c r="F18" s="12"/>
    </row>
    <row r="19">
      <c r="D19" s="12"/>
      <c r="E19" s="12"/>
      <c r="F19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18.88"/>
    <col customWidth="1" min="9" max="9" width="15.88"/>
  </cols>
  <sheetData>
    <row r="1">
      <c r="A1" s="13" t="s">
        <v>0</v>
      </c>
      <c r="B1" s="13" t="s">
        <v>69</v>
      </c>
      <c r="C1" s="13" t="s">
        <v>70</v>
      </c>
      <c r="D1" s="13" t="s">
        <v>39</v>
      </c>
      <c r="E1" s="13" t="s">
        <v>71</v>
      </c>
      <c r="F1" s="13" t="s">
        <v>72</v>
      </c>
      <c r="G1" s="13" t="s">
        <v>40</v>
      </c>
      <c r="H1" s="13" t="s">
        <v>73</v>
      </c>
      <c r="I1" s="13" t="s">
        <v>74</v>
      </c>
      <c r="J1" s="13" t="s">
        <v>75</v>
      </c>
      <c r="K1" s="13" t="s">
        <v>76</v>
      </c>
      <c r="L1" s="13" t="s">
        <v>77</v>
      </c>
      <c r="M1" s="13" t="s">
        <v>78</v>
      </c>
      <c r="N1" s="14" t="s">
        <v>79</v>
      </c>
      <c r="O1" s="15" t="s">
        <v>80</v>
      </c>
      <c r="P1" s="14" t="s">
        <v>81</v>
      </c>
    </row>
    <row r="2">
      <c r="A2" s="16" t="s">
        <v>46</v>
      </c>
      <c r="B2" s="17">
        <v>0.16666666666666666</v>
      </c>
      <c r="C2" s="17">
        <v>0.041666666666666664</v>
      </c>
      <c r="D2" s="13" t="s">
        <v>47</v>
      </c>
      <c r="E2" s="18">
        <v>-911.412474592141</v>
      </c>
      <c r="F2" s="18">
        <v>-911.389302544533</v>
      </c>
      <c r="G2" s="17">
        <f t="shared" ref="G2:G3" si="1">E2+(-B2)*(F2-E2)/(C2-B2)</f>
        <v>-911.3815785</v>
      </c>
      <c r="H2" s="18">
        <v>-0.702973842655563</v>
      </c>
      <c r="I2" s="18">
        <v>-0.704649565858935</v>
      </c>
      <c r="J2" s="17">
        <f t="shared" ref="J2:J3" si="2">H2+(-B2)*(I2-H2)/(C2-B2)</f>
        <v>-0.7052081403</v>
      </c>
      <c r="K2" s="18">
        <v>-1.92608086440787</v>
      </c>
      <c r="L2" s="18">
        <v>-1.9293718251539</v>
      </c>
      <c r="M2" s="17">
        <f t="shared" ref="M2:M3" si="3">K2+(-B2)*(L2-K2)/(C2-B2)</f>
        <v>-1.930468812</v>
      </c>
      <c r="N2" s="14"/>
      <c r="O2" s="14"/>
      <c r="P2" s="14"/>
      <c r="R2" s="10"/>
    </row>
    <row r="3">
      <c r="A3" s="16" t="s">
        <v>46</v>
      </c>
      <c r="B3" s="17">
        <v>0.16666666666666666</v>
      </c>
      <c r="C3" s="17">
        <v>0.041666666666666664</v>
      </c>
      <c r="D3" s="13" t="s">
        <v>48</v>
      </c>
      <c r="E3" s="18">
        <v>-911.666531890519</v>
      </c>
      <c r="F3" s="13">
        <v>-911.643354408976</v>
      </c>
      <c r="G3" s="17">
        <f t="shared" si="1"/>
        <v>-911.6356286</v>
      </c>
      <c r="H3" s="18">
        <v>-0.850128117726595</v>
      </c>
      <c r="I3" s="13">
        <v>-0.852122246510996</v>
      </c>
      <c r="J3" s="17">
        <f t="shared" si="2"/>
        <v>-0.8527869561</v>
      </c>
      <c r="K3" s="18">
        <v>-2.44261796093373</v>
      </c>
      <c r="L3" s="13">
        <v>-2.44641427508469</v>
      </c>
      <c r="M3" s="17">
        <f t="shared" si="3"/>
        <v>-2.447679713</v>
      </c>
      <c r="N3" s="14"/>
      <c r="O3" s="14"/>
      <c r="P3" s="14"/>
      <c r="R3" s="10"/>
    </row>
    <row r="4">
      <c r="A4" s="16" t="s">
        <v>46</v>
      </c>
      <c r="B4" s="17">
        <v>0.16666666666666666</v>
      </c>
      <c r="C4" s="17">
        <v>0.041666666666666664</v>
      </c>
      <c r="D4" s="13" t="s">
        <v>49</v>
      </c>
      <c r="E4" s="18">
        <v>-911.727639634303</v>
      </c>
      <c r="F4" s="17"/>
      <c r="G4" s="19">
        <f>G3-E3+E4</f>
        <v>-911.6967363</v>
      </c>
      <c r="H4" s="13">
        <v>-0.881055081590289</v>
      </c>
      <c r="I4" s="17"/>
      <c r="J4" s="19">
        <f>J3-H3+H4</f>
        <v>-0.88371392</v>
      </c>
      <c r="K4" s="13">
        <v>-2.64490544310978</v>
      </c>
      <c r="L4" s="17"/>
      <c r="M4" s="19">
        <f>M3-K3+K4</f>
        <v>-2.649967195</v>
      </c>
      <c r="N4" s="14"/>
      <c r="O4" s="14"/>
      <c r="P4" s="14"/>
      <c r="R4" s="10"/>
    </row>
    <row r="5">
      <c r="A5" s="16" t="s">
        <v>46</v>
      </c>
      <c r="B5" s="17">
        <v>0.16666666666666666</v>
      </c>
      <c r="C5" s="17">
        <v>0.041666666666666664</v>
      </c>
      <c r="D5" s="13" t="s">
        <v>50</v>
      </c>
      <c r="E5" s="17">
        <f>E4</f>
        <v>-911.7276396</v>
      </c>
      <c r="F5" s="17"/>
      <c r="G5" s="19">
        <f>G3-E3+E5</f>
        <v>-911.6967363</v>
      </c>
      <c r="H5" s="17">
        <f>(3^3*H3-4^3*H4)/(3^3-4^3)</f>
        <v>-0.9036234066</v>
      </c>
      <c r="I5" s="17"/>
      <c r="J5" s="19">
        <f>J2-H2+H5</f>
        <v>-0.9058577042</v>
      </c>
      <c r="K5" s="17">
        <f>(3^3*K3-4^3*K4)/(3^3-4^3)</f>
        <v>-2.792520633</v>
      </c>
      <c r="L5" s="17"/>
      <c r="M5" s="19">
        <f>M2-K2+K5</f>
        <v>-2.79690858</v>
      </c>
      <c r="N5" s="14"/>
      <c r="O5" s="14"/>
      <c r="P5" s="14"/>
      <c r="R5" s="10"/>
    </row>
    <row r="6">
      <c r="A6" s="13" t="s">
        <v>14</v>
      </c>
      <c r="B6" s="17">
        <v>0.125</v>
      </c>
      <c r="C6" s="17">
        <v>0.037037037037037035</v>
      </c>
      <c r="D6" s="13" t="s">
        <v>47</v>
      </c>
      <c r="E6" s="13">
        <v>-224.834553411942</v>
      </c>
      <c r="F6" s="13">
        <v>-224.820364844945</v>
      </c>
      <c r="G6" s="17">
        <f t="shared" ref="G6:G11" si="4">E6+(-B6)*(F6-E6)/(C6-B6)</f>
        <v>-224.8143907</v>
      </c>
      <c r="H6" s="13">
        <v>-0.191399028444413</v>
      </c>
      <c r="I6" s="13">
        <v>-0.192295213207148</v>
      </c>
      <c r="J6" s="17">
        <f t="shared" ref="J6:J11" si="5">H6+(-B6)*(I6-H6)/(C6-B6)</f>
        <v>-0.1926725542</v>
      </c>
      <c r="K6" s="13">
        <v>-0.598245873079583</v>
      </c>
      <c r="L6" s="13">
        <v>-0.600159112716902</v>
      </c>
      <c r="M6" s="17">
        <f t="shared" ref="M6:M11" si="6">K6+(-B6)*(L6-K6)/(C6-B6)</f>
        <v>-0.6009646873</v>
      </c>
      <c r="N6" s="14"/>
      <c r="O6" s="14"/>
      <c r="P6" s="14"/>
      <c r="R6" s="10"/>
    </row>
    <row r="7">
      <c r="A7" s="13" t="s">
        <v>14</v>
      </c>
      <c r="B7" s="17">
        <v>0.125</v>
      </c>
      <c r="C7" s="17">
        <v>0.037037037037037035</v>
      </c>
      <c r="D7" s="13" t="s">
        <v>48</v>
      </c>
      <c r="E7" s="13">
        <v>-224.906899796645</v>
      </c>
      <c r="F7" s="13">
        <v>-224.8925734828</v>
      </c>
      <c r="G7" s="17">
        <f t="shared" si="4"/>
        <v>-224.8865414</v>
      </c>
      <c r="H7" s="13">
        <v>-0.233471341435229</v>
      </c>
      <c r="I7" s="13">
        <v>-0.234641515816492</v>
      </c>
      <c r="J7" s="17">
        <f t="shared" si="5"/>
        <v>-0.2351342208</v>
      </c>
      <c r="K7" s="13">
        <v>-0.756336809695743</v>
      </c>
      <c r="L7" s="13">
        <v>-0.758663220011367</v>
      </c>
      <c r="M7" s="17">
        <f t="shared" si="6"/>
        <v>-0.7596427612</v>
      </c>
      <c r="N7" s="14"/>
      <c r="O7" s="14"/>
      <c r="P7" s="14"/>
      <c r="R7" s="10"/>
    </row>
    <row r="8">
      <c r="A8" s="13" t="s">
        <v>14</v>
      </c>
      <c r="B8" s="17">
        <v>0.125</v>
      </c>
      <c r="C8" s="17">
        <v>0.037037037037037035</v>
      </c>
      <c r="D8" s="13" t="s">
        <v>49</v>
      </c>
      <c r="E8" s="13">
        <v>-224.92186528826</v>
      </c>
      <c r="F8" s="13">
        <v>-224.907535966633</v>
      </c>
      <c r="G8" s="17">
        <f t="shared" si="4"/>
        <v>-224.9015026</v>
      </c>
      <c r="H8" s="13">
        <v>-0.241496580633391</v>
      </c>
      <c r="I8" s="13">
        <v>-0.242690578368314</v>
      </c>
      <c r="J8" s="17">
        <f t="shared" si="5"/>
        <v>-0.2431933143</v>
      </c>
      <c r="K8" s="13">
        <v>-0.812953479415889</v>
      </c>
      <c r="L8" s="13">
        <v>-0.815335335254221</v>
      </c>
      <c r="M8" s="17">
        <f t="shared" si="6"/>
        <v>-0.8163382219</v>
      </c>
      <c r="N8" s="14"/>
      <c r="O8" s="14"/>
      <c r="P8" s="14"/>
      <c r="R8" s="10"/>
    </row>
    <row r="9">
      <c r="A9" s="13" t="s">
        <v>14</v>
      </c>
      <c r="B9" s="17">
        <v>0.125</v>
      </c>
      <c r="C9" s="17">
        <v>0.037037037037037035</v>
      </c>
      <c r="D9" s="13" t="s">
        <v>50</v>
      </c>
      <c r="E9" s="17">
        <f t="shared" ref="E9:F9" si="7">E8</f>
        <v>-224.9218653</v>
      </c>
      <c r="F9" s="17">
        <f t="shared" si="7"/>
        <v>-224.907536</v>
      </c>
      <c r="G9" s="17">
        <f t="shared" si="4"/>
        <v>-224.9015026</v>
      </c>
      <c r="H9" s="17">
        <f t="shared" ref="H9:I9" si="8">(3^3*H7-4^3*H8)/(3^3-4^3)</f>
        <v>-0.2473528363</v>
      </c>
      <c r="I9" s="17">
        <f t="shared" si="8"/>
        <v>-0.2485642186</v>
      </c>
      <c r="J9" s="17">
        <f t="shared" si="5"/>
        <v>-0.2490742743</v>
      </c>
      <c r="K9" s="17">
        <f t="shared" ref="K9:L9" si="9">(3^3*K7-4^3*K8)/(3^3-4^3)</f>
        <v>-0.8542683465</v>
      </c>
      <c r="L9" s="17">
        <f t="shared" si="9"/>
        <v>-0.8566906626</v>
      </c>
      <c r="M9" s="17">
        <f t="shared" si="6"/>
        <v>-0.8577105852</v>
      </c>
      <c r="N9" s="14"/>
      <c r="O9" s="14"/>
      <c r="P9" s="14"/>
      <c r="R9" s="10"/>
      <c r="S9" s="1" t="s">
        <v>82</v>
      </c>
      <c r="T9" s="1" t="s">
        <v>83</v>
      </c>
      <c r="U9" s="1" t="s">
        <v>84</v>
      </c>
      <c r="V9" s="1" t="s">
        <v>85</v>
      </c>
    </row>
    <row r="10">
      <c r="A10" s="13" t="s">
        <v>33</v>
      </c>
      <c r="B10" s="13">
        <v>1.0</v>
      </c>
      <c r="C10" s="17">
        <f t="shared" ref="C10:C18" si="10">1/8</f>
        <v>0.125</v>
      </c>
      <c r="D10" s="13" t="s">
        <v>47</v>
      </c>
      <c r="E10" s="13">
        <v>-1072.328458393</v>
      </c>
      <c r="F10" s="13">
        <v>-1072.07294566691</v>
      </c>
      <c r="G10" s="17">
        <f t="shared" si="4"/>
        <v>-1072.036444</v>
      </c>
      <c r="H10" s="13">
        <v>-1.0202067930334</v>
      </c>
      <c r="I10" s="13">
        <v>-1.06103040857558</v>
      </c>
      <c r="J10" s="17">
        <f t="shared" si="5"/>
        <v>-1.066862354</v>
      </c>
      <c r="K10" s="13">
        <v>-2.64590865193906</v>
      </c>
      <c r="L10" s="13">
        <v>-2.71195120194118</v>
      </c>
      <c r="M10" s="17">
        <f t="shared" si="6"/>
        <v>-2.721385852</v>
      </c>
      <c r="N10" s="14"/>
      <c r="O10" s="14"/>
      <c r="P10" s="14"/>
      <c r="R10" s="11">
        <v>2.0</v>
      </c>
      <c r="S10" s="5">
        <f t="shared" ref="S10:S12" si="11">1/R10^3</f>
        <v>0.125</v>
      </c>
      <c r="T10" s="17">
        <f t="shared" ref="T10:T13" si="12">M10</f>
        <v>-2.721385852</v>
      </c>
      <c r="U10" s="17">
        <f t="shared" ref="U10:U13" si="13">J10</f>
        <v>-1.066862354</v>
      </c>
      <c r="V10" s="17">
        <f t="shared" ref="V10:V13" si="14">T10+U10</f>
        <v>-3.788248206</v>
      </c>
    </row>
    <row r="11">
      <c r="A11" s="13" t="s">
        <v>33</v>
      </c>
      <c r="B11" s="13">
        <v>1.0</v>
      </c>
      <c r="C11" s="17">
        <f t="shared" si="10"/>
        <v>0.125</v>
      </c>
      <c r="D11" s="13" t="s">
        <v>48</v>
      </c>
      <c r="E11" s="13">
        <v>-1072.56617814296</v>
      </c>
      <c r="F11" s="13">
        <v>-1072.31041248084</v>
      </c>
      <c r="G11" s="17">
        <f t="shared" si="4"/>
        <v>-1072.273875</v>
      </c>
      <c r="H11" s="13">
        <v>-1.18151998776776</v>
      </c>
      <c r="I11" s="13">
        <v>-1.22428156839434</v>
      </c>
      <c r="J11" s="17">
        <f t="shared" si="5"/>
        <v>-1.230390366</v>
      </c>
      <c r="K11" s="13">
        <v>-3.25690757450168</v>
      </c>
      <c r="L11" s="13">
        <v>-3.32643086341009</v>
      </c>
      <c r="M11" s="17">
        <f t="shared" si="6"/>
        <v>-3.336362762</v>
      </c>
      <c r="N11" s="14"/>
      <c r="O11" s="14"/>
      <c r="P11" s="14"/>
      <c r="R11" s="11">
        <v>3.0</v>
      </c>
      <c r="S11" s="5">
        <f t="shared" si="11"/>
        <v>0.03703703704</v>
      </c>
      <c r="T11" s="17">
        <f t="shared" si="12"/>
        <v>-3.336362762</v>
      </c>
      <c r="U11" s="17">
        <f t="shared" si="13"/>
        <v>-1.230390366</v>
      </c>
      <c r="V11" s="17">
        <f t="shared" si="14"/>
        <v>-4.566753127</v>
      </c>
    </row>
    <row r="12">
      <c r="A12" s="13" t="s">
        <v>33</v>
      </c>
      <c r="B12" s="13">
        <v>1.0</v>
      </c>
      <c r="C12" s="17">
        <f t="shared" si="10"/>
        <v>0.125</v>
      </c>
      <c r="D12" s="13" t="s">
        <v>49</v>
      </c>
      <c r="E12" s="13">
        <v>-1072.62725757641</v>
      </c>
      <c r="F12" s="13"/>
      <c r="G12" s="19">
        <f>G11-E11+E12</f>
        <v>-1072.334954</v>
      </c>
      <c r="H12" s="13">
        <v>-1.21481679601868</v>
      </c>
      <c r="I12" s="13"/>
      <c r="J12" s="19">
        <f>J10+I11-I10+H12-H11</f>
        <v>-1.263410322</v>
      </c>
      <c r="K12" s="13">
        <v>-3.48950354916595</v>
      </c>
      <c r="L12" s="13"/>
      <c r="M12" s="19">
        <f>M10+L11-L10+K12-K11</f>
        <v>-3.568461488</v>
      </c>
      <c r="N12" s="14"/>
      <c r="O12" s="14"/>
      <c r="P12" s="14"/>
      <c r="R12" s="11">
        <v>4.0</v>
      </c>
      <c r="S12" s="5">
        <f t="shared" si="11"/>
        <v>0.015625</v>
      </c>
      <c r="T12" s="17">
        <f t="shared" si="12"/>
        <v>-3.568461488</v>
      </c>
      <c r="U12" s="17">
        <f t="shared" si="13"/>
        <v>-1.263410322</v>
      </c>
      <c r="V12" s="17">
        <f t="shared" si="14"/>
        <v>-4.83187181</v>
      </c>
    </row>
    <row r="13">
      <c r="A13" s="13" t="s">
        <v>33</v>
      </c>
      <c r="B13" s="13">
        <v>1.0</v>
      </c>
      <c r="C13" s="17">
        <f t="shared" si="10"/>
        <v>0.125</v>
      </c>
      <c r="D13" s="13" t="s">
        <v>50</v>
      </c>
      <c r="E13" s="17">
        <f>E12</f>
        <v>-1072.627258</v>
      </c>
      <c r="F13" s="17"/>
      <c r="G13" s="19">
        <f>G11-E11+E13</f>
        <v>-1072.334954</v>
      </c>
      <c r="H13" s="17">
        <f>(3^3*H11-4^3*H12)/(3^3-4^3)</f>
        <v>-1.239114467</v>
      </c>
      <c r="I13" s="17"/>
      <c r="J13" s="17">
        <f t="shared" ref="J13:K13" si="15">(3^3*J11-4^3*J12)/(3^3-4^3)</f>
        <v>-1.287505965</v>
      </c>
      <c r="K13" s="17">
        <f t="shared" si="15"/>
        <v>-3.659235747</v>
      </c>
      <c r="L13" s="17"/>
      <c r="M13" s="17">
        <f>(3^3*M11-4^3*M12)/(3^3-4^3)</f>
        <v>-3.737830829</v>
      </c>
      <c r="N13" s="14"/>
      <c r="O13" s="14"/>
      <c r="P13" s="14"/>
      <c r="R13" s="10"/>
      <c r="S13" s="1">
        <v>0.0</v>
      </c>
      <c r="T13" s="17">
        <f t="shared" si="12"/>
        <v>-3.737830829</v>
      </c>
      <c r="U13" s="17">
        <f t="shared" si="13"/>
        <v>-1.287505965</v>
      </c>
      <c r="V13" s="17">
        <f t="shared" si="14"/>
        <v>-5.025336794</v>
      </c>
    </row>
    <row r="14">
      <c r="A14" s="1" t="s">
        <v>15</v>
      </c>
      <c r="B14" s="1">
        <v>1.0</v>
      </c>
      <c r="C14" s="17">
        <f t="shared" si="10"/>
        <v>0.125</v>
      </c>
      <c r="D14" s="1" t="s">
        <v>47</v>
      </c>
      <c r="E14" s="1">
        <v>-923.068244972089</v>
      </c>
      <c r="F14" s="1">
        <v>-922.887794824049</v>
      </c>
      <c r="G14" s="17">
        <f t="shared" ref="G14:G15" si="16">E14+(-B14)*(F14-E14)/(C14-B14)</f>
        <v>-922.8620162</v>
      </c>
      <c r="H14" s="1">
        <v>-0.854292247675095</v>
      </c>
      <c r="I14" s="1">
        <v>-0.884169107049056</v>
      </c>
      <c r="J14" s="17">
        <f t="shared" ref="J14:J15" si="17">H14+(-B14)*(I14-H14)/(C14-B14)</f>
        <v>-0.8884372298</v>
      </c>
      <c r="K14" s="1">
        <v>-2.3371572849258</v>
      </c>
      <c r="L14" s="1">
        <v>-2.382227386675</v>
      </c>
      <c r="M14" s="17">
        <f t="shared" ref="M14:M15" si="18">K14+(-B14)*(L14-K14)/(C14-B14)</f>
        <v>-2.388665973</v>
      </c>
      <c r="N14" s="20">
        <v>-2.3498349787587358E-4</v>
      </c>
      <c r="O14" s="20">
        <v>1.5377097533919581E-4</v>
      </c>
      <c r="P14" s="20">
        <v>7.091039373374741E-5</v>
      </c>
      <c r="R14" s="10"/>
    </row>
    <row r="15">
      <c r="A15" s="1" t="s">
        <v>15</v>
      </c>
      <c r="B15" s="1">
        <v>1.0</v>
      </c>
      <c r="C15" s="17">
        <f t="shared" si="10"/>
        <v>0.125</v>
      </c>
      <c r="D15" s="1" t="s">
        <v>48</v>
      </c>
      <c r="E15" s="1">
        <v>-923.283981713531</v>
      </c>
      <c r="F15" s="1">
        <v>-923.102756936463</v>
      </c>
      <c r="G15" s="17">
        <f t="shared" si="16"/>
        <v>-923.0768677</v>
      </c>
      <c r="H15" s="1">
        <v>-0.990052558592076</v>
      </c>
      <c r="I15" s="1">
        <v>-1.02251639705053</v>
      </c>
      <c r="J15" s="17">
        <f t="shared" si="17"/>
        <v>-1.027154088</v>
      </c>
      <c r="K15" s="1">
        <v>-2.8758241327812</v>
      </c>
      <c r="L15" s="1">
        <v>-2.92479019038053</v>
      </c>
      <c r="M15" s="17">
        <f t="shared" si="18"/>
        <v>-2.931785341</v>
      </c>
      <c r="N15" s="14"/>
      <c r="O15" s="14"/>
      <c r="P15" s="14"/>
      <c r="R15" s="10"/>
    </row>
    <row r="16">
      <c r="A16" s="1" t="s">
        <v>15</v>
      </c>
      <c r="B16" s="1">
        <v>1.0</v>
      </c>
      <c r="C16" s="17">
        <f t="shared" si="10"/>
        <v>0.125</v>
      </c>
      <c r="D16" s="1" t="s">
        <v>49</v>
      </c>
      <c r="E16" s="1">
        <v>-923.337617100999</v>
      </c>
      <c r="G16" s="19">
        <f>G15-E15+E16</f>
        <v>-923.1305031</v>
      </c>
      <c r="H16" s="1">
        <v>-1.01868654138454</v>
      </c>
      <c r="J16" s="19">
        <f>J15-H15+H16</f>
        <v>-1.055788071</v>
      </c>
      <c r="K16" s="1">
        <v>-3.08112073744666</v>
      </c>
      <c r="M16" s="19">
        <f>M15-K15+K16</f>
        <v>-3.137081946</v>
      </c>
      <c r="N16" s="14"/>
      <c r="O16" s="14"/>
      <c r="P16" s="14"/>
      <c r="R16" s="10"/>
    </row>
    <row r="17">
      <c r="A17" s="1" t="s">
        <v>15</v>
      </c>
      <c r="B17" s="1">
        <v>1.0</v>
      </c>
      <c r="C17" s="17">
        <f t="shared" si="10"/>
        <v>0.125</v>
      </c>
      <c r="D17" s="1" t="s">
        <v>50</v>
      </c>
      <c r="E17" s="1">
        <v>-923.337617100999</v>
      </c>
      <c r="G17" s="19">
        <f>G15-E15+E17</f>
        <v>-923.1305031</v>
      </c>
      <c r="H17" s="21">
        <f>(3^3*H15-4^3*H16)/(3^3-4^3)</f>
        <v>-1.03958161</v>
      </c>
      <c r="J17" s="19">
        <f>J15-H15+H17</f>
        <v>-1.07668314</v>
      </c>
      <c r="K17" s="21">
        <f>(3^3*K15-4^3*K16)/(3^3-4^3)</f>
        <v>-3.230931773</v>
      </c>
      <c r="M17" s="19">
        <f>M15-K15+K17</f>
        <v>-3.286892982</v>
      </c>
      <c r="N17" s="14"/>
      <c r="O17" s="14"/>
      <c r="P17" s="14"/>
      <c r="R17" s="10"/>
      <c r="S17" s="1" t="s">
        <v>86</v>
      </c>
      <c r="T17" s="1" t="s">
        <v>87</v>
      </c>
      <c r="U17" s="1" t="s">
        <v>88</v>
      </c>
      <c r="V17" s="1" t="s">
        <v>89</v>
      </c>
      <c r="W17" s="1" t="s">
        <v>90</v>
      </c>
    </row>
    <row r="18">
      <c r="A18" s="13" t="s">
        <v>51</v>
      </c>
      <c r="B18" s="17">
        <v>1.0</v>
      </c>
      <c r="C18" s="17">
        <f t="shared" si="10"/>
        <v>0.125</v>
      </c>
      <c r="D18" s="13" t="s">
        <v>47</v>
      </c>
      <c r="E18" s="13">
        <v>-750.786246256724</v>
      </c>
      <c r="F18" s="13">
        <v>-750.643682194886</v>
      </c>
      <c r="G18" s="17">
        <f t="shared" ref="G18:G32" si="19">E18+(-B18)*(F18-E18)/(C18-B18)</f>
        <v>-750.6233159</v>
      </c>
      <c r="H18" s="13">
        <v>-0.539109740962677</v>
      </c>
      <c r="I18" s="13">
        <v>-0.553103793729042</v>
      </c>
      <c r="J18" s="17">
        <f t="shared" ref="J18:J31" si="20">H18+(-B18)*(I18-H18)/(C18-B18)</f>
        <v>-0.5551029441</v>
      </c>
      <c r="K18" s="13">
        <v>-1.37333999439524</v>
      </c>
      <c r="L18" s="13">
        <v>-1.39667220605606</v>
      </c>
      <c r="M18" s="17">
        <f t="shared" ref="M18:M31" si="21">K18+(-B18)*(L18-K18)/(C18-B18)</f>
        <v>-1.400005379</v>
      </c>
      <c r="R18" s="10"/>
      <c r="S18" s="17">
        <f t="shared" ref="S18:S21" si="22">M18+J18</f>
        <v>-1.955108323</v>
      </c>
      <c r="T18" s="17">
        <f>shell_e!G22</f>
        <v>-0.4863667272</v>
      </c>
      <c r="U18" s="17">
        <f>relax_e!G22</f>
        <v>0.0005118260842</v>
      </c>
      <c r="V18" s="10">
        <f t="shared" ref="V18:V21" si="23">(S18/4-T18)*627.5096*4.184</f>
        <v>-6.32838378</v>
      </c>
      <c r="W18" s="10">
        <f t="shared" ref="W18:W21" si="24">V18+U18*627.5096*4.184</f>
        <v>-4.984584311</v>
      </c>
    </row>
    <row r="19">
      <c r="A19" s="13" t="s">
        <v>51</v>
      </c>
      <c r="B19" s="17">
        <v>1.0</v>
      </c>
      <c r="C19" s="17">
        <v>0.125</v>
      </c>
      <c r="D19" s="13" t="s">
        <v>48</v>
      </c>
      <c r="E19" s="13">
        <v>-751.003282493294</v>
      </c>
      <c r="F19" s="13">
        <v>-750.855993764708</v>
      </c>
      <c r="G19" s="17">
        <f t="shared" si="19"/>
        <v>-750.8349525</v>
      </c>
      <c r="H19" s="13">
        <v>-0.648740155748248</v>
      </c>
      <c r="I19" s="13">
        <v>-0.665263955171269</v>
      </c>
      <c r="J19" s="17">
        <f t="shared" si="20"/>
        <v>-0.6676244979</v>
      </c>
      <c r="K19" s="13">
        <v>-1.74442297876952</v>
      </c>
      <c r="L19" s="13">
        <v>-1.77156486718417</v>
      </c>
      <c r="M19" s="17">
        <f t="shared" si="21"/>
        <v>-1.77544228</v>
      </c>
      <c r="R19" s="10"/>
      <c r="S19" s="17">
        <f t="shared" si="22"/>
        <v>-2.443066778</v>
      </c>
      <c r="T19" s="17">
        <f>shell_e!G23</f>
        <v>-0.6049611288</v>
      </c>
      <c r="U19" s="17">
        <f>relax_e!G23</f>
        <v>0.0004700472328</v>
      </c>
      <c r="V19" s="10">
        <f t="shared" si="23"/>
        <v>-15.24251355</v>
      </c>
      <c r="W19" s="10">
        <f t="shared" si="24"/>
        <v>-14.00840447</v>
      </c>
    </row>
    <row r="20">
      <c r="A20" s="13" t="s">
        <v>51</v>
      </c>
      <c r="B20" s="17">
        <v>1.0</v>
      </c>
      <c r="C20" s="17">
        <v>0.125</v>
      </c>
      <c r="D20" s="13" t="s">
        <v>49</v>
      </c>
      <c r="E20" s="13">
        <v>-751.058566803619</v>
      </c>
      <c r="F20" s="13">
        <v>-750.90958280232</v>
      </c>
      <c r="G20" s="17">
        <f t="shared" si="19"/>
        <v>-750.8882994</v>
      </c>
      <c r="H20" s="13">
        <v>-0.67348599543938</v>
      </c>
      <c r="I20" s="13">
        <v>-0.690305506645251</v>
      </c>
      <c r="J20" s="17">
        <f t="shared" si="20"/>
        <v>-0.692708294</v>
      </c>
      <c r="K20" s="13">
        <v>-1.90098871254529</v>
      </c>
      <c r="L20" s="13">
        <v>-1.92874517910528</v>
      </c>
      <c r="M20" s="17">
        <f t="shared" si="21"/>
        <v>-1.932710389</v>
      </c>
      <c r="R20" s="10"/>
      <c r="S20" s="17">
        <f t="shared" si="22"/>
        <v>-2.625418683</v>
      </c>
      <c r="T20" s="17">
        <f>shell_e!G24</f>
        <v>-0.6490406738</v>
      </c>
      <c r="U20" s="17">
        <f>relax_e!G24</f>
        <v>0.0004530803968</v>
      </c>
      <c r="V20" s="10">
        <f t="shared" si="23"/>
        <v>-19.20289993</v>
      </c>
      <c r="W20" s="10">
        <f t="shared" si="24"/>
        <v>-18.01333727</v>
      </c>
    </row>
    <row r="21">
      <c r="A21" s="13" t="s">
        <v>51</v>
      </c>
      <c r="B21" s="17">
        <v>1.0</v>
      </c>
      <c r="C21" s="17">
        <v>0.125</v>
      </c>
      <c r="D21" s="13" t="s">
        <v>50</v>
      </c>
      <c r="E21" s="17">
        <f t="shared" ref="E21:F21" si="25">E20</f>
        <v>-751.0585668</v>
      </c>
      <c r="F21" s="17">
        <f t="shared" si="25"/>
        <v>-750.9095828</v>
      </c>
      <c r="G21" s="17">
        <f t="shared" si="19"/>
        <v>-750.8882994</v>
      </c>
      <c r="H21" s="17">
        <f t="shared" ref="H21:I21" si="26">(3^3*H19-4^3*H20)/(3^3-4^3)</f>
        <v>-0.6915437703</v>
      </c>
      <c r="I21" s="17">
        <f t="shared" si="26"/>
        <v>-0.7085790712</v>
      </c>
      <c r="J21" s="17">
        <f t="shared" si="20"/>
        <v>-0.7110126856</v>
      </c>
      <c r="K21" s="17">
        <f t="shared" ref="K21:L21" si="27">(3^3*K19-4^3*K20)/(3^3-4^3)</f>
        <v>-2.015239383</v>
      </c>
      <c r="L21" s="17">
        <f t="shared" si="27"/>
        <v>-2.043444326</v>
      </c>
      <c r="M21" s="17">
        <f t="shared" si="21"/>
        <v>-2.047473603</v>
      </c>
      <c r="R21" s="10"/>
      <c r="S21" s="17">
        <f t="shared" si="22"/>
        <v>-2.758486289</v>
      </c>
      <c r="T21" s="17">
        <f>shell_e!G25</f>
        <v>-0.6812068283</v>
      </c>
      <c r="U21" s="17">
        <f>relax_e!G25</f>
        <v>0.0004406991922</v>
      </c>
      <c r="V21" s="10">
        <f t="shared" si="23"/>
        <v>-22.0929116</v>
      </c>
      <c r="W21" s="10">
        <f t="shared" si="24"/>
        <v>-20.9358558</v>
      </c>
    </row>
    <row r="22">
      <c r="A22" s="13" t="s">
        <v>18</v>
      </c>
      <c r="B22" s="17">
        <v>1.0</v>
      </c>
      <c r="C22" s="17">
        <v>0.125</v>
      </c>
      <c r="D22" s="13" t="s">
        <v>47</v>
      </c>
      <c r="E22" s="13">
        <v>-1183.68921243462</v>
      </c>
      <c r="F22" s="13">
        <v>-1183.53324900444</v>
      </c>
      <c r="G22" s="17">
        <f t="shared" si="19"/>
        <v>-1183.510969</v>
      </c>
      <c r="H22" s="13">
        <v>-1.01291375824555</v>
      </c>
      <c r="I22" s="13">
        <v>-1.02761812543526</v>
      </c>
      <c r="J22" s="17">
        <f t="shared" si="20"/>
        <v>-1.029718749</v>
      </c>
      <c r="K22" s="13">
        <v>-2.68292890264457</v>
      </c>
      <c r="L22" s="13">
        <v>-2.71015472663705</v>
      </c>
      <c r="M22" s="17">
        <f t="shared" si="21"/>
        <v>-2.71404413</v>
      </c>
      <c r="R22" s="10"/>
      <c r="V22" s="10"/>
      <c r="W22" s="10"/>
    </row>
    <row r="23">
      <c r="A23" s="13" t="s">
        <v>18</v>
      </c>
      <c r="B23" s="17">
        <v>1.0</v>
      </c>
      <c r="C23" s="17">
        <v>0.125</v>
      </c>
      <c r="D23" s="13" t="s">
        <v>48</v>
      </c>
      <c r="E23" s="13">
        <v>-1183.9984170315</v>
      </c>
      <c r="F23" s="13">
        <v>-1183.84101375132</v>
      </c>
      <c r="G23" s="17">
        <f t="shared" si="19"/>
        <v>-1183.818528</v>
      </c>
      <c r="H23" s="13">
        <v>-1.20023553402513</v>
      </c>
      <c r="I23" s="13">
        <v>-1.21848605186847</v>
      </c>
      <c r="J23" s="17">
        <f t="shared" si="20"/>
        <v>-1.221093269</v>
      </c>
      <c r="K23" s="13">
        <v>-3.3482857382954</v>
      </c>
      <c r="L23" s="13">
        <v>-3.38061269981624</v>
      </c>
      <c r="M23" s="17">
        <f t="shared" si="21"/>
        <v>-3.385230837</v>
      </c>
      <c r="R23" s="10"/>
      <c r="S23" s="17">
        <f t="shared" ref="S23:S26" si="28">G18</f>
        <v>-750.6233159</v>
      </c>
      <c r="T23" s="17">
        <f>shell_e!D22</f>
        <v>-187.6527088</v>
      </c>
      <c r="U23" s="17">
        <f>relax_e!D22</f>
        <v>-0.000410253939</v>
      </c>
      <c r="V23" s="10">
        <f t="shared" ref="V23:V26" si="29">(S23/4-T23)*627.5096*4.184</f>
        <v>-8.192117082</v>
      </c>
      <c r="W23" s="10">
        <f t="shared" ref="W23:W26" si="30">V23+U23*627.5096*4.184</f>
        <v>-9.269238867</v>
      </c>
    </row>
    <row r="24">
      <c r="A24" s="13" t="s">
        <v>18</v>
      </c>
      <c r="B24" s="17">
        <v>1.0</v>
      </c>
      <c r="C24" s="17">
        <v>0.125</v>
      </c>
      <c r="D24" s="13" t="s">
        <v>49</v>
      </c>
      <c r="E24" s="13">
        <v>-1184.07330576625</v>
      </c>
      <c r="F24" s="13">
        <v>-1183.91583400405</v>
      </c>
      <c r="G24" s="17">
        <f t="shared" si="19"/>
        <v>-1183.893338</v>
      </c>
      <c r="H24" s="13">
        <v>-1.23956106930199</v>
      </c>
      <c r="I24" s="13">
        <v>-1.25824470023785</v>
      </c>
      <c r="J24" s="17">
        <f t="shared" si="20"/>
        <v>-1.26091379</v>
      </c>
      <c r="K24" s="13">
        <v>-3.60778424912226</v>
      </c>
      <c r="L24" s="13">
        <v>-3.64087606832978</v>
      </c>
      <c r="M24" s="17">
        <f t="shared" si="21"/>
        <v>-3.645603471</v>
      </c>
      <c r="R24" s="10"/>
      <c r="S24" s="17">
        <f t="shared" si="28"/>
        <v>-750.8349525</v>
      </c>
      <c r="T24" s="17">
        <f>shell_e!D23</f>
        <v>-187.7064422</v>
      </c>
      <c r="U24" s="17">
        <f>relax_e!D23</f>
        <v>-0.000465794025</v>
      </c>
      <c r="V24" s="10">
        <f t="shared" si="29"/>
        <v>-6.028011254</v>
      </c>
      <c r="W24" s="10">
        <f t="shared" si="30"/>
        <v>-7.250953544</v>
      </c>
    </row>
    <row r="25">
      <c r="A25" s="13" t="s">
        <v>18</v>
      </c>
      <c r="B25" s="17">
        <v>1.0</v>
      </c>
      <c r="C25" s="17">
        <v>0.125</v>
      </c>
      <c r="D25" s="13" t="s">
        <v>50</v>
      </c>
      <c r="E25" s="17">
        <f t="shared" ref="E25:F25" si="31">E24</f>
        <v>-1184.073306</v>
      </c>
      <c r="F25" s="17">
        <f t="shared" si="31"/>
        <v>-1183.915834</v>
      </c>
      <c r="G25" s="17">
        <f t="shared" si="19"/>
        <v>-1183.893338</v>
      </c>
      <c r="H25" s="17">
        <f t="shared" ref="H25:I25" si="32">(3^3*H23-4^3*H24)/(3^3-4^3)</f>
        <v>-1.268258082</v>
      </c>
      <c r="I25" s="17">
        <f t="shared" si="32"/>
        <v>-1.287257768</v>
      </c>
      <c r="J25" s="17">
        <f t="shared" si="20"/>
        <v>-1.289972009</v>
      </c>
      <c r="K25" s="17">
        <f t="shared" ref="K25:L25" si="33">(3^3*K23-4^3*K24)/(3^3-4^3)</f>
        <v>-3.797148027</v>
      </c>
      <c r="L25" s="17">
        <f t="shared" si="33"/>
        <v>-3.830797986</v>
      </c>
      <c r="M25" s="17">
        <f t="shared" si="21"/>
        <v>-3.835605123</v>
      </c>
      <c r="R25" s="10"/>
      <c r="S25" s="17">
        <f t="shared" si="28"/>
        <v>-750.8882994</v>
      </c>
      <c r="T25" s="17">
        <f>shell_e!D24</f>
        <v>-187.7199435</v>
      </c>
      <c r="U25" s="17">
        <f>relax_e!D24</f>
        <v>-0.000487264891</v>
      </c>
      <c r="V25" s="10">
        <f t="shared" si="29"/>
        <v>-5.59574578</v>
      </c>
      <c r="W25" s="10">
        <f t="shared" si="30"/>
        <v>-6.875059832</v>
      </c>
    </row>
    <row r="26">
      <c r="A26" s="16" t="s">
        <v>52</v>
      </c>
      <c r="B26" s="17">
        <v>0.5</v>
      </c>
      <c r="C26" s="17">
        <v>0.08333333333333333</v>
      </c>
      <c r="D26" s="13" t="s">
        <v>47</v>
      </c>
      <c r="E26" s="13">
        <v>-643.940146152434</v>
      </c>
      <c r="F26" s="13">
        <v>-643.868614600904</v>
      </c>
      <c r="G26" s="17">
        <f t="shared" si="19"/>
        <v>-643.8543083</v>
      </c>
      <c r="H26" s="13">
        <v>-0.504280744039512</v>
      </c>
      <c r="I26" s="13">
        <v>-0.508854746205719</v>
      </c>
      <c r="J26" s="17">
        <f t="shared" si="20"/>
        <v>-0.5097695466</v>
      </c>
      <c r="K26" s="13">
        <v>-1.41776513732625</v>
      </c>
      <c r="L26" s="13">
        <v>-1.42729834293005</v>
      </c>
      <c r="M26" s="17">
        <f t="shared" si="21"/>
        <v>-1.429204984</v>
      </c>
      <c r="R26" s="10"/>
      <c r="S26" s="17">
        <f t="shared" si="28"/>
        <v>-750.8882994</v>
      </c>
      <c r="T26" s="17">
        <f>shell_e!D25</f>
        <v>-187.7199435</v>
      </c>
      <c r="U26" s="17">
        <f>relax_e!D25</f>
        <v>-0.000487264891</v>
      </c>
      <c r="V26" s="10">
        <f t="shared" si="29"/>
        <v>-5.59574578</v>
      </c>
      <c r="W26" s="10">
        <f t="shared" si="30"/>
        <v>-6.875059832</v>
      </c>
    </row>
    <row r="27">
      <c r="A27" s="16" t="s">
        <v>52</v>
      </c>
      <c r="B27" s="17">
        <v>0.5</v>
      </c>
      <c r="C27" s="17">
        <v>0.08333333333333333</v>
      </c>
      <c r="D27" s="13" t="s">
        <v>48</v>
      </c>
      <c r="E27" s="13">
        <v>-644.118951465676</v>
      </c>
      <c r="F27" s="13">
        <v>-644.047848893829</v>
      </c>
      <c r="G27" s="17">
        <f t="shared" si="19"/>
        <v>-644.0336284</v>
      </c>
      <c r="H27" s="13">
        <v>-0.608453624691179</v>
      </c>
      <c r="I27" s="13">
        <v>-0.614226208827197</v>
      </c>
      <c r="J27" s="17">
        <f t="shared" si="20"/>
        <v>-0.6153807257</v>
      </c>
      <c r="K27" s="13">
        <v>-1.79068361629306</v>
      </c>
      <c r="L27" s="13">
        <v>-1.80204149167011</v>
      </c>
      <c r="M27" s="17">
        <f t="shared" si="21"/>
        <v>-1.804313067</v>
      </c>
      <c r="R27" s="10"/>
      <c r="V27" s="10"/>
      <c r="W27" s="10"/>
    </row>
    <row r="28">
      <c r="A28" s="16" t="s">
        <v>52</v>
      </c>
      <c r="B28" s="17">
        <v>0.5</v>
      </c>
      <c r="C28" s="17">
        <v>0.08333333333333333</v>
      </c>
      <c r="D28" s="13" t="s">
        <v>49</v>
      </c>
      <c r="E28" s="13">
        <v>-644.161248783708</v>
      </c>
      <c r="F28" s="13">
        <v>-644.090246086817</v>
      </c>
      <c r="G28" s="17">
        <f t="shared" si="19"/>
        <v>-644.0760455</v>
      </c>
      <c r="H28" s="18">
        <v>-0.630287035167815</v>
      </c>
      <c r="I28" s="13">
        <v>-0.636169556946279</v>
      </c>
      <c r="J28" s="17">
        <f t="shared" si="20"/>
        <v>-0.6373460613</v>
      </c>
      <c r="K28" s="13">
        <v>-1.93502210827974</v>
      </c>
      <c r="L28" s="13">
        <v>-1.94663430426063</v>
      </c>
      <c r="M28" s="17">
        <f t="shared" si="21"/>
        <v>-1.948956743</v>
      </c>
      <c r="R28" s="10"/>
      <c r="V28" s="10">
        <f t="shared" ref="V28:W28" si="34">V18+V23</f>
        <v>-14.52050086</v>
      </c>
      <c r="W28" s="10">
        <f t="shared" si="34"/>
        <v>-14.25382318</v>
      </c>
    </row>
    <row r="29">
      <c r="A29" s="16" t="s">
        <v>52</v>
      </c>
      <c r="B29" s="17">
        <v>0.5</v>
      </c>
      <c r="C29" s="17">
        <v>0.08333333333333333</v>
      </c>
      <c r="D29" s="13" t="s">
        <v>50</v>
      </c>
      <c r="E29" s="17">
        <f t="shared" ref="E29:F29" si="35">E28</f>
        <v>-644.1612488</v>
      </c>
      <c r="F29" s="17">
        <f t="shared" si="35"/>
        <v>-644.0902461</v>
      </c>
      <c r="G29" s="17">
        <f t="shared" si="19"/>
        <v>-644.0760455</v>
      </c>
      <c r="H29" s="17">
        <f t="shared" ref="H29:I29" si="36">(3^3*H27-4^3*H28)/(3^3-4^3)</f>
        <v>-0.6462195239</v>
      </c>
      <c r="I29" s="17">
        <f t="shared" si="36"/>
        <v>-0.6521822704</v>
      </c>
      <c r="J29" s="17">
        <f t="shared" si="20"/>
        <v>-0.6533748197</v>
      </c>
      <c r="K29" s="17">
        <f t="shared" ref="K29:L29" si="37">(3^3*K27-4^3*K28)/(3^3-4^3)</f>
        <v>-2.040350197</v>
      </c>
      <c r="L29" s="17">
        <f t="shared" si="37"/>
        <v>-2.052147978</v>
      </c>
      <c r="M29" s="17">
        <f t="shared" si="21"/>
        <v>-2.054507535</v>
      </c>
      <c r="R29" s="10"/>
      <c r="V29" s="10">
        <f t="shared" ref="V29:W29" si="38">V19+V24</f>
        <v>-21.27052481</v>
      </c>
      <c r="W29" s="10">
        <f t="shared" si="38"/>
        <v>-21.25935801</v>
      </c>
    </row>
    <row r="30">
      <c r="A30" s="16" t="s">
        <v>20</v>
      </c>
      <c r="B30" s="17">
        <v>0.3333333333333333</v>
      </c>
      <c r="C30" s="17">
        <v>0.041666666666666664</v>
      </c>
      <c r="D30" s="13" t="s">
        <v>47</v>
      </c>
      <c r="E30" s="13">
        <v>-675.939144582308</v>
      </c>
      <c r="F30" s="13">
        <v>-675.880133147754</v>
      </c>
      <c r="G30" s="17">
        <f t="shared" si="19"/>
        <v>-675.8717029</v>
      </c>
      <c r="H30" s="13">
        <v>-0.533828044799657</v>
      </c>
      <c r="I30" s="13">
        <v>-0.537164818384262</v>
      </c>
      <c r="J30" s="17">
        <f t="shared" si="20"/>
        <v>-0.5376415003</v>
      </c>
      <c r="K30" s="13">
        <v>-1.45396164288402</v>
      </c>
      <c r="L30" s="13">
        <v>-1.46135171088401</v>
      </c>
      <c r="M30" s="17">
        <f t="shared" si="21"/>
        <v>-1.462407435</v>
      </c>
      <c r="R30" s="10"/>
      <c r="V30" s="10">
        <f t="shared" ref="V30:W30" si="39">V20+V25</f>
        <v>-24.79864571</v>
      </c>
      <c r="W30" s="10">
        <f t="shared" si="39"/>
        <v>-24.8883971</v>
      </c>
    </row>
    <row r="31">
      <c r="A31" s="16" t="s">
        <v>20</v>
      </c>
      <c r="B31" s="17">
        <v>0.3333333333333333</v>
      </c>
      <c r="C31" s="17">
        <v>0.041666666666666664</v>
      </c>
      <c r="D31" s="13" t="s">
        <v>48</v>
      </c>
      <c r="E31" s="13">
        <v>-676.123520016341</v>
      </c>
      <c r="F31" s="13">
        <v>-676.064155867275</v>
      </c>
      <c r="G31" s="17">
        <f t="shared" si="19"/>
        <v>-676.0556753</v>
      </c>
      <c r="H31" s="13">
        <v>-0.645017861279448</v>
      </c>
      <c r="I31" s="13">
        <v>-0.649105546777629</v>
      </c>
      <c r="J31" s="17">
        <f t="shared" si="20"/>
        <v>-0.6496895018</v>
      </c>
      <c r="K31" s="13">
        <v>-1.84319275426793</v>
      </c>
      <c r="L31" s="13">
        <v>-1.85188599322527</v>
      </c>
      <c r="M31" s="17">
        <f t="shared" si="21"/>
        <v>-1.853127885</v>
      </c>
      <c r="R31" s="10"/>
      <c r="V31" s="10">
        <f t="shared" ref="V31:W31" si="40">V21+V26</f>
        <v>-27.68865738</v>
      </c>
      <c r="W31" s="10">
        <f t="shared" si="40"/>
        <v>-27.81091563</v>
      </c>
    </row>
    <row r="32">
      <c r="A32" s="16" t="s">
        <v>20</v>
      </c>
      <c r="B32" s="17">
        <v>0.3333333333333333</v>
      </c>
      <c r="C32" s="17">
        <v>0.041666666666666664</v>
      </c>
      <c r="D32" s="13" t="s">
        <v>49</v>
      </c>
      <c r="E32" s="13">
        <v>-676.168660540369</v>
      </c>
      <c r="F32" s="13">
        <v>-676.109288379357</v>
      </c>
      <c r="G32" s="17">
        <f t="shared" si="19"/>
        <v>-676.1008066</v>
      </c>
      <c r="H32" s="13">
        <v>-0.668357454032004</v>
      </c>
      <c r="I32" s="13"/>
      <c r="J32" s="19">
        <f>J31-H31+H32</f>
        <v>-0.6730290946</v>
      </c>
      <c r="K32" s="13">
        <v>-1.9946411364556</v>
      </c>
      <c r="L32" s="13"/>
      <c r="M32" s="19">
        <f>M31-K31+K32</f>
        <v>-2.004576267</v>
      </c>
      <c r="R32" s="10"/>
    </row>
    <row r="33">
      <c r="A33" s="16" t="s">
        <v>20</v>
      </c>
      <c r="B33" s="17">
        <v>0.3333333333333333</v>
      </c>
      <c r="C33" s="17">
        <v>0.041666666666666664</v>
      </c>
      <c r="D33" s="13" t="s">
        <v>50</v>
      </c>
      <c r="E33" s="17">
        <f t="shared" ref="E33:G33" si="41">E32</f>
        <v>-676.1686605</v>
      </c>
      <c r="F33" s="17">
        <f t="shared" si="41"/>
        <v>-676.1092884</v>
      </c>
      <c r="G33" s="17">
        <f t="shared" si="41"/>
        <v>-676.1008066</v>
      </c>
      <c r="H33" s="17">
        <f>(3^3*H31-4^3*H32)/(3^3-4^3)</f>
        <v>-0.6853890487</v>
      </c>
      <c r="I33" s="17"/>
      <c r="J33" s="19">
        <f>J31-H31+H33</f>
        <v>-0.6900606893</v>
      </c>
      <c r="K33" s="17">
        <f>(3^3*K31-4^3*K32)/(3^3-4^3)</f>
        <v>-2.105157523</v>
      </c>
      <c r="L33" s="17"/>
      <c r="M33" s="19">
        <f>M31-K31+K33</f>
        <v>-2.115092654</v>
      </c>
      <c r="R33" s="10"/>
    </row>
    <row r="34">
      <c r="A34" s="13" t="s">
        <v>21</v>
      </c>
      <c r="B34" s="17">
        <v>0.125</v>
      </c>
      <c r="C34" s="17">
        <v>0.037037037037037035</v>
      </c>
      <c r="D34" s="13" t="s">
        <v>47</v>
      </c>
      <c r="E34" s="13">
        <v>-452.006497367544</v>
      </c>
      <c r="F34" s="13">
        <v>-451.986784692652</v>
      </c>
      <c r="G34" s="17">
        <f t="shared" ref="G34:G44" si="42">E34+(-B34)*(F34-E34)/(C34-B34)</f>
        <v>-451.9784846</v>
      </c>
      <c r="H34" s="13">
        <v>-0.404035845344293</v>
      </c>
      <c r="I34" s="13">
        <v>-0.405653204726952</v>
      </c>
      <c r="J34" s="17">
        <f t="shared" ref="J34:J62" si="43">H34+(-B34)*(I34-H34)/(C34-B34)</f>
        <v>-0.4063341982</v>
      </c>
      <c r="K34" s="13">
        <v>-1.13141463826474</v>
      </c>
      <c r="L34" s="13">
        <v>-1.13475809393939</v>
      </c>
      <c r="M34" s="17">
        <f t="shared" ref="M34:M62" si="44">K34+(-B34)*(L34-K34)/(C34-B34)</f>
        <v>-1.136165865</v>
      </c>
      <c r="R34" s="10"/>
    </row>
    <row r="35">
      <c r="A35" s="13" t="s">
        <v>21</v>
      </c>
      <c r="B35" s="17">
        <v>0.125</v>
      </c>
      <c r="C35" s="17">
        <v>0.037037037037037035</v>
      </c>
      <c r="D35" s="13" t="s">
        <v>48</v>
      </c>
      <c r="E35" s="13">
        <v>-452.113635945185</v>
      </c>
      <c r="F35" s="13">
        <v>-452.093943034065</v>
      </c>
      <c r="G35" s="17">
        <f t="shared" si="42"/>
        <v>-452.0856513</v>
      </c>
      <c r="H35" s="13">
        <v>-0.476682034608132</v>
      </c>
      <c r="I35" s="13">
        <v>-0.478453953165493</v>
      </c>
      <c r="J35" s="17">
        <f t="shared" si="43"/>
        <v>-0.4792000241</v>
      </c>
      <c r="K35" s="13">
        <v>-1.39988990354869</v>
      </c>
      <c r="L35" s="13">
        <v>-1.40351087683081</v>
      </c>
      <c r="M35" s="17">
        <f t="shared" si="44"/>
        <v>-1.405035497</v>
      </c>
      <c r="R35" s="10"/>
    </row>
    <row r="36">
      <c r="A36" s="13" t="s">
        <v>21</v>
      </c>
      <c r="B36" s="17">
        <v>0.125</v>
      </c>
      <c r="C36" s="17">
        <v>0.037037037037037035</v>
      </c>
      <c r="D36" s="13" t="s">
        <v>49</v>
      </c>
      <c r="E36" s="13">
        <v>-452.14096019413</v>
      </c>
      <c r="F36" s="13">
        <v>-452.121290124607</v>
      </c>
      <c r="G36" s="17">
        <f t="shared" si="42"/>
        <v>-452.113008</v>
      </c>
      <c r="H36" s="13">
        <v>-0.491979690551929</v>
      </c>
      <c r="I36" s="13">
        <v>-0.493739712519214</v>
      </c>
      <c r="J36" s="17">
        <f t="shared" si="43"/>
        <v>-0.4944807744</v>
      </c>
      <c r="K36" s="13">
        <v>-1.50134393446406</v>
      </c>
      <c r="L36" s="13">
        <v>-1.50498197043822</v>
      </c>
      <c r="M36" s="17">
        <f t="shared" si="44"/>
        <v>-1.506513775</v>
      </c>
      <c r="R36" s="10"/>
    </row>
    <row r="37">
      <c r="A37" s="13" t="s">
        <v>21</v>
      </c>
      <c r="B37" s="17">
        <v>0.125</v>
      </c>
      <c r="C37" s="17">
        <v>0.037037037037037035</v>
      </c>
      <c r="D37" s="13" t="s">
        <v>50</v>
      </c>
      <c r="E37" s="17">
        <f t="shared" ref="E37:F37" si="45">E36</f>
        <v>-452.1409602</v>
      </c>
      <c r="F37" s="17">
        <f t="shared" si="45"/>
        <v>-452.1212901</v>
      </c>
      <c r="G37" s="17">
        <f t="shared" si="42"/>
        <v>-452.113008</v>
      </c>
      <c r="H37" s="17">
        <f t="shared" ref="H37:I37" si="46">(3^3*H35-4^3*H36)/(3^3-4^3)</f>
        <v>-0.5031428449</v>
      </c>
      <c r="I37" s="17">
        <f t="shared" si="46"/>
        <v>-0.5048941856</v>
      </c>
      <c r="J37" s="17">
        <f t="shared" si="43"/>
        <v>-0.5056315922</v>
      </c>
      <c r="K37" s="17">
        <f t="shared" ref="K37:L37" si="47">(3^3*K35-4^3*K36)/(3^3-4^3)</f>
        <v>-1.575377957</v>
      </c>
      <c r="L37" s="17">
        <f t="shared" si="47"/>
        <v>-1.579028444</v>
      </c>
      <c r="M37" s="17">
        <f t="shared" si="44"/>
        <v>-1.580565491</v>
      </c>
      <c r="R37" s="10"/>
    </row>
    <row r="38">
      <c r="A38" s="13" t="s">
        <v>53</v>
      </c>
      <c r="B38" s="17">
        <v>1.0</v>
      </c>
      <c r="C38" s="17">
        <v>0.125</v>
      </c>
      <c r="D38" s="13" t="s">
        <v>47</v>
      </c>
      <c r="E38" s="13">
        <v>-763.497582848795</v>
      </c>
      <c r="F38" s="13">
        <v>-763.300165397849</v>
      </c>
      <c r="G38" s="17">
        <f t="shared" si="42"/>
        <v>-763.2719629</v>
      </c>
      <c r="H38" s="13">
        <v>-0.617731312186085</v>
      </c>
      <c r="I38" s="13">
        <v>-0.631983014599097</v>
      </c>
      <c r="J38" s="17">
        <f t="shared" si="43"/>
        <v>-0.6340189721</v>
      </c>
      <c r="K38" s="13">
        <v>-1.73161609850072</v>
      </c>
      <c r="L38" s="13">
        <v>-1.76095939632468</v>
      </c>
      <c r="M38" s="17">
        <f t="shared" si="44"/>
        <v>-1.765151296</v>
      </c>
      <c r="R38" s="10"/>
    </row>
    <row r="39">
      <c r="A39" s="13" t="s">
        <v>53</v>
      </c>
      <c r="B39" s="17">
        <v>1.0</v>
      </c>
      <c r="C39" s="17">
        <v>0.125</v>
      </c>
      <c r="D39" s="13" t="s">
        <v>48</v>
      </c>
      <c r="E39" s="13">
        <v>-763.687370155546</v>
      </c>
      <c r="F39" s="13">
        <v>-763.492014006811</v>
      </c>
      <c r="G39" s="17">
        <f t="shared" si="42"/>
        <v>-763.464106</v>
      </c>
      <c r="H39" s="13">
        <v>-0.733388997452758</v>
      </c>
      <c r="I39" s="13">
        <v>-0.749268175461797</v>
      </c>
      <c r="J39" s="17">
        <f t="shared" si="43"/>
        <v>-0.7515366295</v>
      </c>
      <c r="K39" s="13">
        <v>-2.16389977281544</v>
      </c>
      <c r="L39" s="13">
        <v>-2.19614368460018</v>
      </c>
      <c r="M39" s="17">
        <f t="shared" si="44"/>
        <v>-2.200749958</v>
      </c>
      <c r="R39" s="10"/>
    </row>
    <row r="40">
      <c r="A40" s="13" t="s">
        <v>53</v>
      </c>
      <c r="B40" s="17">
        <v>1.0</v>
      </c>
      <c r="C40" s="17">
        <v>0.125</v>
      </c>
      <c r="D40" s="13" t="s">
        <v>49</v>
      </c>
      <c r="E40" s="13">
        <v>-763.734849374407</v>
      </c>
      <c r="F40" s="13">
        <v>-763.539774183618</v>
      </c>
      <c r="G40" s="17">
        <f t="shared" si="42"/>
        <v>-763.5119063</v>
      </c>
      <c r="H40" s="13">
        <v>-0.758245292332445</v>
      </c>
      <c r="I40" s="13">
        <v>-0.774194373058186</v>
      </c>
      <c r="J40" s="17">
        <f t="shared" si="43"/>
        <v>-0.7764728132</v>
      </c>
      <c r="K40" s="13">
        <v>-2.33239431028819</v>
      </c>
      <c r="L40" s="13">
        <v>-2.36513153680551</v>
      </c>
      <c r="M40" s="17">
        <f t="shared" si="44"/>
        <v>-2.369808283</v>
      </c>
      <c r="R40" s="10"/>
    </row>
    <row r="41">
      <c r="A41" s="13" t="s">
        <v>53</v>
      </c>
      <c r="B41" s="17">
        <v>1.0</v>
      </c>
      <c r="C41" s="17">
        <v>0.125</v>
      </c>
      <c r="D41" s="13" t="s">
        <v>50</v>
      </c>
      <c r="E41" s="17">
        <f t="shared" ref="E41:F41" si="48">E40</f>
        <v>-763.7348494</v>
      </c>
      <c r="F41" s="17">
        <f t="shared" si="48"/>
        <v>-763.5397742</v>
      </c>
      <c r="G41" s="17">
        <f t="shared" si="42"/>
        <v>-763.5119063</v>
      </c>
      <c r="H41" s="17">
        <f t="shared" ref="H41:I41" si="49">(3^3*H39-4^3*H40)/(3^3-4^3)</f>
        <v>-0.7763836697</v>
      </c>
      <c r="I41" s="17">
        <f t="shared" si="49"/>
        <v>-0.7923837605</v>
      </c>
      <c r="J41" s="17">
        <f t="shared" si="43"/>
        <v>-0.7946694878</v>
      </c>
      <c r="K41" s="17">
        <f t="shared" ref="K41:L41" si="50">(3^3*K39-4^3*K40)/(3^3-4^3)</f>
        <v>-2.455349784</v>
      </c>
      <c r="L41" s="17">
        <f t="shared" si="50"/>
        <v>-2.488446997</v>
      </c>
      <c r="M41" s="17">
        <f t="shared" si="44"/>
        <v>-2.49317517</v>
      </c>
      <c r="R41" s="10"/>
    </row>
    <row r="42">
      <c r="A42" s="16" t="s">
        <v>91</v>
      </c>
      <c r="B42" s="17">
        <v>0.5</v>
      </c>
      <c r="C42" s="17">
        <v>0.08333333333333333</v>
      </c>
      <c r="D42" s="13" t="s">
        <v>47</v>
      </c>
      <c r="E42" s="13">
        <v>-899.485036942797</v>
      </c>
      <c r="F42" s="13">
        <v>-899.401698312631</v>
      </c>
      <c r="G42" s="17">
        <f t="shared" si="42"/>
        <v>-899.3850306</v>
      </c>
      <c r="H42" s="13">
        <v>-0.825136757948077</v>
      </c>
      <c r="I42" s="13">
        <v>-0.837716025674747</v>
      </c>
      <c r="J42" s="17">
        <f t="shared" si="43"/>
        <v>-0.8402318792</v>
      </c>
      <c r="K42" s="13">
        <v>-2.1567008538163</v>
      </c>
      <c r="L42" s="13">
        <v>-2.17619366117838</v>
      </c>
      <c r="M42" s="17">
        <f t="shared" si="44"/>
        <v>-2.180092223</v>
      </c>
      <c r="R42" s="10"/>
    </row>
    <row r="43">
      <c r="A43" s="16" t="s">
        <v>91</v>
      </c>
      <c r="B43" s="17">
        <v>0.5</v>
      </c>
      <c r="C43" s="17">
        <v>0.08333333333333333</v>
      </c>
      <c r="D43" s="13" t="s">
        <v>48</v>
      </c>
      <c r="E43" s="13">
        <v>-899.698982930779</v>
      </c>
      <c r="F43" s="13">
        <v>-899.615598505413</v>
      </c>
      <c r="G43" s="17">
        <f t="shared" si="42"/>
        <v>-899.5989216</v>
      </c>
      <c r="H43" s="13">
        <v>-0.967345957620964</v>
      </c>
      <c r="I43" s="13">
        <v>-0.981186596872072</v>
      </c>
      <c r="J43" s="17">
        <f t="shared" si="43"/>
        <v>-0.9839547247</v>
      </c>
      <c r="K43" s="13">
        <v>-2.67038256313504</v>
      </c>
      <c r="L43" s="13">
        <v>-2.69167759553865</v>
      </c>
      <c r="M43" s="17">
        <f t="shared" si="44"/>
        <v>-2.695936602</v>
      </c>
      <c r="R43" s="10"/>
    </row>
    <row r="44">
      <c r="A44" s="16" t="s">
        <v>91</v>
      </c>
      <c r="B44" s="17">
        <v>0.5</v>
      </c>
      <c r="C44" s="17">
        <v>0.08333333333333333</v>
      </c>
      <c r="D44" s="13" t="s">
        <v>49</v>
      </c>
      <c r="E44" s="13">
        <v>-899.754243982503</v>
      </c>
      <c r="F44" s="13">
        <v>-899.670913613954</v>
      </c>
      <c r="G44" s="17">
        <f t="shared" si="42"/>
        <v>-899.6542475</v>
      </c>
      <c r="H44" s="13">
        <v>-0.997378893529732</v>
      </c>
      <c r="I44" s="13">
        <v>-1.01127405323803</v>
      </c>
      <c r="J44" s="17">
        <f t="shared" si="43"/>
        <v>-1.014053085</v>
      </c>
      <c r="K44" s="13">
        <v>-2.86891345874634</v>
      </c>
      <c r="L44" s="13">
        <v>-2.8903928644592</v>
      </c>
      <c r="M44" s="17">
        <f t="shared" si="44"/>
        <v>-2.894688746</v>
      </c>
      <c r="R44" s="10"/>
    </row>
    <row r="45">
      <c r="A45" s="16" t="s">
        <v>91</v>
      </c>
      <c r="B45" s="17">
        <v>0.5</v>
      </c>
      <c r="C45" s="17">
        <v>0.08333333333333333</v>
      </c>
      <c r="D45" s="13" t="s">
        <v>50</v>
      </c>
      <c r="E45" s="17">
        <f t="shared" ref="E45:G45" si="51">E44</f>
        <v>-899.754244</v>
      </c>
      <c r="F45" s="17">
        <f t="shared" si="51"/>
        <v>-899.6709136</v>
      </c>
      <c r="G45" s="17">
        <f t="shared" si="51"/>
        <v>-899.6542475</v>
      </c>
      <c r="H45" s="17">
        <f t="shared" ref="H45:I45" si="52">(3^3*H43-4^3*H44)/(3^3-4^3)</f>
        <v>-1.01929482</v>
      </c>
      <c r="I45" s="17">
        <f t="shared" si="52"/>
        <v>-1.033229765</v>
      </c>
      <c r="J45" s="17">
        <f t="shared" si="43"/>
        <v>-1.036016754</v>
      </c>
      <c r="K45" s="17">
        <f t="shared" ref="K45:L45" si="53">(3^3*K43-4^3*K44)/(3^3-4^3)</f>
        <v>-3.013787356</v>
      </c>
      <c r="L45" s="17">
        <f t="shared" si="53"/>
        <v>-3.035401304</v>
      </c>
      <c r="M45" s="17">
        <f t="shared" si="44"/>
        <v>-3.039724094</v>
      </c>
      <c r="R45" s="10"/>
    </row>
    <row r="46">
      <c r="A46" s="13" t="s">
        <v>54</v>
      </c>
      <c r="B46" s="17">
        <v>1.0</v>
      </c>
      <c r="C46" s="17">
        <v>0.125</v>
      </c>
      <c r="D46" s="13" t="s">
        <v>47</v>
      </c>
      <c r="E46" s="13">
        <v>-766.994323691078</v>
      </c>
      <c r="F46" s="13">
        <v>-766.77388384322</v>
      </c>
      <c r="G46" s="17">
        <f t="shared" ref="G46:G63" si="54">E46+(-B46)*(F46-E46)/(C46-B46)</f>
        <v>-766.7423924</v>
      </c>
      <c r="H46" s="13">
        <v>-0.710766374094473</v>
      </c>
      <c r="I46" s="13">
        <v>-0.74922888236449</v>
      </c>
      <c r="J46" s="17">
        <f t="shared" si="43"/>
        <v>-0.7547235264</v>
      </c>
      <c r="K46" s="13">
        <v>-1.88870939513971</v>
      </c>
      <c r="L46" s="13">
        <v>-1.94706945036363</v>
      </c>
      <c r="M46" s="17">
        <f t="shared" si="44"/>
        <v>-1.955406601</v>
      </c>
      <c r="R46" s="10"/>
    </row>
    <row r="47">
      <c r="A47" s="13" t="s">
        <v>54</v>
      </c>
      <c r="B47" s="17">
        <v>1.0</v>
      </c>
      <c r="C47" s="17">
        <v>0.125</v>
      </c>
      <c r="D47" s="13" t="s">
        <v>48</v>
      </c>
      <c r="E47" s="13">
        <v>-767.167153419196</v>
      </c>
      <c r="F47" s="13">
        <v>-766.94633682523</v>
      </c>
      <c r="G47" s="17">
        <f t="shared" si="54"/>
        <v>-766.9147916</v>
      </c>
      <c r="H47" s="13">
        <v>-0.825190011459919</v>
      </c>
      <c r="I47" s="13">
        <v>-0.865738002402076</v>
      </c>
      <c r="J47" s="17">
        <f t="shared" si="43"/>
        <v>-0.8715305725</v>
      </c>
      <c r="K47" s="13">
        <v>-2.32869368998453</v>
      </c>
      <c r="L47" s="13">
        <v>-2.39041613965543</v>
      </c>
      <c r="M47" s="17">
        <f t="shared" si="44"/>
        <v>-2.399233632</v>
      </c>
      <c r="R47" s="10"/>
    </row>
    <row r="48">
      <c r="A48" s="13" t="s">
        <v>54</v>
      </c>
      <c r="B48" s="17">
        <v>1.0</v>
      </c>
      <c r="C48" s="17">
        <v>0.125</v>
      </c>
      <c r="D48" s="13" t="s">
        <v>49</v>
      </c>
      <c r="E48" s="13">
        <v>-767.211102164427</v>
      </c>
      <c r="F48" s="13">
        <v>-766.990289478021</v>
      </c>
      <c r="G48" s="17">
        <f t="shared" si="54"/>
        <v>-766.9587448</v>
      </c>
      <c r="H48" s="13">
        <v>-0.848898274379025</v>
      </c>
      <c r="I48" s="13">
        <v>-0.889580736824151</v>
      </c>
      <c r="J48" s="17">
        <f t="shared" si="43"/>
        <v>-0.8953925172</v>
      </c>
      <c r="K48" s="13">
        <v>-2.49612977424113</v>
      </c>
      <c r="L48" s="13">
        <v>-2.55840803997428</v>
      </c>
      <c r="M48" s="17">
        <f t="shared" si="44"/>
        <v>-2.567304935</v>
      </c>
      <c r="R48" s="10"/>
    </row>
    <row r="49">
      <c r="A49" s="13" t="s">
        <v>54</v>
      </c>
      <c r="B49" s="17">
        <v>1.0</v>
      </c>
      <c r="C49" s="17">
        <v>0.125</v>
      </c>
      <c r="D49" s="13" t="s">
        <v>50</v>
      </c>
      <c r="E49" s="17">
        <f t="shared" ref="E49:F49" si="55">E48</f>
        <v>-767.2111022</v>
      </c>
      <c r="F49" s="17">
        <f t="shared" si="55"/>
        <v>-766.9902895</v>
      </c>
      <c r="G49" s="17">
        <f t="shared" si="54"/>
        <v>-766.9587448</v>
      </c>
      <c r="H49" s="17">
        <f t="shared" ref="H49:I49" si="56">(3^3*H47-4^3*H48)/(3^3-4^3)</f>
        <v>-0.8661988987</v>
      </c>
      <c r="I49" s="13">
        <f t="shared" si="56"/>
        <v>-0.906979489</v>
      </c>
      <c r="J49" s="17">
        <f t="shared" si="43"/>
        <v>-0.9128052876</v>
      </c>
      <c r="K49" s="17">
        <f t="shared" ref="K49:L49" si="57">(3^3*K47-4^3*K48)/(3^3-4^3)</f>
        <v>-2.618312863</v>
      </c>
      <c r="L49" s="13">
        <f t="shared" si="57"/>
        <v>-2.680996724</v>
      </c>
      <c r="M49" s="17">
        <f t="shared" si="44"/>
        <v>-2.689951561</v>
      </c>
      <c r="R49" s="10"/>
    </row>
    <row r="50">
      <c r="A50" s="13" t="s">
        <v>55</v>
      </c>
      <c r="B50" s="17">
        <v>1.0</v>
      </c>
      <c r="C50" s="17">
        <v>0.125</v>
      </c>
      <c r="D50" s="13" t="s">
        <v>47</v>
      </c>
      <c r="E50" s="13">
        <v>-1505.93510078832</v>
      </c>
      <c r="F50" s="13">
        <v>-1505.75261419037</v>
      </c>
      <c r="G50" s="17">
        <f t="shared" si="54"/>
        <v>-1505.726545</v>
      </c>
      <c r="H50" s="13">
        <v>-1.12146730319209</v>
      </c>
      <c r="I50" s="13">
        <v>-1.13762730915526</v>
      </c>
      <c r="J50" s="17">
        <f t="shared" si="43"/>
        <v>-1.139935881</v>
      </c>
      <c r="K50" s="13">
        <v>-2.86790748652791</v>
      </c>
      <c r="L50" s="13">
        <v>-2.89513152833369</v>
      </c>
      <c r="M50" s="17">
        <f t="shared" si="44"/>
        <v>-2.899020677</v>
      </c>
      <c r="R50" s="10"/>
    </row>
    <row r="51">
      <c r="A51" s="13" t="s">
        <v>55</v>
      </c>
      <c r="B51" s="17">
        <v>1.0</v>
      </c>
      <c r="C51" s="17">
        <v>0.125</v>
      </c>
      <c r="D51" s="13" t="s">
        <v>48</v>
      </c>
      <c r="E51" s="13">
        <v>-1506.34798534835</v>
      </c>
      <c r="F51" s="13">
        <v>-1506.16679288828</v>
      </c>
      <c r="G51" s="17">
        <f t="shared" si="54"/>
        <v>-1506.140908</v>
      </c>
      <c r="H51" s="13">
        <v>-1.36096080847236</v>
      </c>
      <c r="I51" s="13">
        <v>-1.38106292989247</v>
      </c>
      <c r="J51" s="17">
        <f t="shared" si="43"/>
        <v>-1.383934662</v>
      </c>
      <c r="K51" s="13">
        <v>-3.66516624986355</v>
      </c>
      <c r="L51" s="13">
        <v>-3.69812539204545</v>
      </c>
      <c r="M51" s="17">
        <f t="shared" si="44"/>
        <v>-3.702833841</v>
      </c>
      <c r="R51" s="10"/>
    </row>
    <row r="52">
      <c r="A52" s="13" t="s">
        <v>55</v>
      </c>
      <c r="B52" s="17">
        <v>1.0</v>
      </c>
      <c r="C52" s="17">
        <v>0.125</v>
      </c>
      <c r="D52" s="13" t="s">
        <v>49</v>
      </c>
      <c r="E52" s="13">
        <v>-1506.45035339926</v>
      </c>
      <c r="F52" s="13">
        <v>-1506.26921491817</v>
      </c>
      <c r="G52" s="17">
        <f t="shared" si="54"/>
        <v>-1506.243338</v>
      </c>
      <c r="H52" s="13">
        <v>-1.41258966055534</v>
      </c>
      <c r="I52" s="13">
        <v>-1.43320273220013</v>
      </c>
      <c r="J52" s="17">
        <f t="shared" si="43"/>
        <v>-1.436147457</v>
      </c>
      <c r="K52" s="13">
        <v>-3.98675385641407</v>
      </c>
      <c r="L52" s="13">
        <v>-4.02068672564094</v>
      </c>
      <c r="M52" s="17">
        <f t="shared" si="44"/>
        <v>-4.025534278</v>
      </c>
      <c r="R52" s="10"/>
    </row>
    <row r="53">
      <c r="A53" s="13" t="s">
        <v>55</v>
      </c>
      <c r="B53" s="17">
        <v>1.0</v>
      </c>
      <c r="C53" s="17">
        <v>0.125</v>
      </c>
      <c r="D53" s="13" t="s">
        <v>50</v>
      </c>
      <c r="E53" s="17">
        <f t="shared" ref="E53:F53" si="58">E52</f>
        <v>-1506.450353</v>
      </c>
      <c r="F53" s="17">
        <f t="shared" si="58"/>
        <v>-1506.269215</v>
      </c>
      <c r="G53" s="17">
        <f t="shared" si="54"/>
        <v>-1506.243338</v>
      </c>
      <c r="H53" s="17">
        <f t="shared" ref="H53:I53" si="59">(3^3*H51-4^3*H52)/(3^3-4^3)</f>
        <v>-1.450264769</v>
      </c>
      <c r="I53" s="17">
        <f t="shared" si="59"/>
        <v>-1.471250696</v>
      </c>
      <c r="J53" s="17">
        <f t="shared" si="43"/>
        <v>-1.474248686</v>
      </c>
      <c r="K53" s="17">
        <f t="shared" ref="K53:L53" si="60">(3^3*K51-4^3*K52)/(3^3-4^3)</f>
        <v>-4.221425894</v>
      </c>
      <c r="L53" s="17">
        <f t="shared" si="60"/>
        <v>-4.25606932</v>
      </c>
      <c r="M53" s="17">
        <f t="shared" si="44"/>
        <v>-4.261018381</v>
      </c>
      <c r="R53" s="10"/>
    </row>
    <row r="54">
      <c r="A54" s="13" t="s">
        <v>56</v>
      </c>
      <c r="B54" s="17">
        <v>1.0</v>
      </c>
      <c r="C54" s="17">
        <v>0.125</v>
      </c>
      <c r="D54" s="13" t="s">
        <v>47</v>
      </c>
      <c r="E54" s="13">
        <v>-753.06684647228</v>
      </c>
      <c r="F54" s="13">
        <v>-752.883791086452</v>
      </c>
      <c r="G54" s="17">
        <f t="shared" si="54"/>
        <v>-752.8576403</v>
      </c>
      <c r="H54" s="13">
        <v>-0.554322734158574</v>
      </c>
      <c r="I54" s="13">
        <v>-0.569656207412956</v>
      </c>
      <c r="J54" s="17">
        <f t="shared" si="43"/>
        <v>-0.5718467036</v>
      </c>
      <c r="K54" s="13">
        <v>-1.42143241636956</v>
      </c>
      <c r="L54" s="13">
        <v>-1.44912524946507</v>
      </c>
      <c r="M54" s="17">
        <f t="shared" si="44"/>
        <v>-1.453081368</v>
      </c>
      <c r="R54" s="10"/>
    </row>
    <row r="55">
      <c r="A55" s="13" t="s">
        <v>56</v>
      </c>
      <c r="B55" s="17">
        <v>1.0</v>
      </c>
      <c r="C55" s="17">
        <v>0.125</v>
      </c>
      <c r="D55" s="13" t="s">
        <v>48</v>
      </c>
      <c r="E55" s="13">
        <v>-753.275349665681</v>
      </c>
      <c r="F55" s="13">
        <v>-753.092200371526</v>
      </c>
      <c r="G55" s="17">
        <f t="shared" si="54"/>
        <v>-753.0660362</v>
      </c>
      <c r="H55" s="13">
        <v>-0.671635453281352</v>
      </c>
      <c r="I55" s="13">
        <v>-0.690774436202992</v>
      </c>
      <c r="J55" s="17">
        <f t="shared" si="43"/>
        <v>-0.6935085766</v>
      </c>
      <c r="K55" s="13">
        <v>-1.81727516484506</v>
      </c>
      <c r="L55" s="13">
        <v>-1.84995841794601</v>
      </c>
      <c r="M55" s="17">
        <f t="shared" si="44"/>
        <v>-1.854627454</v>
      </c>
      <c r="R55" s="10"/>
    </row>
    <row r="56">
      <c r="A56" s="13" t="s">
        <v>56</v>
      </c>
      <c r="B56" s="17">
        <v>1.0</v>
      </c>
      <c r="C56" s="17">
        <v>0.125</v>
      </c>
      <c r="D56" s="13" t="s">
        <v>49</v>
      </c>
      <c r="E56" s="13">
        <v>-753.326101769164</v>
      </c>
      <c r="F56" s="13">
        <v>-753.143090377137</v>
      </c>
      <c r="G56" s="17">
        <f t="shared" si="54"/>
        <v>-753.1169459</v>
      </c>
      <c r="H56" s="13">
        <v>-0.696938386002115</v>
      </c>
      <c r="I56" s="13">
        <v>-0.716718643753206</v>
      </c>
      <c r="J56" s="17">
        <f t="shared" si="43"/>
        <v>-0.7195443949</v>
      </c>
      <c r="K56" s="13">
        <v>-1.97716936082477</v>
      </c>
      <c r="L56" s="13">
        <v>-2.01091832349012</v>
      </c>
      <c r="M56" s="17">
        <f t="shared" si="44"/>
        <v>-2.015739604</v>
      </c>
      <c r="R56" s="10"/>
    </row>
    <row r="57">
      <c r="A57" s="13" t="s">
        <v>56</v>
      </c>
      <c r="B57" s="17">
        <v>1.0</v>
      </c>
      <c r="C57" s="17">
        <v>0.125</v>
      </c>
      <c r="D57" s="13" t="s">
        <v>50</v>
      </c>
      <c r="E57" s="17">
        <f t="shared" ref="E57:F57" si="61">E56</f>
        <v>-753.3261018</v>
      </c>
      <c r="F57" s="17">
        <f t="shared" si="61"/>
        <v>-753.1430904</v>
      </c>
      <c r="G57" s="17">
        <f t="shared" si="54"/>
        <v>-753.1169459</v>
      </c>
      <c r="H57" s="17">
        <f t="shared" ref="H57:I57" si="62">(3^3*H55-4^3*H56)/(3^3-4^3)</f>
        <v>-0.7154026883</v>
      </c>
      <c r="I57" s="17">
        <f t="shared" si="62"/>
        <v>-0.7356509033</v>
      </c>
      <c r="J57" s="17">
        <f t="shared" si="43"/>
        <v>-0.7385435055</v>
      </c>
      <c r="K57" s="17">
        <f t="shared" ref="K57:L57" si="63">(3^3*K55-4^3*K56)/(3^3-4^3)</f>
        <v>-2.093848909</v>
      </c>
      <c r="L57" s="17">
        <f t="shared" si="63"/>
        <v>-2.128375552</v>
      </c>
      <c r="M57" s="17">
        <f t="shared" si="44"/>
        <v>-2.133307929</v>
      </c>
      <c r="R57" s="10"/>
    </row>
    <row r="58">
      <c r="A58" s="16" t="s">
        <v>28</v>
      </c>
      <c r="B58" s="17">
        <v>0.16666666666666666</v>
      </c>
      <c r="C58" s="17">
        <v>0.041666666666666664</v>
      </c>
      <c r="D58" s="13" t="s">
        <v>47</v>
      </c>
      <c r="E58" s="13">
        <v>-525.441961793084</v>
      </c>
      <c r="F58" s="13">
        <v>-525.412978972254</v>
      </c>
      <c r="G58" s="17">
        <f t="shared" si="54"/>
        <v>-525.403318</v>
      </c>
      <c r="H58" s="13">
        <v>-0.482936019533664</v>
      </c>
      <c r="I58" s="13">
        <v>-0.487984586771853</v>
      </c>
      <c r="J58" s="17">
        <f t="shared" si="43"/>
        <v>-0.4896674425</v>
      </c>
      <c r="K58" s="13">
        <v>-1.24915055134258</v>
      </c>
      <c r="L58" s="13">
        <v>-1.2567977020799</v>
      </c>
      <c r="M58" s="17">
        <f t="shared" si="44"/>
        <v>-1.259346752</v>
      </c>
      <c r="R58" s="10"/>
    </row>
    <row r="59">
      <c r="A59" s="16" t="s">
        <v>28</v>
      </c>
      <c r="B59" s="17">
        <v>0.16666666666666666</v>
      </c>
      <c r="C59" s="17">
        <v>0.041666666666666664</v>
      </c>
      <c r="D59" s="13" t="s">
        <v>48</v>
      </c>
      <c r="E59" s="13">
        <v>-525.560456802808</v>
      </c>
      <c r="F59" s="13">
        <v>-525.531346631773</v>
      </c>
      <c r="G59" s="17">
        <f t="shared" si="54"/>
        <v>-525.5216432</v>
      </c>
      <c r="H59" s="13">
        <v>-0.563365950121011</v>
      </c>
      <c r="I59" s="13">
        <v>-0.568636598640326</v>
      </c>
      <c r="J59" s="17">
        <f t="shared" si="43"/>
        <v>-0.5703934815</v>
      </c>
      <c r="K59" s="13">
        <v>-1.54471810037769</v>
      </c>
      <c r="L59" s="13">
        <v>-1.55279221072486</v>
      </c>
      <c r="M59" s="17">
        <f t="shared" si="44"/>
        <v>-1.555483581</v>
      </c>
      <c r="R59" s="10"/>
    </row>
    <row r="60">
      <c r="A60" s="16" t="s">
        <v>28</v>
      </c>
      <c r="B60" s="17">
        <v>0.16666666666666666</v>
      </c>
      <c r="C60" s="17">
        <v>0.041666666666666664</v>
      </c>
      <c r="D60" s="13" t="s">
        <v>49</v>
      </c>
      <c r="E60" s="13">
        <v>-525.591861554463</v>
      </c>
      <c r="F60" s="13">
        <v>-525.562747275136</v>
      </c>
      <c r="G60" s="17">
        <f t="shared" si="54"/>
        <v>-525.5530425</v>
      </c>
      <c r="H60" s="13">
        <v>-0.580545777970504</v>
      </c>
      <c r="I60" s="13">
        <v>-0.585795192262024</v>
      </c>
      <c r="J60" s="17">
        <f t="shared" si="43"/>
        <v>-0.587544997</v>
      </c>
      <c r="K60" s="13">
        <v>-1.65859969335042</v>
      </c>
      <c r="L60" s="13">
        <v>-1.66670268636104</v>
      </c>
      <c r="M60" s="17">
        <f t="shared" si="44"/>
        <v>-1.669403684</v>
      </c>
      <c r="R60" s="10"/>
    </row>
    <row r="61">
      <c r="A61" s="16" t="s">
        <v>28</v>
      </c>
      <c r="B61" s="17">
        <v>0.16666666666666666</v>
      </c>
      <c r="C61" s="17">
        <v>0.041666666666666664</v>
      </c>
      <c r="D61" s="13" t="s">
        <v>50</v>
      </c>
      <c r="E61" s="17">
        <f t="shared" ref="E61:F61" si="64">E60</f>
        <v>-525.5918616</v>
      </c>
      <c r="F61" s="17">
        <f t="shared" si="64"/>
        <v>-525.5627473</v>
      </c>
      <c r="G61" s="17">
        <f t="shared" si="54"/>
        <v>-525.5530425</v>
      </c>
      <c r="H61" s="17">
        <f t="shared" ref="H61:I61" si="65">(3^3*H59-4^3*H60)/(3^3-4^3)</f>
        <v>-0.5930824091</v>
      </c>
      <c r="I61" s="17">
        <f t="shared" si="65"/>
        <v>-0.5983163281</v>
      </c>
      <c r="J61" s="17">
        <f t="shared" si="43"/>
        <v>-0.6000609678</v>
      </c>
      <c r="K61" s="17">
        <f t="shared" ref="K61:L61" si="66">(3^3*K59-4^3*K60)/(3^3-4^3)</f>
        <v>-1.741702477</v>
      </c>
      <c r="L61" s="17">
        <f t="shared" si="66"/>
        <v>-1.749826547</v>
      </c>
      <c r="M61" s="17">
        <f t="shared" si="44"/>
        <v>-1.75253457</v>
      </c>
      <c r="R61" s="10"/>
    </row>
    <row r="62">
      <c r="A62" s="22" t="s">
        <v>35</v>
      </c>
      <c r="B62" s="22">
        <v>1.0</v>
      </c>
      <c r="C62" s="22">
        <f t="shared" ref="C62:C65" si="67">1/8</f>
        <v>0.125</v>
      </c>
      <c r="D62" s="1" t="s">
        <v>47</v>
      </c>
      <c r="E62" s="23">
        <v>-1798.78590795445</v>
      </c>
      <c r="F62" s="22">
        <v>-1798.60448253747</v>
      </c>
      <c r="G62" s="17">
        <f t="shared" si="54"/>
        <v>-1798.578565</v>
      </c>
      <c r="H62" s="23">
        <v>-1.65346765323695</v>
      </c>
      <c r="I62" s="22">
        <v>-1.68226826284184</v>
      </c>
      <c r="J62" s="17">
        <f t="shared" si="43"/>
        <v>-1.686382636</v>
      </c>
      <c r="K62" s="23">
        <v>-4.328623159773</v>
      </c>
      <c r="L62" s="1">
        <v>-4.37229298924592</v>
      </c>
      <c r="M62" s="17">
        <f t="shared" si="44"/>
        <v>-4.378531536</v>
      </c>
      <c r="R62" s="10"/>
    </row>
    <row r="63">
      <c r="A63" s="22" t="s">
        <v>35</v>
      </c>
      <c r="B63" s="22">
        <v>1.0</v>
      </c>
      <c r="C63" s="22">
        <f t="shared" si="67"/>
        <v>0.125</v>
      </c>
      <c r="D63" s="1" t="s">
        <v>48</v>
      </c>
      <c r="E63" s="23">
        <v>-1799.21660909769</v>
      </c>
      <c r="F63" s="22">
        <v>-1799.03441549722</v>
      </c>
      <c r="G63" s="17">
        <f t="shared" si="54"/>
        <v>-1799.008388</v>
      </c>
      <c r="H63" s="22">
        <v>-1.93677409336268</v>
      </c>
      <c r="I63" s="22"/>
      <c r="J63" s="22">
        <f t="shared" ref="J63:J64" si="68">J62-H62+H63</f>
        <v>-1.969689076</v>
      </c>
      <c r="K63" s="22">
        <v>-5.35260410489481</v>
      </c>
      <c r="M63" s="17">
        <f t="shared" ref="M63:M64" si="69">M62-K62+K63</f>
        <v>-5.402512481</v>
      </c>
      <c r="R63" s="10"/>
    </row>
    <row r="64">
      <c r="A64" s="1" t="s">
        <v>35</v>
      </c>
      <c r="B64" s="22">
        <v>1.0</v>
      </c>
      <c r="C64" s="22">
        <f t="shared" si="67"/>
        <v>0.125</v>
      </c>
      <c r="D64" s="1" t="s">
        <v>49</v>
      </c>
      <c r="E64" s="1">
        <v>-1799.32769401667</v>
      </c>
      <c r="G64" s="19">
        <f>G63-E63+E64</f>
        <v>-1799.119473</v>
      </c>
      <c r="H64" s="1">
        <v>-1.99752633031689</v>
      </c>
      <c r="J64" s="24">
        <f t="shared" si="68"/>
        <v>-2.030441313</v>
      </c>
      <c r="K64" s="25">
        <v>-5.74993948792816</v>
      </c>
      <c r="M64" s="19">
        <f t="shared" si="69"/>
        <v>-5.799847864</v>
      </c>
      <c r="R64" s="10"/>
    </row>
    <row r="65">
      <c r="A65" s="22" t="s">
        <v>35</v>
      </c>
      <c r="B65" s="22">
        <v>1.0</v>
      </c>
      <c r="C65" s="22">
        <f t="shared" si="67"/>
        <v>0.125</v>
      </c>
      <c r="D65" s="1" t="s">
        <v>50</v>
      </c>
      <c r="E65" s="26">
        <f>E64</f>
        <v>-1799.327694</v>
      </c>
      <c r="F65" s="26"/>
      <c r="G65" s="24">
        <f>G63-E63+E65</f>
        <v>-1799.119473</v>
      </c>
      <c r="H65" s="27">
        <f>(3^3*H63-4^3*H64)/(3^3-4^3)</f>
        <v>-2.041859044</v>
      </c>
      <c r="I65" s="27"/>
      <c r="J65" s="28">
        <f t="shared" ref="J65:K65" si="70">(3^3*J63-4^3*J64)/(3^3-4^3)</f>
        <v>-2.074774026</v>
      </c>
      <c r="K65" s="28">
        <f t="shared" si="70"/>
        <v>-6.03988693</v>
      </c>
      <c r="L65" s="27"/>
      <c r="M65" s="28">
        <f>(3^3*M63-4^3*M64)/(3^3-4^3)</f>
        <v>-6.089795306</v>
      </c>
      <c r="R65" s="10"/>
    </row>
    <row r="66">
      <c r="A66" s="13" t="s">
        <v>57</v>
      </c>
      <c r="B66" s="17">
        <v>1.0</v>
      </c>
      <c r="C66" s="17">
        <v>0.125</v>
      </c>
      <c r="D66" s="13" t="s">
        <v>47</v>
      </c>
      <c r="E66" s="13">
        <v>-909.274656142214</v>
      </c>
      <c r="F66" s="13">
        <v>-909.08232646717</v>
      </c>
      <c r="G66" s="17">
        <f t="shared" ref="G66:G71" si="71">E66+(-B66)*(F66-E66)/(C66-B66)</f>
        <v>-909.0548508</v>
      </c>
      <c r="H66" s="13">
        <v>-0.699105389229503</v>
      </c>
      <c r="I66" s="13">
        <v>-0.712554041016094</v>
      </c>
      <c r="J66" s="17">
        <f t="shared" ref="J66:J71" si="72">H66+(-B66)*(I66-H66)/(C66-B66)</f>
        <v>-0.714475277</v>
      </c>
      <c r="K66" s="13">
        <v>-1.8646663610972</v>
      </c>
      <c r="L66" s="13">
        <v>-1.88914845266905</v>
      </c>
      <c r="M66" s="17">
        <f t="shared" ref="M66:M71" si="73">K66+(-B66)*(L66-K66)/(C66-B66)</f>
        <v>-1.892645894</v>
      </c>
      <c r="R66" s="10"/>
    </row>
    <row r="67">
      <c r="A67" s="13" t="s">
        <v>57</v>
      </c>
      <c r="B67" s="17">
        <v>1.0</v>
      </c>
      <c r="C67" s="17">
        <v>0.125</v>
      </c>
      <c r="D67" s="13" t="s">
        <v>48</v>
      </c>
      <c r="E67" s="13">
        <v>-909.521156068519</v>
      </c>
      <c r="F67" s="13">
        <v>-909.326270026606</v>
      </c>
      <c r="G67" s="17">
        <f t="shared" si="71"/>
        <v>-909.2984292</v>
      </c>
      <c r="H67" s="13">
        <v>-0.841711977257773</v>
      </c>
      <c r="I67" s="13">
        <v>-0.858300499574036</v>
      </c>
      <c r="J67" s="17">
        <f t="shared" si="72"/>
        <v>-0.8606702885</v>
      </c>
      <c r="K67" s="13">
        <v>-2.36331451246093</v>
      </c>
      <c r="L67" s="13">
        <v>-2.39280383583205</v>
      </c>
      <c r="M67" s="17">
        <f t="shared" si="73"/>
        <v>-2.397016596</v>
      </c>
      <c r="R67" s="10"/>
    </row>
    <row r="68">
      <c r="A68" s="13" t="s">
        <v>57</v>
      </c>
      <c r="B68" s="17">
        <v>1.0</v>
      </c>
      <c r="C68" s="17">
        <v>0.125</v>
      </c>
      <c r="D68" s="13" t="s">
        <v>49</v>
      </c>
      <c r="E68" s="13">
        <v>-909.580482175743</v>
      </c>
      <c r="F68" s="13">
        <v>-909.385663835928</v>
      </c>
      <c r="G68" s="17">
        <f t="shared" si="71"/>
        <v>-909.3578326</v>
      </c>
      <c r="H68" s="13">
        <v>-0.872162145920212</v>
      </c>
      <c r="I68" s="13">
        <v>-0.889048912130296</v>
      </c>
      <c r="J68" s="17">
        <f t="shared" si="72"/>
        <v>-0.8914613073</v>
      </c>
      <c r="K68" s="13">
        <v>-2.56119169987275</v>
      </c>
      <c r="L68" s="13">
        <v>-2.59150023303038</v>
      </c>
      <c r="M68" s="17">
        <f t="shared" si="73"/>
        <v>-2.595830023</v>
      </c>
      <c r="R68" s="10"/>
    </row>
    <row r="69">
      <c r="A69" s="13" t="s">
        <v>57</v>
      </c>
      <c r="B69" s="17">
        <v>1.0</v>
      </c>
      <c r="C69" s="17">
        <v>0.125</v>
      </c>
      <c r="D69" s="13" t="s">
        <v>50</v>
      </c>
      <c r="E69" s="17">
        <f t="shared" ref="E69:F69" si="74">E68</f>
        <v>-909.5804822</v>
      </c>
      <c r="F69" s="17">
        <f t="shared" si="74"/>
        <v>-909.3856638</v>
      </c>
      <c r="G69" s="17">
        <f t="shared" si="71"/>
        <v>-909.3578326</v>
      </c>
      <c r="H69" s="17">
        <f t="shared" ref="H69:I69" si="75">(3^3*H67-4^3*H68)/(3^3-4^3)</f>
        <v>-0.8943825393</v>
      </c>
      <c r="I69" s="17">
        <f t="shared" si="75"/>
        <v>-0.9114869429</v>
      </c>
      <c r="J69" s="17">
        <f t="shared" si="72"/>
        <v>-0.9139304291</v>
      </c>
      <c r="K69" s="17">
        <f t="shared" ref="K69:L69" si="76">(3^3*K67-4^3*K68)/(3^3-4^3)</f>
        <v>-2.705588566</v>
      </c>
      <c r="L69" s="17">
        <f t="shared" si="76"/>
        <v>-2.736494901</v>
      </c>
      <c r="M69" s="17">
        <f t="shared" si="73"/>
        <v>-2.740910092</v>
      </c>
      <c r="R69" s="10"/>
    </row>
    <row r="70">
      <c r="A70" s="13" t="s">
        <v>30</v>
      </c>
      <c r="B70" s="17">
        <v>1.0</v>
      </c>
      <c r="C70" s="17">
        <v>0.125</v>
      </c>
      <c r="D70" s="13" t="s">
        <v>47</v>
      </c>
      <c r="E70" s="13">
        <v>-1672.50601644431</v>
      </c>
      <c r="F70" s="13">
        <v>-1672.35511124926</v>
      </c>
      <c r="G70" s="17">
        <f t="shared" si="71"/>
        <v>-1672.333553</v>
      </c>
      <c r="H70" s="13">
        <v>-1.45945428123296</v>
      </c>
      <c r="I70" s="13">
        <v>-1.48285231785886</v>
      </c>
      <c r="J70" s="17">
        <f t="shared" si="72"/>
        <v>-1.486194895</v>
      </c>
      <c r="K70" s="13">
        <v>-3.75726100590045</v>
      </c>
      <c r="L70" s="13">
        <v>-3.79230823396914</v>
      </c>
      <c r="M70" s="17">
        <f t="shared" si="73"/>
        <v>-3.797314981</v>
      </c>
      <c r="R70" s="10"/>
    </row>
    <row r="71">
      <c r="A71" s="13" t="s">
        <v>30</v>
      </c>
      <c r="B71" s="17">
        <v>1.0</v>
      </c>
      <c r="C71" s="17">
        <v>0.125</v>
      </c>
      <c r="D71" s="13" t="s">
        <v>48</v>
      </c>
      <c r="E71" s="13">
        <v>-1672.88732957235</v>
      </c>
      <c r="F71" s="13">
        <v>-1672.73582333807</v>
      </c>
      <c r="G71" s="17">
        <f t="shared" si="71"/>
        <v>-1672.71418</v>
      </c>
      <c r="H71" s="13">
        <v>-1.70939009284506</v>
      </c>
      <c r="I71" s="13">
        <v>-1.73608836075001</v>
      </c>
      <c r="J71" s="17">
        <f t="shared" si="72"/>
        <v>-1.739902399</v>
      </c>
      <c r="K71" s="13">
        <v>-4.67156669239801</v>
      </c>
      <c r="L71" s="13">
        <v>-4.71112999398706</v>
      </c>
      <c r="M71" s="17">
        <f t="shared" si="73"/>
        <v>-4.716781894</v>
      </c>
      <c r="R71" s="10"/>
    </row>
    <row r="72">
      <c r="A72" s="13" t="s">
        <v>30</v>
      </c>
      <c r="B72" s="17">
        <v>1.0</v>
      </c>
      <c r="C72" s="17">
        <v>0.125</v>
      </c>
      <c r="D72" s="13" t="s">
        <v>49</v>
      </c>
      <c r="E72" s="13">
        <v>-1672.98892313598</v>
      </c>
      <c r="F72" s="13"/>
      <c r="G72" s="19">
        <f>G71-E71+E72</f>
        <v>-1672.815773</v>
      </c>
      <c r="H72" s="13">
        <v>-1.7636462073493</v>
      </c>
      <c r="I72" s="13"/>
      <c r="J72" s="29">
        <f t="shared" ref="J72:J73" si="78">$J$71-$H$71+H72</f>
        <v>-1.794158514</v>
      </c>
      <c r="K72" s="13">
        <v>-5.02945860188343</v>
      </c>
      <c r="L72" s="13"/>
      <c r="M72" s="29">
        <f t="shared" ref="M72:M73" si="79">$M$71-$K$71+K72</f>
        <v>-5.074673804</v>
      </c>
      <c r="R72" s="10"/>
    </row>
    <row r="73">
      <c r="A73" s="13" t="s">
        <v>30</v>
      </c>
      <c r="B73" s="17">
        <v>1.0</v>
      </c>
      <c r="C73" s="17">
        <v>0.125</v>
      </c>
      <c r="D73" s="13" t="s">
        <v>50</v>
      </c>
      <c r="E73" s="17">
        <f t="shared" ref="E73:F73" si="77">E72</f>
        <v>-1672.988923</v>
      </c>
      <c r="F73" s="17" t="str">
        <f t="shared" si="77"/>
        <v/>
      </c>
      <c r="G73" s="19">
        <f>G71-E71+E73</f>
        <v>-1672.815773</v>
      </c>
      <c r="H73" s="17">
        <f>(3^3*H71-4^3*H72)/(3^3-4^3)</f>
        <v>-1.803238507</v>
      </c>
      <c r="I73" s="17"/>
      <c r="J73" s="29">
        <f t="shared" si="78"/>
        <v>-1.833750813</v>
      </c>
      <c r="K73" s="17">
        <f>(3^3*K71-4^3*K72)/(3^3-4^3)</f>
        <v>-5.290622968</v>
      </c>
      <c r="L73" s="17"/>
      <c r="M73" s="29">
        <f t="shared" si="79"/>
        <v>-5.33583817</v>
      </c>
      <c r="R73" s="10"/>
    </row>
    <row r="74">
      <c r="A74" s="22" t="s">
        <v>36</v>
      </c>
      <c r="B74" s="22">
        <v>1.0</v>
      </c>
      <c r="C74" s="22">
        <f t="shared" ref="C74:C77" si="80">1/8</f>
        <v>0.125</v>
      </c>
      <c r="D74" s="22" t="s">
        <v>47</v>
      </c>
      <c r="E74" s="1">
        <v>-2050.30645116215</v>
      </c>
      <c r="F74" s="23">
        <v>-2050.138708893</v>
      </c>
      <c r="G74" s="26">
        <f t="shared" ref="G74:G75" si="81">G64-E64+E74</f>
        <v>-2050.09823</v>
      </c>
      <c r="H74" s="22">
        <v>-1.54278723742271</v>
      </c>
      <c r="I74" s="22">
        <v>-1.55584726413425</v>
      </c>
      <c r="J74" s="30">
        <f>H74+(-B74)*(I74-H74)/(C74-B74)</f>
        <v>-1.557712982</v>
      </c>
      <c r="K74" s="22">
        <v>-4.33797885218452</v>
      </c>
      <c r="L74" s="22">
        <v>-4.36436085026243</v>
      </c>
      <c r="M74" s="30">
        <f>K74+(-B74)*(L74-K74)/(C74-B74)</f>
        <v>-4.368129707</v>
      </c>
      <c r="R74" s="10"/>
    </row>
    <row r="75">
      <c r="A75" s="22" t="s">
        <v>36</v>
      </c>
      <c r="B75" s="22">
        <v>1.0</v>
      </c>
      <c r="C75" s="22">
        <f t="shared" si="80"/>
        <v>0.125</v>
      </c>
      <c r="D75" s="22" t="s">
        <v>48</v>
      </c>
      <c r="E75" s="1">
        <v>-2050.88633399129</v>
      </c>
      <c r="F75" s="23">
        <v>-2050.71869040345</v>
      </c>
      <c r="G75" s="26">
        <f t="shared" si="81"/>
        <v>-2050.678113</v>
      </c>
      <c r="H75" s="22">
        <v>-1.87866184063144</v>
      </c>
      <c r="I75" s="26"/>
      <c r="J75" s="26">
        <f t="shared" ref="J75:J76" si="82">J74-H74+H75</f>
        <v>-1.893587585</v>
      </c>
      <c r="K75" s="22">
        <v>-5.49622285907219</v>
      </c>
      <c r="L75" s="26"/>
      <c r="M75" s="26">
        <f t="shared" ref="M75:M76" si="83">M74-K74+K75</f>
        <v>-5.526373714</v>
      </c>
      <c r="R75" s="10"/>
    </row>
    <row r="76">
      <c r="A76" s="1" t="s">
        <v>36</v>
      </c>
      <c r="B76" s="22">
        <v>1.0</v>
      </c>
      <c r="C76" s="22">
        <f t="shared" si="80"/>
        <v>0.125</v>
      </c>
      <c r="D76" s="1" t="s">
        <v>49</v>
      </c>
      <c r="E76" s="1">
        <v>-2051.0177983696</v>
      </c>
      <c r="G76" s="24">
        <f t="shared" ref="G76:G77" si="84">G75-E75+E76</f>
        <v>-2050.809577</v>
      </c>
      <c r="H76" s="1">
        <v>-1.94913834758296</v>
      </c>
      <c r="J76" s="24">
        <f t="shared" si="82"/>
        <v>-1.964064092</v>
      </c>
      <c r="K76" s="1">
        <v>-5.94740789459048</v>
      </c>
      <c r="M76" s="24">
        <f t="shared" si="83"/>
        <v>-5.97755875</v>
      </c>
      <c r="R76" s="10"/>
    </row>
    <row r="77">
      <c r="A77" s="22" t="s">
        <v>36</v>
      </c>
      <c r="B77" s="22">
        <v>1.0</v>
      </c>
      <c r="C77" s="22">
        <f t="shared" si="80"/>
        <v>0.125</v>
      </c>
      <c r="D77" s="22" t="s">
        <v>50</v>
      </c>
      <c r="E77" s="5">
        <f>E76</f>
        <v>-2051.017798</v>
      </c>
      <c r="F77" s="26"/>
      <c r="G77" s="24">
        <f t="shared" si="84"/>
        <v>-2050.809577</v>
      </c>
      <c r="H77" s="26">
        <f>(3^3*H75-4^3*H76)/(3^3-4^3)</f>
        <v>-2.00056715</v>
      </c>
      <c r="I77" s="26"/>
      <c r="J77" s="26">
        <f t="shared" ref="J77:K77" si="85">(3^3*J75-4^3*J76)/(3^3-4^3)</f>
        <v>-2.015492895</v>
      </c>
      <c r="K77" s="26">
        <f t="shared" si="85"/>
        <v>-6.276651029</v>
      </c>
      <c r="L77" s="26"/>
      <c r="M77" s="26">
        <f>(3^3*M75-4^3*M76)/(3^3-4^3)</f>
        <v>-6.306801884</v>
      </c>
      <c r="R77" s="10"/>
    </row>
    <row r="78">
      <c r="A78" s="13" t="s">
        <v>31</v>
      </c>
      <c r="B78" s="17">
        <v>1.0</v>
      </c>
      <c r="C78" s="17">
        <v>0.125</v>
      </c>
      <c r="D78" s="13" t="s">
        <v>47</v>
      </c>
      <c r="E78" s="13">
        <v>-448.259185876276</v>
      </c>
      <c r="F78" s="13">
        <v>-448.097139673063</v>
      </c>
      <c r="G78" s="17">
        <f t="shared" ref="G78:G81" si="86">E78+(-B78)*(F78-E78)/(C78-B78)</f>
        <v>-448.0739902</v>
      </c>
      <c r="H78" s="13">
        <v>-0.345189652091805</v>
      </c>
      <c r="I78" s="13">
        <v>-0.360281904644816</v>
      </c>
      <c r="J78" s="17">
        <f t="shared" ref="J78:J81" si="87">H78+(-B78)*(I78-H78)/(C78-B78)</f>
        <v>-0.3624379407</v>
      </c>
      <c r="K78" s="13">
        <v>-0.940497337156511</v>
      </c>
      <c r="L78" s="13">
        <v>-0.965088098412901</v>
      </c>
      <c r="M78" s="17">
        <f t="shared" ref="M78:M81" si="88">K78+(-B78)*(L78-K78)/(C78-B78)</f>
        <v>-0.9686010643</v>
      </c>
      <c r="R78" s="10"/>
    </row>
    <row r="79">
      <c r="A79" s="13" t="s">
        <v>31</v>
      </c>
      <c r="B79" s="17">
        <v>1.0</v>
      </c>
      <c r="C79" s="17">
        <v>0.125</v>
      </c>
      <c r="D79" s="13" t="s">
        <v>48</v>
      </c>
      <c r="E79" s="13">
        <v>-448.39098419873</v>
      </c>
      <c r="F79" s="13">
        <v>-448.222173080592</v>
      </c>
      <c r="G79" s="17">
        <f t="shared" si="86"/>
        <v>-448.1980572</v>
      </c>
      <c r="H79" s="13">
        <v>-0.418478030410621</v>
      </c>
      <c r="I79" s="13">
        <v>-0.436212665096809</v>
      </c>
      <c r="J79" s="17">
        <f t="shared" si="87"/>
        <v>-0.4387461843</v>
      </c>
      <c r="K79" s="13">
        <v>-1.19920881368186</v>
      </c>
      <c r="L79" s="13">
        <v>-1.22772899836383</v>
      </c>
      <c r="M79" s="17">
        <f t="shared" si="88"/>
        <v>-1.23180331</v>
      </c>
      <c r="R79" s="10"/>
    </row>
    <row r="80">
      <c r="A80" s="13" t="s">
        <v>31</v>
      </c>
      <c r="B80" s="17">
        <v>1.0</v>
      </c>
      <c r="C80" s="17">
        <v>0.125</v>
      </c>
      <c r="D80" s="13" t="s">
        <v>49</v>
      </c>
      <c r="E80" s="13">
        <v>-448.422717343772</v>
      </c>
      <c r="F80" s="13">
        <v>-448.252579776829</v>
      </c>
      <c r="G80" s="17">
        <f t="shared" si="86"/>
        <v>-448.2282744</v>
      </c>
      <c r="H80" s="13">
        <v>-0.434490461439446</v>
      </c>
      <c r="I80" s="13">
        <v>-0.452327384566107</v>
      </c>
      <c r="J80" s="17">
        <f t="shared" si="87"/>
        <v>-0.4548755164</v>
      </c>
      <c r="K80" s="13">
        <v>-1.30066420493183</v>
      </c>
      <c r="L80" s="13">
        <v>-1.32968239707574</v>
      </c>
      <c r="M80" s="17">
        <f t="shared" si="88"/>
        <v>-1.333827853</v>
      </c>
      <c r="R80" s="10"/>
    </row>
    <row r="81">
      <c r="A81" s="13" t="s">
        <v>31</v>
      </c>
      <c r="B81" s="17">
        <v>1.0</v>
      </c>
      <c r="C81" s="17">
        <v>0.125</v>
      </c>
      <c r="D81" s="13" t="s">
        <v>50</v>
      </c>
      <c r="E81" s="17">
        <f t="shared" ref="E81:F81" si="89">E80</f>
        <v>-448.4227173</v>
      </c>
      <c r="F81" s="17">
        <f t="shared" si="89"/>
        <v>-448.2525798</v>
      </c>
      <c r="G81" s="17">
        <f t="shared" si="86"/>
        <v>-448.2282744</v>
      </c>
      <c r="H81" s="17">
        <f t="shared" ref="H81:I81" si="90">(3^3*H79-4^3*H80)/(3^3-4^3)</f>
        <v>-0.4461752084</v>
      </c>
      <c r="I81" s="17">
        <f t="shared" si="90"/>
        <v>-0.4640867744</v>
      </c>
      <c r="J81" s="17">
        <f t="shared" si="87"/>
        <v>-0.4666455696</v>
      </c>
      <c r="K81" s="17">
        <f t="shared" ref="K81:L81" si="91">(3^3*K79-4^3*K80)/(3^3-4^3)</f>
        <v>-1.37469922</v>
      </c>
      <c r="L81" s="17">
        <f t="shared" si="91"/>
        <v>-1.404080823</v>
      </c>
      <c r="M81" s="17">
        <f t="shared" si="88"/>
        <v>-1.408278195</v>
      </c>
      <c r="R81" s="10"/>
    </row>
    <row r="85">
      <c r="J85" s="5">
        <v>-1.9640640923961485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</cols>
  <sheetData>
    <row r="1">
      <c r="A1" s="31" t="s">
        <v>0</v>
      </c>
      <c r="B1" s="31" t="s">
        <v>92</v>
      </c>
      <c r="C1" s="31" t="s">
        <v>39</v>
      </c>
      <c r="D1" s="31" t="s">
        <v>93</v>
      </c>
      <c r="E1" s="31" t="s">
        <v>94</v>
      </c>
      <c r="F1" s="31" t="s">
        <v>73</v>
      </c>
      <c r="G1" s="31" t="s">
        <v>74</v>
      </c>
      <c r="H1" s="31" t="s">
        <v>75</v>
      </c>
      <c r="I1" s="31" t="s">
        <v>76</v>
      </c>
      <c r="J1" s="31" t="s">
        <v>77</v>
      </c>
      <c r="K1" s="31" t="s">
        <v>78</v>
      </c>
    </row>
    <row r="2">
      <c r="A2" s="31" t="s">
        <v>68</v>
      </c>
      <c r="B2" s="31">
        <v>222.0</v>
      </c>
      <c r="C2" s="31" t="s">
        <v>47</v>
      </c>
      <c r="D2" s="32">
        <f>hf_comp_corr_check!I2</f>
        <v>-776.0645763</v>
      </c>
      <c r="E2" s="31"/>
      <c r="F2" s="31">
        <v>-0.737441822984677</v>
      </c>
      <c r="G2" s="31">
        <v>-0.739400017006592</v>
      </c>
      <c r="H2" s="33">
        <v>-0.740224519736842</v>
      </c>
      <c r="I2" s="31">
        <v>-2.16467822381417</v>
      </c>
      <c r="J2" s="31">
        <v>-2.16842126445256</v>
      </c>
      <c r="K2" s="33">
        <v>-2.1699972808421</v>
      </c>
    </row>
    <row r="3">
      <c r="A3" s="31" t="s">
        <v>68</v>
      </c>
      <c r="B3" s="31">
        <v>222.0</v>
      </c>
      <c r="C3" s="31" t="s">
        <v>48</v>
      </c>
      <c r="D3" s="31">
        <f>hf_comp_corr_check!I3</f>
        <v>-776.2471524</v>
      </c>
      <c r="E3" s="31"/>
      <c r="F3" s="31">
        <v>-0.82962102749902</v>
      </c>
      <c r="G3" s="31">
        <v>-0.856965024484706</v>
      </c>
      <c r="H3" s="33">
        <v>-0.860871309285714</v>
      </c>
      <c r="I3" s="31">
        <v>-2.6103895326751</v>
      </c>
      <c r="J3" s="31">
        <v>-2.65035498787341</v>
      </c>
      <c r="K3" s="33">
        <v>-2.65606433871428</v>
      </c>
    </row>
    <row r="4">
      <c r="A4" s="34" t="s">
        <v>68</v>
      </c>
      <c r="B4" s="31">
        <v>222.0</v>
      </c>
      <c r="C4" s="34" t="s">
        <v>49</v>
      </c>
      <c r="D4" s="32">
        <f>hf_comp_corr_check!I4</f>
        <v>-776.2927101</v>
      </c>
      <c r="E4" s="35"/>
      <c r="F4" s="34">
        <v>-0.854069141278204</v>
      </c>
      <c r="G4" s="35"/>
      <c r="H4" s="32">
        <f>H2+G3-F2+F4-F3</f>
        <v>-0.884195835</v>
      </c>
      <c r="I4" s="34">
        <v>-2.78964378412253</v>
      </c>
      <c r="J4" s="35"/>
      <c r="K4" s="32">
        <f>K2-I2+J3-I3+I4</f>
        <v>-2.834928296</v>
      </c>
    </row>
    <row r="5">
      <c r="A5" s="31" t="s">
        <v>68</v>
      </c>
      <c r="B5" s="31">
        <v>222.0</v>
      </c>
      <c r="C5" s="31" t="s">
        <v>50</v>
      </c>
      <c r="D5" s="32">
        <f>hf_comp_corr_check!I4</f>
        <v>-776.2927101</v>
      </c>
      <c r="E5" s="32"/>
      <c r="F5" s="32">
        <f>(3^3*F3-4^3*F4)/(3^3-4^3)</f>
        <v>-0.8719096567</v>
      </c>
      <c r="G5" s="32"/>
      <c r="H5" s="32">
        <f t="shared" ref="H5:I5" si="1">(3^3*H3-4^3*H4)/(3^3-4^3)</f>
        <v>-0.9012164349</v>
      </c>
      <c r="I5" s="32">
        <f t="shared" si="1"/>
        <v>-2.920450941</v>
      </c>
      <c r="J5" s="32"/>
      <c r="K5" s="32">
        <f>(3^3*K3-4^3*K4)/(3^3-4^3)</f>
        <v>-2.965450644</v>
      </c>
      <c r="L5" s="8"/>
    </row>
    <row r="6">
      <c r="A6" s="22" t="s">
        <v>34</v>
      </c>
      <c r="B6" s="22">
        <v>113.0</v>
      </c>
      <c r="C6" s="22" t="s">
        <v>47</v>
      </c>
      <c r="D6" s="22">
        <f>hf_comp_corr_check!I5</f>
        <v>-1570.726105</v>
      </c>
      <c r="E6" s="22">
        <v>3.15E-7</v>
      </c>
      <c r="F6" s="22">
        <v>-1.36721015116833</v>
      </c>
      <c r="G6" s="22">
        <v>-1.37423377224694</v>
      </c>
      <c r="H6" s="23">
        <v>-1.37523714642857</v>
      </c>
      <c r="I6" s="22">
        <v>-3.51492646201869</v>
      </c>
      <c r="J6" s="22">
        <v>-3.50997870936293</v>
      </c>
      <c r="K6" s="23">
        <v>-3.50927188714285</v>
      </c>
      <c r="L6" s="8"/>
    </row>
    <row r="7">
      <c r="A7" s="22" t="s">
        <v>34</v>
      </c>
      <c r="B7" s="22">
        <v>113.0</v>
      </c>
      <c r="C7" s="22" t="s">
        <v>48</v>
      </c>
      <c r="D7" s="22">
        <f>hf_comp_corr_check!I6</f>
        <v>-1571.113851</v>
      </c>
      <c r="E7" s="22">
        <v>4.51E-7</v>
      </c>
      <c r="F7" s="22">
        <v>-1.61405943204731</v>
      </c>
      <c r="G7" s="22">
        <v>-1.62840636361543</v>
      </c>
      <c r="H7" s="23">
        <v>-1.63045592571428</v>
      </c>
      <c r="I7" s="22">
        <v>-4.39628207805916</v>
      </c>
      <c r="J7" s="22">
        <v>-4.39768458975121</v>
      </c>
      <c r="K7" s="23">
        <v>-4.39788494885714</v>
      </c>
      <c r="L7" s="8"/>
    </row>
    <row r="8">
      <c r="A8" s="1" t="s">
        <v>34</v>
      </c>
      <c r="B8" s="1">
        <v>113.0</v>
      </c>
      <c r="C8" s="1" t="s">
        <v>49</v>
      </c>
      <c r="D8" s="22">
        <f>hf_comp_corr_check!I7</f>
        <v>-1571.213364</v>
      </c>
      <c r="F8" s="1">
        <v>-1.66652423533898</v>
      </c>
      <c r="H8" s="26">
        <f>H7-F7+F8</f>
        <v>-1.682920729</v>
      </c>
      <c r="I8" s="1">
        <v>-4.74064541381077</v>
      </c>
      <c r="K8" s="26">
        <f>K7-I7+I8</f>
        <v>-4.742248285</v>
      </c>
    </row>
    <row r="9">
      <c r="A9" s="22" t="s">
        <v>34</v>
      </c>
      <c r="B9" s="22">
        <v>113.0</v>
      </c>
      <c r="C9" s="22" t="s">
        <v>50</v>
      </c>
      <c r="D9" s="26">
        <f>hf_comp_corr_check!I7</f>
        <v>-1571.213364</v>
      </c>
      <c r="E9" s="26"/>
      <c r="F9" s="26">
        <f>(3^3*F7-4^3*F8)/(3^3-4^3)</f>
        <v>-1.704809362</v>
      </c>
      <c r="G9" s="26"/>
      <c r="H9" s="26">
        <f t="shared" ref="H9:I9" si="2">(3^3*H7-4^3*H8)/(3^3-4^3)</f>
        <v>-1.721205856</v>
      </c>
      <c r="I9" s="26">
        <f t="shared" si="2"/>
        <v>-4.991937578</v>
      </c>
      <c r="J9" s="26"/>
      <c r="K9" s="26">
        <f>K7-I7+I9</f>
        <v>-4.993540449</v>
      </c>
    </row>
    <row r="10">
      <c r="A10" s="22" t="s">
        <v>37</v>
      </c>
      <c r="B10" s="22">
        <v>113.0</v>
      </c>
      <c r="C10" s="22" t="s">
        <v>47</v>
      </c>
      <c r="D10" s="22">
        <f>hf_comp_corr_check!I8</f>
        <v>-1650.12053</v>
      </c>
      <c r="E10" s="22">
        <v>0.0</v>
      </c>
      <c r="F10" s="22">
        <v>-1.38336058476241</v>
      </c>
      <c r="G10" s="22">
        <v>-1.38430624418395</v>
      </c>
      <c r="H10" s="23">
        <v>-1.38444133814285</v>
      </c>
      <c r="I10" s="22">
        <v>-3.54484076166467</v>
      </c>
      <c r="J10" s="22">
        <v>-3.5273699367535</v>
      </c>
      <c r="K10" s="26">
        <f>I10+(-1)*(J10-I10)/(0.13-1)</f>
        <v>-3.524759354</v>
      </c>
    </row>
    <row r="11">
      <c r="A11" s="22" t="s">
        <v>37</v>
      </c>
      <c r="B11" s="22">
        <v>113.0</v>
      </c>
      <c r="C11" s="22" t="s">
        <v>48</v>
      </c>
      <c r="D11" s="22">
        <f>hf_comp_corr_check!I9</f>
        <v>-1650.534689</v>
      </c>
      <c r="E11" s="22">
        <v>-2.58E-6</v>
      </c>
      <c r="F11" s="22">
        <v>-1.63945186770557</v>
      </c>
      <c r="G11" s="22">
        <v>-1.64868628881753</v>
      </c>
      <c r="H11" s="23">
        <v>-1.65000549204206</v>
      </c>
      <c r="I11" s="22">
        <v>-4.44726921704072</v>
      </c>
      <c r="J11" s="22">
        <v>-4.43804945658631</v>
      </c>
      <c r="K11" s="22">
        <v>-4.44726921704072</v>
      </c>
    </row>
    <row r="12">
      <c r="A12" s="1" t="s">
        <v>37</v>
      </c>
      <c r="B12" s="1">
        <v>113.0</v>
      </c>
      <c r="C12" s="1" t="s">
        <v>49</v>
      </c>
      <c r="D12" s="22">
        <f>hf_comp_corr_check!I10</f>
        <v>-1650.641706</v>
      </c>
      <c r="F12" s="1">
        <v>-1.69413188383948</v>
      </c>
      <c r="H12" s="26">
        <f>H11-F11+F12</f>
        <v>-1.704685508</v>
      </c>
      <c r="I12" s="1">
        <v>-4.80508181189231</v>
      </c>
      <c r="K12" s="26">
        <f>K11-I11+I12</f>
        <v>-4.805081812</v>
      </c>
    </row>
    <row r="13">
      <c r="A13" s="22" t="s">
        <v>37</v>
      </c>
      <c r="B13" s="22">
        <v>113.0</v>
      </c>
      <c r="C13" s="22" t="s">
        <v>50</v>
      </c>
      <c r="D13" s="26">
        <f>D11+hf_comp_corr_check!J10</f>
        <v>-1650.641706</v>
      </c>
      <c r="E13" s="26"/>
      <c r="F13" s="26">
        <f>(3^3*F11-4^3*F12)/(3^3-4^3)</f>
        <v>-1.734033517</v>
      </c>
      <c r="G13" s="26"/>
      <c r="H13" s="26">
        <f t="shared" ref="H13:I13" si="3">(3^3*H11-4^3*H12)/(3^3-4^3)</f>
        <v>-1.744587142</v>
      </c>
      <c r="I13" s="26">
        <f t="shared" si="3"/>
        <v>-5.0661883</v>
      </c>
      <c r="J13" s="26"/>
      <c r="K13" s="26">
        <f>(3^3*K11-4^3*K12)/(3^3-4^3)</f>
        <v>-5.0661883</v>
      </c>
    </row>
    <row r="17">
      <c r="F17" s="36"/>
      <c r="G17" s="22"/>
    </row>
    <row r="18">
      <c r="F18" s="22"/>
      <c r="G18" s="22"/>
    </row>
    <row r="19">
      <c r="F19" s="22"/>
    </row>
    <row r="20">
      <c r="F20" s="23"/>
      <c r="G20" s="23"/>
      <c r="H20" s="37"/>
      <c r="I20" s="22"/>
      <c r="J20" s="22"/>
      <c r="K20" s="23"/>
    </row>
    <row r="21">
      <c r="F21" s="22"/>
      <c r="G21" s="22"/>
      <c r="H21" s="23"/>
      <c r="I21" s="22"/>
      <c r="J21" s="22"/>
      <c r="K21" s="23"/>
    </row>
    <row r="23">
      <c r="F23" s="26"/>
      <c r="G23" s="26"/>
      <c r="H23" s="26"/>
      <c r="I23" s="26"/>
      <c r="J23" s="26"/>
      <c r="K23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4.13"/>
    <col customWidth="1" min="8" max="9" width="14.75"/>
  </cols>
  <sheetData>
    <row r="1">
      <c r="A1" s="7" t="s">
        <v>0</v>
      </c>
      <c r="B1" s="1" t="s">
        <v>38</v>
      </c>
      <c r="C1" s="7" t="s">
        <v>69</v>
      </c>
      <c r="D1" s="7" t="s">
        <v>70</v>
      </c>
      <c r="E1" s="7" t="s">
        <v>39</v>
      </c>
      <c r="F1" s="7" t="s">
        <v>71</v>
      </c>
      <c r="G1" s="7" t="s">
        <v>72</v>
      </c>
      <c r="H1" s="7" t="s">
        <v>95</v>
      </c>
      <c r="I1" s="7" t="s">
        <v>40</v>
      </c>
      <c r="J1" s="7" t="s">
        <v>96</v>
      </c>
      <c r="L1" s="7"/>
    </row>
    <row r="2">
      <c r="A2" s="7" t="s">
        <v>68</v>
      </c>
      <c r="B2" s="38"/>
      <c r="C2" s="39">
        <f>1/8</f>
        <v>0.125</v>
      </c>
      <c r="D2" s="40">
        <f>1/27</f>
        <v>0.03703703704</v>
      </c>
      <c r="E2" s="7" t="s">
        <v>47</v>
      </c>
      <c r="F2" s="41">
        <v>-776.091874187437</v>
      </c>
      <c r="G2" s="41">
        <v>-776.072664552291</v>
      </c>
      <c r="H2" s="42">
        <v>-776.215985898703</v>
      </c>
      <c r="I2" s="23">
        <v>-776.064576284631</v>
      </c>
      <c r="J2" s="43">
        <f>I2-I2</f>
        <v>0</v>
      </c>
      <c r="K2" s="43"/>
      <c r="L2" s="43"/>
      <c r="N2" s="8"/>
      <c r="O2" s="8"/>
    </row>
    <row r="3">
      <c r="C3" s="5">
        <f>1</f>
        <v>1</v>
      </c>
      <c r="D3" s="5">
        <f t="shared" ref="D3:D4" si="1">1/8</f>
        <v>0.125</v>
      </c>
      <c r="E3" s="1" t="s">
        <v>48</v>
      </c>
      <c r="F3" s="1">
        <v>-776.398167362613</v>
      </c>
      <c r="G3" s="1">
        <v>-776.274319670785</v>
      </c>
      <c r="I3" s="1">
        <v>-776.247152380737</v>
      </c>
      <c r="K3" s="43"/>
      <c r="L3" s="43"/>
      <c r="N3" s="8"/>
      <c r="O3" s="8"/>
    </row>
    <row r="4">
      <c r="A4" s="8"/>
      <c r="B4" s="8"/>
      <c r="C4" s="39">
        <v>1.0</v>
      </c>
      <c r="D4" s="40">
        <f t="shared" si="1"/>
        <v>0.125</v>
      </c>
      <c r="E4" s="7" t="s">
        <v>49</v>
      </c>
      <c r="F4" s="41">
        <v>-776.443855670642</v>
      </c>
      <c r="G4" s="44"/>
      <c r="H4" s="45"/>
      <c r="I4" s="45">
        <f>I2-F2+G3+F4-F3</f>
        <v>-776.2927101</v>
      </c>
      <c r="J4" s="43">
        <f>I4-I2</f>
        <v>-0.2281337914</v>
      </c>
      <c r="K4" s="43"/>
      <c r="L4" s="43"/>
      <c r="N4" s="8"/>
      <c r="O4" s="8"/>
    </row>
    <row r="5">
      <c r="A5" s="7" t="s">
        <v>34</v>
      </c>
      <c r="B5" s="38"/>
      <c r="C5" s="39">
        <f t="shared" ref="C5:C7" si="2">1/3</f>
        <v>0.3333333333</v>
      </c>
      <c r="D5" s="40">
        <f>1/24</f>
        <v>0.04166666667</v>
      </c>
      <c r="E5" s="7" t="s">
        <v>47</v>
      </c>
      <c r="F5" s="46">
        <v>-1570.80213638896</v>
      </c>
      <c r="G5" s="47"/>
      <c r="H5" s="45"/>
      <c r="I5" s="22">
        <v>-1570.7261054991</v>
      </c>
      <c r="J5" s="43"/>
      <c r="K5" s="43"/>
      <c r="L5" s="43"/>
      <c r="N5" s="8"/>
      <c r="O5" s="8"/>
    </row>
    <row r="6">
      <c r="B6" s="38"/>
      <c r="C6" s="39">
        <f t="shared" si="2"/>
        <v>0.3333333333</v>
      </c>
      <c r="D6" s="40">
        <f t="shared" ref="D6:D7" si="3">1/3</f>
        <v>0.3333333333</v>
      </c>
      <c r="E6" s="7" t="s">
        <v>48</v>
      </c>
      <c r="F6" s="46">
        <v>-1571.19194943799</v>
      </c>
      <c r="G6" s="47"/>
      <c r="H6" s="45"/>
      <c r="I6" s="22">
        <v>-1571.11385090346</v>
      </c>
      <c r="J6" s="43">
        <f>I6-I6</f>
        <v>0</v>
      </c>
      <c r="K6" s="43"/>
      <c r="L6" s="43"/>
      <c r="N6" s="8"/>
      <c r="O6" s="8"/>
    </row>
    <row r="7">
      <c r="A7" s="8"/>
      <c r="B7" s="8"/>
      <c r="C7" s="39">
        <f t="shared" si="2"/>
        <v>0.3333333333</v>
      </c>
      <c r="D7" s="40">
        <f t="shared" si="3"/>
        <v>0.3333333333</v>
      </c>
      <c r="E7" s="7" t="s">
        <v>49</v>
      </c>
      <c r="F7" s="47">
        <v>-1571.291462794</v>
      </c>
      <c r="G7" s="46"/>
      <c r="H7" s="45"/>
      <c r="I7" s="45">
        <f>I6-F6+F7</f>
        <v>-1571.213364</v>
      </c>
      <c r="J7" s="43">
        <f>I7-I6</f>
        <v>-0.09951335601</v>
      </c>
      <c r="K7" s="43"/>
      <c r="L7" s="43"/>
      <c r="N7" s="8"/>
      <c r="O7" s="8"/>
    </row>
    <row r="8">
      <c r="A8" s="7" t="s">
        <v>37</v>
      </c>
      <c r="B8" s="38"/>
      <c r="C8" s="39">
        <f>1</f>
        <v>1</v>
      </c>
      <c r="D8" s="40"/>
      <c r="E8" s="1" t="s">
        <v>47</v>
      </c>
      <c r="F8" s="1">
        <v>-1649.78111729206</v>
      </c>
      <c r="I8" s="1">
        <v>-1650.12053015973</v>
      </c>
      <c r="K8" s="43"/>
      <c r="L8" s="43"/>
      <c r="N8" s="8"/>
      <c r="O8" s="8"/>
    </row>
    <row r="9">
      <c r="A9" s="8"/>
      <c r="B9" s="8"/>
      <c r="C9" s="39">
        <v>1.0</v>
      </c>
      <c r="D9" s="40"/>
      <c r="E9" s="7" t="s">
        <v>48</v>
      </c>
      <c r="F9" s="47">
        <v>-1650.19655732095</v>
      </c>
      <c r="G9" s="47"/>
      <c r="H9" s="45"/>
      <c r="I9" s="42">
        <v>-1650.53468911643</v>
      </c>
      <c r="J9" s="43">
        <f>I9-I9</f>
        <v>0</v>
      </c>
      <c r="K9" s="43"/>
      <c r="L9" s="43"/>
      <c r="N9" s="8"/>
      <c r="O9" s="8"/>
    </row>
    <row r="10">
      <c r="A10" s="7"/>
      <c r="B10" s="38"/>
      <c r="C10" s="39">
        <v>1.0</v>
      </c>
      <c r="D10" s="40"/>
      <c r="E10" s="1" t="s">
        <v>49</v>
      </c>
      <c r="F10" s="47">
        <v>-1650.30357424326</v>
      </c>
      <c r="G10" s="43"/>
      <c r="H10" s="45"/>
      <c r="I10" s="45">
        <f>I9-F9+F10</f>
        <v>-1650.641706</v>
      </c>
      <c r="J10" s="43">
        <f>I10-I9</f>
        <v>-0.1070169223</v>
      </c>
      <c r="K10" s="43"/>
      <c r="L10" s="43"/>
      <c r="N10" s="8"/>
      <c r="O10" s="8"/>
    </row>
    <row r="11">
      <c r="A11" s="8"/>
      <c r="B11" s="48"/>
      <c r="C11" s="39"/>
      <c r="D11" s="40"/>
      <c r="E11" s="7"/>
      <c r="F11" s="47"/>
      <c r="G11" s="43"/>
      <c r="H11" s="45"/>
      <c r="I11" s="45"/>
      <c r="J11" s="43"/>
      <c r="K11" s="43"/>
      <c r="L11" s="43"/>
      <c r="N11" s="8"/>
      <c r="O11" s="8"/>
    </row>
    <row r="12">
      <c r="K12" s="43"/>
      <c r="L12" s="43"/>
      <c r="N12" s="8"/>
      <c r="O12" s="8"/>
    </row>
    <row r="13">
      <c r="K13" s="43"/>
      <c r="L13" s="43"/>
      <c r="N13" s="8"/>
      <c r="O13" s="8"/>
    </row>
    <row r="14">
      <c r="D14" s="49"/>
      <c r="E14" s="7"/>
      <c r="F14" s="43"/>
      <c r="G14" s="43"/>
      <c r="H14" s="50"/>
      <c r="I14" s="50"/>
      <c r="J14" s="43"/>
      <c r="K14" s="43"/>
      <c r="L14" s="43"/>
      <c r="N14" s="8"/>
      <c r="O14" s="8"/>
    </row>
    <row r="15">
      <c r="A15" s="6"/>
      <c r="B15" s="43"/>
      <c r="C15" s="43"/>
      <c r="D15" s="43"/>
      <c r="E15" s="6"/>
      <c r="F15" s="43"/>
      <c r="G15" s="43"/>
      <c r="H15" s="51"/>
      <c r="I15" s="51"/>
      <c r="J15" s="43"/>
      <c r="K15" s="43"/>
      <c r="L15" s="43"/>
      <c r="N15" s="8"/>
      <c r="O15" s="8"/>
    </row>
    <row r="16">
      <c r="A16" s="6"/>
      <c r="B16" s="43"/>
      <c r="C16" s="43"/>
      <c r="D16" s="43"/>
      <c r="E16" s="6"/>
      <c r="F16" s="43"/>
      <c r="G16" s="43"/>
      <c r="H16" s="43"/>
      <c r="I16" s="43"/>
      <c r="J16" s="43"/>
      <c r="K16" s="43"/>
      <c r="L16" s="43"/>
      <c r="N16" s="8"/>
      <c r="O16" s="8"/>
    </row>
    <row r="17">
      <c r="A17" s="6"/>
      <c r="B17" s="43"/>
      <c r="C17" s="43"/>
      <c r="D17" s="43"/>
      <c r="E17" s="6"/>
      <c r="F17" s="43"/>
      <c r="G17" s="43"/>
      <c r="H17" s="46"/>
      <c r="I17" s="46"/>
      <c r="J17" s="43"/>
      <c r="K17" s="43"/>
      <c r="L17" s="43"/>
      <c r="N17" s="8"/>
      <c r="O17" s="8"/>
    </row>
    <row r="18">
      <c r="A18" s="6"/>
      <c r="B18" s="43"/>
      <c r="C18" s="43"/>
      <c r="D18" s="43"/>
      <c r="E18" s="6"/>
      <c r="F18" s="43"/>
      <c r="G18" s="43"/>
      <c r="H18" s="41"/>
      <c r="I18" s="43"/>
      <c r="J18" s="43"/>
      <c r="K18" s="43"/>
      <c r="L18" s="43"/>
      <c r="N18" s="8"/>
      <c r="O18" s="8"/>
    </row>
    <row r="19">
      <c r="A19" s="7"/>
      <c r="B19" s="43"/>
      <c r="C19" s="8"/>
      <c r="D19" s="8"/>
      <c r="E19" s="7"/>
      <c r="F19" s="43"/>
      <c r="G19" s="43"/>
      <c r="H19" s="43"/>
      <c r="I19" s="43"/>
      <c r="J19" s="8"/>
      <c r="K19" s="43"/>
      <c r="L19" s="8"/>
      <c r="N19" s="8"/>
      <c r="O19" s="8"/>
    </row>
    <row r="20">
      <c r="A20" s="8"/>
      <c r="B20" s="43"/>
      <c r="C20" s="8"/>
      <c r="D20" s="8"/>
      <c r="E20" s="7"/>
      <c r="F20" s="43"/>
      <c r="G20" s="43"/>
      <c r="H20" s="43"/>
      <c r="I20" s="43"/>
      <c r="J20" s="8"/>
      <c r="K20" s="43"/>
      <c r="L20" s="8"/>
      <c r="N20" s="8"/>
      <c r="O20" s="8"/>
    </row>
    <row r="21">
      <c r="A21" s="8"/>
      <c r="B21" s="43"/>
      <c r="C21" s="8"/>
      <c r="D21" s="8"/>
      <c r="E21" s="7"/>
      <c r="F21" s="43"/>
      <c r="G21" s="43"/>
      <c r="H21" s="43"/>
      <c r="I21" s="43"/>
      <c r="J21" s="8"/>
      <c r="K21" s="43"/>
      <c r="L21" s="8"/>
      <c r="N21" s="8"/>
      <c r="O21" s="8"/>
    </row>
    <row r="22">
      <c r="A22" s="8"/>
      <c r="B22" s="43"/>
      <c r="C22" s="8"/>
      <c r="D22" s="8"/>
      <c r="E22" s="7"/>
      <c r="F22" s="43"/>
      <c r="G22" s="43"/>
      <c r="H22" s="43"/>
      <c r="I22" s="43"/>
      <c r="J22" s="8"/>
      <c r="K22" s="43"/>
      <c r="L22" s="8"/>
      <c r="N22" s="8"/>
      <c r="O22" s="8"/>
    </row>
    <row r="23">
      <c r="F23" s="7"/>
      <c r="G23" s="7"/>
      <c r="H23" s="8"/>
      <c r="I23" s="8"/>
    </row>
    <row r="24">
      <c r="F24" s="7"/>
      <c r="G24" s="7"/>
      <c r="H24" s="8"/>
      <c r="I24" s="8"/>
    </row>
    <row r="25">
      <c r="F25" s="7"/>
      <c r="G25" s="7"/>
      <c r="H25" s="8"/>
      <c r="I25" s="8"/>
    </row>
    <row r="26">
      <c r="F26" s="8"/>
      <c r="G26" s="8"/>
      <c r="H26" s="8"/>
      <c r="I26" s="8"/>
    </row>
    <row r="27">
      <c r="F27" s="7"/>
      <c r="G27" s="7"/>
      <c r="H27" s="8"/>
      <c r="I27" s="8"/>
    </row>
    <row r="28">
      <c r="F28" s="7"/>
      <c r="G28" s="7"/>
      <c r="H28" s="8"/>
      <c r="I28" s="8"/>
    </row>
    <row r="29">
      <c r="F29" s="7"/>
      <c r="G29" s="7"/>
      <c r="H29" s="8"/>
      <c r="I29" s="8"/>
    </row>
    <row r="30">
      <c r="F30" s="8"/>
      <c r="G30" s="8"/>
      <c r="H30" s="8"/>
      <c r="I30" s="8"/>
    </row>
    <row r="31">
      <c r="F31" s="7"/>
      <c r="G31" s="7"/>
      <c r="H31" s="8"/>
      <c r="I31" s="8"/>
    </row>
    <row r="32">
      <c r="F32" s="7"/>
      <c r="G32" s="7"/>
      <c r="H32" s="8"/>
      <c r="I32" s="8"/>
    </row>
    <row r="33">
      <c r="F33" s="7"/>
      <c r="G33" s="7"/>
      <c r="H33" s="8"/>
      <c r="I33" s="8"/>
    </row>
    <row r="34">
      <c r="F34" s="8"/>
      <c r="G34" s="8"/>
      <c r="H34" s="8"/>
      <c r="I34" s="8"/>
    </row>
    <row r="35">
      <c r="F35" s="7"/>
      <c r="G35" s="7"/>
      <c r="H35" s="8"/>
      <c r="I35" s="8"/>
    </row>
    <row r="36">
      <c r="F36" s="7"/>
      <c r="G36" s="7"/>
      <c r="H36" s="8"/>
      <c r="I36" s="8"/>
    </row>
    <row r="37">
      <c r="F37" s="7"/>
      <c r="G37" s="7"/>
      <c r="H37" s="8"/>
      <c r="I37" s="8"/>
    </row>
    <row r="38">
      <c r="F38" s="8"/>
      <c r="G38" s="8"/>
      <c r="H38" s="8"/>
      <c r="I38" s="8"/>
    </row>
    <row r="39">
      <c r="F39" s="7"/>
      <c r="G39" s="7"/>
      <c r="H39" s="8"/>
      <c r="I39" s="8"/>
    </row>
    <row r="40">
      <c r="F40" s="7"/>
      <c r="G40" s="7"/>
      <c r="H40" s="8"/>
      <c r="I40" s="8"/>
    </row>
    <row r="41">
      <c r="F41" s="7"/>
      <c r="G41" s="7"/>
      <c r="H41" s="8"/>
      <c r="I41" s="8"/>
    </row>
    <row r="42">
      <c r="F42" s="8"/>
      <c r="G42" s="8"/>
      <c r="H42" s="8"/>
      <c r="I42" s="8"/>
    </row>
    <row r="43">
      <c r="F43" s="7"/>
      <c r="G43" s="7"/>
      <c r="H43" s="8"/>
      <c r="I43" s="8"/>
    </row>
    <row r="44">
      <c r="F44" s="7"/>
      <c r="G44" s="7"/>
      <c r="H44" s="8"/>
      <c r="I44" s="8"/>
    </row>
    <row r="45">
      <c r="F45" s="7"/>
      <c r="G45" s="7"/>
      <c r="H45" s="8"/>
      <c r="I45" s="8"/>
    </row>
    <row r="46">
      <c r="F46" s="8"/>
      <c r="G46" s="8"/>
      <c r="H46" s="8"/>
      <c r="I46" s="8"/>
    </row>
    <row r="47">
      <c r="F47" s="7"/>
      <c r="G47" s="7"/>
      <c r="H47" s="8"/>
      <c r="I47" s="8"/>
    </row>
    <row r="48">
      <c r="F48" s="7"/>
      <c r="G48" s="7"/>
      <c r="H48" s="8"/>
      <c r="I48" s="8"/>
    </row>
    <row r="49">
      <c r="F49" s="7"/>
      <c r="G49" s="7"/>
      <c r="H49" s="8"/>
      <c r="I49" s="8"/>
    </row>
    <row r="50">
      <c r="F50" s="8"/>
      <c r="G50" s="8"/>
      <c r="H50" s="8"/>
      <c r="I50" s="8"/>
    </row>
    <row r="51">
      <c r="F51" s="7"/>
      <c r="G51" s="7"/>
      <c r="H51" s="8"/>
      <c r="I51" s="8"/>
    </row>
    <row r="52">
      <c r="F52" s="7"/>
      <c r="G52" s="7"/>
      <c r="H52" s="8"/>
      <c r="I52" s="8"/>
    </row>
    <row r="53">
      <c r="F53" s="7"/>
      <c r="G53" s="7"/>
      <c r="H53" s="52"/>
      <c r="I53" s="52"/>
    </row>
    <row r="54">
      <c r="F54" s="8"/>
      <c r="G54" s="8"/>
      <c r="H54" s="52"/>
      <c r="I54" s="52"/>
    </row>
    <row r="55">
      <c r="F55" s="7"/>
      <c r="G55" s="7"/>
      <c r="H55" s="8"/>
      <c r="I55" s="8"/>
    </row>
    <row r="56">
      <c r="F56" s="7"/>
      <c r="G56" s="7"/>
      <c r="H56" s="8"/>
      <c r="I56" s="8"/>
    </row>
    <row r="57">
      <c r="F57" s="7"/>
      <c r="G57" s="7"/>
      <c r="H57" s="8"/>
      <c r="I57" s="8"/>
    </row>
    <row r="58">
      <c r="F58" s="8"/>
      <c r="G58" s="8"/>
      <c r="H58" s="8"/>
      <c r="I58" s="8"/>
    </row>
  </sheetData>
  <conditionalFormatting sqref="O2:O22">
    <cfRule type="colorScale" priority="1">
      <colorScale>
        <cfvo type="min"/>
        <cfvo type="max"/>
        <color rgb="FFFFFFFF"/>
        <color rgb="FFE67C73"/>
      </colorScale>
    </cfRule>
  </conditionalFormatting>
  <conditionalFormatting sqref="K2:K22">
    <cfRule type="colorScale" priority="2">
      <colorScale>
        <cfvo type="min"/>
        <cfvo type="max"/>
        <color rgb="FFE67C73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5.25"/>
    <col customWidth="1" min="7" max="7" width="18.75"/>
  </cols>
  <sheetData>
    <row r="1">
      <c r="A1" s="53" t="s">
        <v>0</v>
      </c>
      <c r="B1" s="53" t="s">
        <v>39</v>
      </c>
      <c r="C1" s="53" t="s">
        <v>97</v>
      </c>
      <c r="D1" s="53" t="s">
        <v>98</v>
      </c>
      <c r="E1" s="53" t="s">
        <v>99</v>
      </c>
      <c r="F1" s="53" t="s">
        <v>100</v>
      </c>
      <c r="G1" s="53" t="s">
        <v>101</v>
      </c>
      <c r="H1" s="53" t="s">
        <v>102</v>
      </c>
      <c r="I1" s="8"/>
      <c r="J1" s="8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53" t="s">
        <v>46</v>
      </c>
      <c r="B2" s="53" t="s">
        <v>47</v>
      </c>
      <c r="C2" s="54">
        <f>total!J2</f>
        <v>-0.7052081403</v>
      </c>
      <c r="D2" s="54">
        <f>total!M2</f>
        <v>-1.930468812</v>
      </c>
      <c r="E2" s="54">
        <f t="shared" ref="E2:E93" si="1">C2+D2</f>
        <v>-2.635676952</v>
      </c>
      <c r="F2" s="54">
        <f t="shared" ref="F2:F93" si="2">1/3*C2+1.2*D2</f>
        <v>-2.551631955</v>
      </c>
      <c r="G2" s="54">
        <f t="shared" ref="G2:G93" si="3">1.3*D2</f>
        <v>-2.509609456</v>
      </c>
      <c r="H2" s="54">
        <f t="shared" ref="H2:H93" si="4">1.29*C2+0.4*D2</f>
        <v>-1.681906026</v>
      </c>
      <c r="I2" s="8"/>
      <c r="J2" s="8"/>
      <c r="K2" s="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53" t="s">
        <v>46</v>
      </c>
      <c r="B3" s="53" t="s">
        <v>48</v>
      </c>
      <c r="C3" s="54">
        <f>total!J3</f>
        <v>-0.8527869561</v>
      </c>
      <c r="D3" s="54">
        <f>total!M3</f>
        <v>-2.447679713</v>
      </c>
      <c r="E3" s="54">
        <f t="shared" si="1"/>
        <v>-3.300466669</v>
      </c>
      <c r="F3" s="54">
        <f t="shared" si="2"/>
        <v>-3.221477974</v>
      </c>
      <c r="G3" s="54">
        <f t="shared" si="3"/>
        <v>-3.181983627</v>
      </c>
      <c r="H3" s="54">
        <f t="shared" si="4"/>
        <v>-2.079167059</v>
      </c>
      <c r="I3" s="8"/>
      <c r="J3" s="8"/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53" t="s">
        <v>46</v>
      </c>
      <c r="B4" s="53" t="s">
        <v>49</v>
      </c>
      <c r="C4" s="54">
        <f>total!J4</f>
        <v>-0.88371392</v>
      </c>
      <c r="D4" s="54">
        <f>total!M4</f>
        <v>-2.649967195</v>
      </c>
      <c r="E4" s="54">
        <f t="shared" si="1"/>
        <v>-3.533681115</v>
      </c>
      <c r="F4" s="54">
        <f t="shared" si="2"/>
        <v>-3.474531941</v>
      </c>
      <c r="G4" s="54">
        <f t="shared" si="3"/>
        <v>-3.444957354</v>
      </c>
      <c r="H4" s="54">
        <f t="shared" si="4"/>
        <v>-2.199977835</v>
      </c>
      <c r="I4" s="8"/>
      <c r="J4" s="8"/>
      <c r="K4" s="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53" t="s">
        <v>46</v>
      </c>
      <c r="B5" s="53" t="s">
        <v>50</v>
      </c>
      <c r="C5" s="54">
        <f>total!J5</f>
        <v>-0.9058577042</v>
      </c>
      <c r="D5" s="54">
        <f>total!M5</f>
        <v>-2.79690858</v>
      </c>
      <c r="E5" s="54">
        <f t="shared" si="1"/>
        <v>-3.702766285</v>
      </c>
      <c r="F5" s="54">
        <f t="shared" si="2"/>
        <v>-3.658242865</v>
      </c>
      <c r="G5" s="54">
        <f t="shared" si="3"/>
        <v>-3.635981155</v>
      </c>
      <c r="H5" s="54">
        <f t="shared" si="4"/>
        <v>-2.287319871</v>
      </c>
      <c r="I5" s="8"/>
      <c r="J5" s="8"/>
      <c r="K5" s="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53" t="s">
        <v>68</v>
      </c>
      <c r="B6" s="53" t="s">
        <v>47</v>
      </c>
      <c r="C6" s="54">
        <f>challenging!H2</f>
        <v>-0.7402245197</v>
      </c>
      <c r="D6" s="54">
        <f>challenging!K2</f>
        <v>-2.169997281</v>
      </c>
      <c r="E6" s="54">
        <f t="shared" si="1"/>
        <v>-2.910221801</v>
      </c>
      <c r="F6" s="54">
        <f t="shared" si="2"/>
        <v>-2.850738244</v>
      </c>
      <c r="G6" s="54">
        <f t="shared" si="3"/>
        <v>-2.820996465</v>
      </c>
      <c r="H6" s="54">
        <f t="shared" si="4"/>
        <v>-1.822888543</v>
      </c>
      <c r="I6" s="8"/>
      <c r="J6" s="8"/>
      <c r="K6" s="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53" t="s">
        <v>68</v>
      </c>
      <c r="B7" s="53" t="s">
        <v>48</v>
      </c>
      <c r="C7" s="54">
        <f>challenging!H3</f>
        <v>-0.8608713093</v>
      </c>
      <c r="D7" s="54">
        <f>challenging!K3</f>
        <v>-2.656064339</v>
      </c>
      <c r="E7" s="54">
        <f t="shared" si="1"/>
        <v>-3.516935648</v>
      </c>
      <c r="F7" s="54">
        <f t="shared" si="2"/>
        <v>-3.47423431</v>
      </c>
      <c r="G7" s="54">
        <f t="shared" si="3"/>
        <v>-3.45288364</v>
      </c>
      <c r="H7" s="54">
        <f t="shared" si="4"/>
        <v>-2.172949724</v>
      </c>
      <c r="I7" s="8"/>
      <c r="J7" s="8"/>
      <c r="K7" s="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53" t="s">
        <v>68</v>
      </c>
      <c r="B8" s="53" t="s">
        <v>49</v>
      </c>
      <c r="C8" s="54">
        <f>challenging!H4</f>
        <v>-0.884195835</v>
      </c>
      <c r="D8" s="54">
        <f>challenging!K4</f>
        <v>-2.834928296</v>
      </c>
      <c r="E8" s="54">
        <f t="shared" si="1"/>
        <v>-3.719124131</v>
      </c>
      <c r="F8" s="54">
        <f t="shared" si="2"/>
        <v>-3.696645901</v>
      </c>
      <c r="G8" s="54">
        <f t="shared" si="3"/>
        <v>-3.685406785</v>
      </c>
      <c r="H8" s="54">
        <f t="shared" si="4"/>
        <v>-2.274583946</v>
      </c>
      <c r="I8" s="8"/>
      <c r="J8" s="8"/>
      <c r="K8" s="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53" t="s">
        <v>68</v>
      </c>
      <c r="B9" s="53" t="s">
        <v>50</v>
      </c>
      <c r="C9" s="54">
        <f>challenging!H5</f>
        <v>-0.9012164349</v>
      </c>
      <c r="D9" s="54">
        <f>challenging!K5</f>
        <v>-2.965450644</v>
      </c>
      <c r="E9" s="54">
        <f t="shared" si="1"/>
        <v>-3.866667079</v>
      </c>
      <c r="F9" s="54">
        <f t="shared" si="2"/>
        <v>-3.858946251</v>
      </c>
      <c r="G9" s="54">
        <f t="shared" si="3"/>
        <v>-3.855085837</v>
      </c>
      <c r="H9" s="54">
        <f t="shared" si="4"/>
        <v>-2.348749459</v>
      </c>
      <c r="I9" s="8"/>
      <c r="J9" s="8"/>
      <c r="K9" s="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53" t="s">
        <v>14</v>
      </c>
      <c r="B10" s="53" t="s">
        <v>47</v>
      </c>
      <c r="C10" s="54">
        <f>total!J6</f>
        <v>-0.1926725542</v>
      </c>
      <c r="D10" s="54">
        <f>total!M6</f>
        <v>-0.6009646873</v>
      </c>
      <c r="E10" s="54">
        <f t="shared" si="1"/>
        <v>-0.7936372415</v>
      </c>
      <c r="F10" s="54">
        <f t="shared" si="2"/>
        <v>-0.7853818095</v>
      </c>
      <c r="G10" s="54">
        <f t="shared" si="3"/>
        <v>-0.7812540935</v>
      </c>
      <c r="H10" s="54">
        <f t="shared" si="4"/>
        <v>-0.4889334698</v>
      </c>
      <c r="I10" s="8"/>
      <c r="J10" s="8"/>
      <c r="K10" s="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53" t="s">
        <v>14</v>
      </c>
      <c r="B11" s="53" t="s">
        <v>48</v>
      </c>
      <c r="C11" s="54">
        <f>total!J7</f>
        <v>-0.2351342208</v>
      </c>
      <c r="D11" s="54">
        <f>total!M7</f>
        <v>-0.7596427612</v>
      </c>
      <c r="E11" s="54">
        <f t="shared" si="1"/>
        <v>-0.994776982</v>
      </c>
      <c r="F11" s="54">
        <f t="shared" si="2"/>
        <v>-0.989949387</v>
      </c>
      <c r="G11" s="54">
        <f t="shared" si="3"/>
        <v>-0.9875355896</v>
      </c>
      <c r="H11" s="54">
        <f t="shared" si="4"/>
        <v>-0.6071802493</v>
      </c>
      <c r="I11" s="8"/>
      <c r="J11" s="8"/>
      <c r="K11" s="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53" t="s">
        <v>14</v>
      </c>
      <c r="B12" s="53" t="s">
        <v>49</v>
      </c>
      <c r="C12" s="54">
        <f>total!J8</f>
        <v>-0.2431933143</v>
      </c>
      <c r="D12" s="54">
        <f>total!M8</f>
        <v>-0.8163382219</v>
      </c>
      <c r="E12" s="54">
        <f t="shared" si="1"/>
        <v>-1.059531536</v>
      </c>
      <c r="F12" s="54">
        <f t="shared" si="2"/>
        <v>-1.060670304</v>
      </c>
      <c r="G12" s="54">
        <f t="shared" si="3"/>
        <v>-1.061239688</v>
      </c>
      <c r="H12" s="54">
        <f t="shared" si="4"/>
        <v>-0.6402546642</v>
      </c>
      <c r="I12" s="8"/>
      <c r="J12" s="8"/>
      <c r="K12" s="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53" t="s">
        <v>14</v>
      </c>
      <c r="B13" s="53" t="s">
        <v>50</v>
      </c>
      <c r="C13" s="54">
        <f>total!J9</f>
        <v>-0.2490742743</v>
      </c>
      <c r="D13" s="54">
        <f>total!M9</f>
        <v>-0.8577105852</v>
      </c>
      <c r="E13" s="54">
        <f t="shared" si="1"/>
        <v>-1.106784859</v>
      </c>
      <c r="F13" s="54">
        <f t="shared" si="2"/>
        <v>-1.11227746</v>
      </c>
      <c r="G13" s="54">
        <f t="shared" si="3"/>
        <v>-1.115023761</v>
      </c>
      <c r="H13" s="54">
        <f t="shared" si="4"/>
        <v>-0.664390048</v>
      </c>
      <c r="I13" s="8"/>
      <c r="J13" s="8"/>
      <c r="K13" s="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53" t="s">
        <v>33</v>
      </c>
      <c r="B14" s="53" t="s">
        <v>47</v>
      </c>
      <c r="C14" s="54">
        <f>total!J10</f>
        <v>-1.066862354</v>
      </c>
      <c r="D14" s="54">
        <f>total!M10</f>
        <v>-2.721385852</v>
      </c>
      <c r="E14" s="54">
        <f t="shared" si="1"/>
        <v>-3.788248206</v>
      </c>
      <c r="F14" s="54">
        <f t="shared" si="2"/>
        <v>-3.621283807</v>
      </c>
      <c r="G14" s="54">
        <f t="shared" si="3"/>
        <v>-3.537801608</v>
      </c>
      <c r="H14" s="54">
        <f t="shared" si="4"/>
        <v>-2.464806777</v>
      </c>
      <c r="I14" s="8"/>
      <c r="J14" s="8"/>
      <c r="K14" s="6"/>
      <c r="L14" s="8"/>
      <c r="M14" s="55"/>
      <c r="N14" s="55"/>
      <c r="O14" s="55"/>
      <c r="P14" s="8"/>
      <c r="Q14" s="8"/>
      <c r="R14" s="8"/>
      <c r="S14" s="8"/>
      <c r="T14" s="8"/>
      <c r="U14" s="8"/>
      <c r="V14" s="8"/>
      <c r="W14" s="8"/>
      <c r="X14" s="8"/>
    </row>
    <row r="15">
      <c r="A15" s="53" t="s">
        <v>33</v>
      </c>
      <c r="B15" s="53" t="s">
        <v>48</v>
      </c>
      <c r="C15" s="54">
        <f>total!J11</f>
        <v>-1.230390366</v>
      </c>
      <c r="D15" s="54">
        <f>total!M11</f>
        <v>-3.336362762</v>
      </c>
      <c r="E15" s="54">
        <f t="shared" si="1"/>
        <v>-4.566753127</v>
      </c>
      <c r="F15" s="54">
        <f t="shared" si="2"/>
        <v>-4.413765436</v>
      </c>
      <c r="G15" s="54">
        <f t="shared" si="3"/>
        <v>-4.33727159</v>
      </c>
      <c r="H15" s="54">
        <f t="shared" si="4"/>
        <v>-2.921748676</v>
      </c>
      <c r="I15" s="8"/>
      <c r="J15" s="8"/>
      <c r="K15" s="6"/>
      <c r="L15" s="8"/>
      <c r="M15" s="55"/>
      <c r="N15" s="55"/>
      <c r="O15" s="55"/>
      <c r="P15" s="55"/>
      <c r="Q15" s="8"/>
      <c r="R15" s="8"/>
      <c r="S15" s="8"/>
      <c r="T15" s="8"/>
      <c r="U15" s="8"/>
      <c r="V15" s="8"/>
      <c r="W15" s="8"/>
      <c r="X15" s="8"/>
    </row>
    <row r="16">
      <c r="A16" s="53" t="s">
        <v>33</v>
      </c>
      <c r="B16" s="53" t="s">
        <v>49</v>
      </c>
      <c r="C16" s="54">
        <f>total!J12</f>
        <v>-1.263410322</v>
      </c>
      <c r="D16" s="54">
        <f>total!M12</f>
        <v>-3.568461488</v>
      </c>
      <c r="E16" s="54">
        <f t="shared" si="1"/>
        <v>-4.83187181</v>
      </c>
      <c r="F16" s="54">
        <f t="shared" si="2"/>
        <v>-4.70329056</v>
      </c>
      <c r="G16" s="54">
        <f t="shared" si="3"/>
        <v>-4.638999934</v>
      </c>
      <c r="H16" s="54">
        <f t="shared" si="4"/>
        <v>-3.05718391</v>
      </c>
      <c r="I16" s="8"/>
      <c r="J16" s="8"/>
      <c r="K16" s="6"/>
      <c r="L16" s="8"/>
      <c r="M16" s="55"/>
      <c r="N16" s="55"/>
      <c r="O16" s="55"/>
      <c r="P16" s="55"/>
      <c r="Q16" s="8"/>
      <c r="R16" s="8"/>
      <c r="S16" s="8"/>
      <c r="T16" s="8"/>
      <c r="U16" s="8"/>
      <c r="V16" s="8"/>
      <c r="W16" s="8"/>
      <c r="X16" s="8"/>
    </row>
    <row r="17">
      <c r="A17" s="53" t="s">
        <v>33</v>
      </c>
      <c r="B17" s="53" t="s">
        <v>50</v>
      </c>
      <c r="C17" s="54">
        <f>total!J13</f>
        <v>-1.287505965</v>
      </c>
      <c r="D17" s="54">
        <f>total!M13</f>
        <v>-3.737830829</v>
      </c>
      <c r="E17" s="54">
        <f t="shared" si="1"/>
        <v>-5.025336794</v>
      </c>
      <c r="F17" s="54">
        <f t="shared" si="2"/>
        <v>-4.91456565</v>
      </c>
      <c r="G17" s="54">
        <f t="shared" si="3"/>
        <v>-4.859180078</v>
      </c>
      <c r="H17" s="54">
        <f t="shared" si="4"/>
        <v>-3.156015027</v>
      </c>
      <c r="I17" s="8"/>
      <c r="J17" s="8"/>
      <c r="K17" s="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1" t="s">
        <v>15</v>
      </c>
      <c r="B18" s="1" t="s">
        <v>47</v>
      </c>
      <c r="C18" s="54">
        <f>total!J14</f>
        <v>-0.8884372298</v>
      </c>
      <c r="D18" s="54">
        <f>total!M14</f>
        <v>-2.388665973</v>
      </c>
      <c r="E18" s="54">
        <f t="shared" si="1"/>
        <v>-3.277103202</v>
      </c>
      <c r="F18" s="54">
        <f t="shared" si="2"/>
        <v>-3.16254491</v>
      </c>
      <c r="G18" s="54">
        <f t="shared" si="3"/>
        <v>-3.105265764</v>
      </c>
      <c r="H18" s="54">
        <f t="shared" si="4"/>
        <v>-2.101550416</v>
      </c>
      <c r="I18" s="8"/>
      <c r="J18" s="8"/>
      <c r="K18" s="6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1" t="s">
        <v>15</v>
      </c>
      <c r="B19" s="1" t="s">
        <v>48</v>
      </c>
      <c r="C19" s="54">
        <f>total!J15</f>
        <v>-1.027154088</v>
      </c>
      <c r="D19" s="54">
        <f>total!M15</f>
        <v>-2.931785341</v>
      </c>
      <c r="E19" s="54">
        <f t="shared" si="1"/>
        <v>-3.95893943</v>
      </c>
      <c r="F19" s="54">
        <f t="shared" si="2"/>
        <v>-3.860527106</v>
      </c>
      <c r="G19" s="54">
        <f t="shared" si="3"/>
        <v>-3.811320944</v>
      </c>
      <c r="H19" s="54">
        <f t="shared" si="4"/>
        <v>-2.49774291</v>
      </c>
      <c r="I19" s="8"/>
      <c r="J19" s="8"/>
      <c r="K19" s="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1" t="s">
        <v>15</v>
      </c>
      <c r="B20" s="1" t="s">
        <v>49</v>
      </c>
      <c r="C20" s="54">
        <f>total!J16</f>
        <v>-1.055788071</v>
      </c>
      <c r="D20" s="54">
        <f>total!M16</f>
        <v>-3.137081946</v>
      </c>
      <c r="E20" s="54">
        <f t="shared" si="1"/>
        <v>-4.192870017</v>
      </c>
      <c r="F20" s="54">
        <f t="shared" si="2"/>
        <v>-4.116427692</v>
      </c>
      <c r="G20" s="54">
        <f t="shared" si="3"/>
        <v>-4.07820653</v>
      </c>
      <c r="H20" s="54">
        <f t="shared" si="4"/>
        <v>-2.61679939</v>
      </c>
      <c r="I20" s="8"/>
      <c r="J20" s="8"/>
      <c r="K20" s="6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>
      <c r="A21" s="1" t="s">
        <v>15</v>
      </c>
      <c r="B21" s="1" t="s">
        <v>50</v>
      </c>
      <c r="C21" s="54">
        <f>total!J17</f>
        <v>-1.07668314</v>
      </c>
      <c r="D21" s="54">
        <f>total!M17</f>
        <v>-3.286892982</v>
      </c>
      <c r="E21" s="54">
        <f t="shared" si="1"/>
        <v>-4.363576122</v>
      </c>
      <c r="F21" s="54">
        <f t="shared" si="2"/>
        <v>-4.303165958</v>
      </c>
      <c r="G21" s="54">
        <f t="shared" si="3"/>
        <v>-4.272960877</v>
      </c>
      <c r="H21" s="54">
        <f t="shared" si="4"/>
        <v>-2.703678443</v>
      </c>
      <c r="I21" s="8"/>
      <c r="J21" s="8"/>
      <c r="K21" s="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>
      <c r="A22" s="53" t="s">
        <v>51</v>
      </c>
      <c r="B22" s="53" t="s">
        <v>47</v>
      </c>
      <c r="C22" s="54">
        <f>total!J18</f>
        <v>-0.5551029441</v>
      </c>
      <c r="D22" s="54">
        <f>total!M18</f>
        <v>-1.400005379</v>
      </c>
      <c r="E22" s="54">
        <f t="shared" si="1"/>
        <v>-1.955108323</v>
      </c>
      <c r="F22" s="54">
        <f t="shared" si="2"/>
        <v>-1.86504077</v>
      </c>
      <c r="G22" s="54">
        <f t="shared" si="3"/>
        <v>-1.820006993</v>
      </c>
      <c r="H22" s="54">
        <f t="shared" si="4"/>
        <v>-1.27608495</v>
      </c>
      <c r="I22" s="8"/>
      <c r="J22" s="8"/>
      <c r="K22" s="6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>
      <c r="A23" s="53" t="s">
        <v>51</v>
      </c>
      <c r="B23" s="53" t="s">
        <v>48</v>
      </c>
      <c r="C23" s="54">
        <f>total!J19</f>
        <v>-0.6676244979</v>
      </c>
      <c r="D23" s="54">
        <f>total!M19</f>
        <v>-1.77544228</v>
      </c>
      <c r="E23" s="54">
        <f t="shared" si="1"/>
        <v>-2.443066778</v>
      </c>
      <c r="F23" s="54">
        <f t="shared" si="2"/>
        <v>-2.353072235</v>
      </c>
      <c r="G23" s="54">
        <f t="shared" si="3"/>
        <v>-2.308074964</v>
      </c>
      <c r="H23" s="54">
        <f t="shared" si="4"/>
        <v>-1.571412514</v>
      </c>
      <c r="I23" s="8"/>
      <c r="J23" s="8"/>
      <c r="K23" s="6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>
      <c r="A24" s="53" t="s">
        <v>51</v>
      </c>
      <c r="B24" s="53" t="s">
        <v>49</v>
      </c>
      <c r="C24" s="54">
        <f>total!J20</f>
        <v>-0.692708294</v>
      </c>
      <c r="D24" s="54">
        <f>total!M20</f>
        <v>-1.932710389</v>
      </c>
      <c r="E24" s="54">
        <f t="shared" si="1"/>
        <v>-2.625418683</v>
      </c>
      <c r="F24" s="54">
        <f t="shared" si="2"/>
        <v>-2.550155231</v>
      </c>
      <c r="G24" s="54">
        <f t="shared" si="3"/>
        <v>-2.512523505</v>
      </c>
      <c r="H24" s="54">
        <f t="shared" si="4"/>
        <v>-1.666677855</v>
      </c>
      <c r="I24" s="8"/>
      <c r="J24" s="8"/>
      <c r="K24" s="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53" t="s">
        <v>51</v>
      </c>
      <c r="B25" s="53" t="s">
        <v>50</v>
      </c>
      <c r="C25" s="54">
        <f>total!J21</f>
        <v>-0.7110126856</v>
      </c>
      <c r="D25" s="54">
        <f>total!M21</f>
        <v>-2.047473603</v>
      </c>
      <c r="E25" s="54">
        <f t="shared" si="1"/>
        <v>-2.758486289</v>
      </c>
      <c r="F25" s="54">
        <f t="shared" si="2"/>
        <v>-2.693972552</v>
      </c>
      <c r="G25" s="54">
        <f t="shared" si="3"/>
        <v>-2.661715684</v>
      </c>
      <c r="H25" s="54">
        <f t="shared" si="4"/>
        <v>-1.736195806</v>
      </c>
      <c r="I25" s="8"/>
      <c r="J25" s="8"/>
      <c r="K25" s="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>
      <c r="A26" s="53" t="s">
        <v>18</v>
      </c>
      <c r="B26" s="53" t="s">
        <v>47</v>
      </c>
      <c r="C26" s="54">
        <f>total!J22</f>
        <v>-1.029718749</v>
      </c>
      <c r="D26" s="54">
        <f>total!M22</f>
        <v>-2.71404413</v>
      </c>
      <c r="E26" s="54">
        <f t="shared" si="1"/>
        <v>-3.743762879</v>
      </c>
      <c r="F26" s="54">
        <f t="shared" si="2"/>
        <v>-3.600092539</v>
      </c>
      <c r="G26" s="54">
        <f t="shared" si="3"/>
        <v>-3.528257369</v>
      </c>
      <c r="H26" s="54">
        <f t="shared" si="4"/>
        <v>-2.413954839</v>
      </c>
      <c r="I26" s="8"/>
      <c r="J26" s="8"/>
      <c r="K26" s="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>
      <c r="A27" s="53" t="s">
        <v>18</v>
      </c>
      <c r="B27" s="53" t="s">
        <v>48</v>
      </c>
      <c r="C27" s="54">
        <f>total!J23</f>
        <v>-1.221093269</v>
      </c>
      <c r="D27" s="54">
        <f>total!M23</f>
        <v>-3.385230837</v>
      </c>
      <c r="E27" s="54">
        <f t="shared" si="1"/>
        <v>-4.606324106</v>
      </c>
      <c r="F27" s="54">
        <f t="shared" si="2"/>
        <v>-4.469308094</v>
      </c>
      <c r="G27" s="54">
        <f t="shared" si="3"/>
        <v>-4.400800088</v>
      </c>
      <c r="H27" s="54">
        <f t="shared" si="4"/>
        <v>-2.929302651</v>
      </c>
      <c r="I27" s="8"/>
      <c r="J27" s="8"/>
      <c r="K27" s="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>
      <c r="A28" s="53" t="s">
        <v>18</v>
      </c>
      <c r="B28" s="53" t="s">
        <v>49</v>
      </c>
      <c r="C28" s="54">
        <f>total!J24</f>
        <v>-1.26091379</v>
      </c>
      <c r="D28" s="54">
        <f>total!M24</f>
        <v>-3.645603471</v>
      </c>
      <c r="E28" s="54">
        <f t="shared" si="1"/>
        <v>-4.906517261</v>
      </c>
      <c r="F28" s="54">
        <f t="shared" si="2"/>
        <v>-4.795028762</v>
      </c>
      <c r="G28" s="54">
        <f t="shared" si="3"/>
        <v>-4.739284512</v>
      </c>
      <c r="H28" s="54">
        <f t="shared" si="4"/>
        <v>-3.084820178</v>
      </c>
      <c r="I28" s="8"/>
      <c r="J28" s="8"/>
      <c r="K28" s="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>
      <c r="A29" s="53" t="s">
        <v>18</v>
      </c>
      <c r="B29" s="53" t="s">
        <v>50</v>
      </c>
      <c r="C29" s="54">
        <f>total!J25</f>
        <v>-1.289972009</v>
      </c>
      <c r="D29" s="54">
        <f>total!M25</f>
        <v>-3.835605123</v>
      </c>
      <c r="E29" s="54">
        <f t="shared" si="1"/>
        <v>-5.125577132</v>
      </c>
      <c r="F29" s="54">
        <f t="shared" si="2"/>
        <v>-5.032716817</v>
      </c>
      <c r="G29" s="54">
        <f t="shared" si="3"/>
        <v>-4.98628666</v>
      </c>
      <c r="H29" s="54">
        <f t="shared" si="4"/>
        <v>-3.198305941</v>
      </c>
      <c r="I29" s="8"/>
      <c r="J29" s="8"/>
      <c r="K29" s="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>
      <c r="A30" s="53" t="s">
        <v>34</v>
      </c>
      <c r="B30" s="53" t="s">
        <v>47</v>
      </c>
      <c r="C30" s="54">
        <f>challenging!H6</f>
        <v>-1.375237146</v>
      </c>
      <c r="D30" s="54">
        <f>challenging!K6</f>
        <v>-3.509271887</v>
      </c>
      <c r="E30" s="54">
        <f t="shared" si="1"/>
        <v>-4.884509034</v>
      </c>
      <c r="F30" s="54">
        <f t="shared" si="2"/>
        <v>-4.669538647</v>
      </c>
      <c r="G30" s="54">
        <f t="shared" si="3"/>
        <v>-4.562053453</v>
      </c>
      <c r="H30" s="54">
        <f t="shared" si="4"/>
        <v>-3.177764674</v>
      </c>
      <c r="I30" s="8"/>
      <c r="J30" s="8"/>
      <c r="K30" s="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>
      <c r="A31" s="53" t="s">
        <v>34</v>
      </c>
      <c r="B31" s="53" t="s">
        <v>48</v>
      </c>
      <c r="C31" s="54">
        <f>challenging!H7</f>
        <v>-1.630455926</v>
      </c>
      <c r="D31" s="54">
        <f>challenging!K7</f>
        <v>-4.397884949</v>
      </c>
      <c r="E31" s="54">
        <f t="shared" si="1"/>
        <v>-6.028340875</v>
      </c>
      <c r="F31" s="54">
        <f t="shared" si="2"/>
        <v>-5.820947247</v>
      </c>
      <c r="G31" s="54">
        <f t="shared" si="3"/>
        <v>-5.717250434</v>
      </c>
      <c r="H31" s="54">
        <f t="shared" si="4"/>
        <v>-3.862442124</v>
      </c>
      <c r="I31" s="8"/>
      <c r="J31" s="8"/>
      <c r="K31" s="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>
      <c r="A32" s="53" t="s">
        <v>34</v>
      </c>
      <c r="B32" s="53" t="s">
        <v>49</v>
      </c>
      <c r="C32" s="54">
        <f>challenging!H8</f>
        <v>-1.682920729</v>
      </c>
      <c r="D32" s="54">
        <f>challenging!K8</f>
        <v>-4.742248285</v>
      </c>
      <c r="E32" s="54">
        <f t="shared" si="1"/>
        <v>-6.425169014</v>
      </c>
      <c r="F32" s="54">
        <f t="shared" si="2"/>
        <v>-6.251671518</v>
      </c>
      <c r="G32" s="54">
        <f t="shared" si="3"/>
        <v>-6.16492277</v>
      </c>
      <c r="H32" s="54">
        <f t="shared" si="4"/>
        <v>-4.067867054</v>
      </c>
      <c r="I32" s="8"/>
      <c r="J32" s="8"/>
      <c r="K32" s="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>
      <c r="A33" s="53" t="s">
        <v>34</v>
      </c>
      <c r="B33" s="53" t="s">
        <v>50</v>
      </c>
      <c r="C33" s="54">
        <f>challenging!H9</f>
        <v>-1.721205856</v>
      </c>
      <c r="D33" s="54">
        <f>challenging!K9</f>
        <v>-4.993540449</v>
      </c>
      <c r="E33" s="54">
        <f t="shared" si="1"/>
        <v>-6.714746304</v>
      </c>
      <c r="F33" s="54">
        <f t="shared" si="2"/>
        <v>-6.565983823</v>
      </c>
      <c r="G33" s="54">
        <f t="shared" si="3"/>
        <v>-6.491602583</v>
      </c>
      <c r="H33" s="54">
        <f t="shared" si="4"/>
        <v>-4.217771733</v>
      </c>
      <c r="I33" s="8"/>
      <c r="J33" s="8"/>
      <c r="K33" s="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>
      <c r="A34" s="53" t="s">
        <v>52</v>
      </c>
      <c r="B34" s="53" t="s">
        <v>47</v>
      </c>
      <c r="C34" s="54">
        <f>total!J26</f>
        <v>-0.5097695466</v>
      </c>
      <c r="D34" s="54">
        <f>total!M26</f>
        <v>-1.429204984</v>
      </c>
      <c r="E34" s="54">
        <f t="shared" si="1"/>
        <v>-1.938974531</v>
      </c>
      <c r="F34" s="54">
        <f t="shared" si="2"/>
        <v>-1.884969163</v>
      </c>
      <c r="G34" s="54">
        <f t="shared" si="3"/>
        <v>-1.857966479</v>
      </c>
      <c r="H34" s="54">
        <f t="shared" si="4"/>
        <v>-1.229284709</v>
      </c>
      <c r="I34" s="8"/>
      <c r="J34" s="8"/>
      <c r="K34" s="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>
      <c r="A35" s="53" t="s">
        <v>52</v>
      </c>
      <c r="B35" s="53" t="s">
        <v>48</v>
      </c>
      <c r="C35" s="54">
        <f>total!J27</f>
        <v>-0.6153807257</v>
      </c>
      <c r="D35" s="54">
        <f>total!M27</f>
        <v>-1.804313067</v>
      </c>
      <c r="E35" s="54">
        <f t="shared" si="1"/>
        <v>-2.419693792</v>
      </c>
      <c r="F35" s="54">
        <f t="shared" si="2"/>
        <v>-2.370302589</v>
      </c>
      <c r="G35" s="54">
        <f t="shared" si="3"/>
        <v>-2.345606987</v>
      </c>
      <c r="H35" s="54">
        <f t="shared" si="4"/>
        <v>-1.515566363</v>
      </c>
      <c r="I35" s="8"/>
      <c r="J35" s="8"/>
      <c r="K35" s="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>
      <c r="A36" s="53" t="s">
        <v>52</v>
      </c>
      <c r="B36" s="53" t="s">
        <v>49</v>
      </c>
      <c r="C36" s="54">
        <f>total!J28</f>
        <v>-0.6373460613</v>
      </c>
      <c r="D36" s="54">
        <f>total!M28</f>
        <v>-1.948956743</v>
      </c>
      <c r="E36" s="54">
        <f t="shared" si="1"/>
        <v>-2.586302805</v>
      </c>
      <c r="F36" s="54">
        <f t="shared" si="2"/>
        <v>-2.551196779</v>
      </c>
      <c r="G36" s="54">
        <f t="shared" si="3"/>
        <v>-2.533643766</v>
      </c>
      <c r="H36" s="54">
        <f t="shared" si="4"/>
        <v>-1.601759116</v>
      </c>
      <c r="I36" s="8"/>
      <c r="J36" s="8"/>
      <c r="K36" s="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>
      <c r="A37" s="53" t="s">
        <v>52</v>
      </c>
      <c r="B37" s="53" t="s">
        <v>50</v>
      </c>
      <c r="C37" s="54">
        <f>total!J29</f>
        <v>-0.6533748197</v>
      </c>
      <c r="D37" s="54">
        <f>total!M29</f>
        <v>-2.054507535</v>
      </c>
      <c r="E37" s="54">
        <f t="shared" si="1"/>
        <v>-2.707882354</v>
      </c>
      <c r="F37" s="54">
        <f t="shared" si="2"/>
        <v>-2.683200648</v>
      </c>
      <c r="G37" s="54">
        <f t="shared" si="3"/>
        <v>-2.670859795</v>
      </c>
      <c r="H37" s="54">
        <f t="shared" si="4"/>
        <v>-1.664656531</v>
      </c>
      <c r="I37" s="8"/>
      <c r="J37" s="8"/>
      <c r="K37" s="6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>
      <c r="A38" s="53" t="s">
        <v>20</v>
      </c>
      <c r="B38" s="53" t="s">
        <v>47</v>
      </c>
      <c r="C38" s="54">
        <f>total!J30</f>
        <v>-0.5376415003</v>
      </c>
      <c r="D38" s="54">
        <f>total!M30</f>
        <v>-1.462407435</v>
      </c>
      <c r="E38" s="54">
        <f t="shared" si="1"/>
        <v>-2.000048935</v>
      </c>
      <c r="F38" s="54">
        <f t="shared" si="2"/>
        <v>-1.934102755</v>
      </c>
      <c r="G38" s="54">
        <f t="shared" si="3"/>
        <v>-1.901129665</v>
      </c>
      <c r="H38" s="54">
        <f t="shared" si="4"/>
        <v>-1.278520509</v>
      </c>
      <c r="I38" s="8"/>
      <c r="J38" s="8"/>
      <c r="K38" s="6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>
      <c r="A39" s="53" t="s">
        <v>20</v>
      </c>
      <c r="B39" s="53" t="s">
        <v>48</v>
      </c>
      <c r="C39" s="54">
        <f>total!J31</f>
        <v>-0.6496895018</v>
      </c>
      <c r="D39" s="54">
        <f>total!M31</f>
        <v>-1.853127885</v>
      </c>
      <c r="E39" s="54">
        <f t="shared" si="1"/>
        <v>-2.502817386</v>
      </c>
      <c r="F39" s="54">
        <f t="shared" si="2"/>
        <v>-2.440316629</v>
      </c>
      <c r="G39" s="54">
        <f t="shared" si="3"/>
        <v>-2.40906625</v>
      </c>
      <c r="H39" s="54">
        <f t="shared" si="4"/>
        <v>-1.579350611</v>
      </c>
      <c r="I39" s="8"/>
      <c r="J39" s="8"/>
      <c r="K39" s="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>
      <c r="A40" s="53" t="s">
        <v>20</v>
      </c>
      <c r="B40" s="53" t="s">
        <v>49</v>
      </c>
      <c r="C40" s="54">
        <f>total!J32</f>
        <v>-0.6730290946</v>
      </c>
      <c r="D40" s="54">
        <f>total!M32</f>
        <v>-2.004576267</v>
      </c>
      <c r="E40" s="54">
        <f t="shared" si="1"/>
        <v>-2.677605361</v>
      </c>
      <c r="F40" s="54">
        <f t="shared" si="2"/>
        <v>-2.629834552</v>
      </c>
      <c r="G40" s="54">
        <f t="shared" si="3"/>
        <v>-2.605949147</v>
      </c>
      <c r="H40" s="54">
        <f t="shared" si="4"/>
        <v>-1.670038039</v>
      </c>
      <c r="I40" s="8"/>
      <c r="J40" s="8"/>
      <c r="K40" s="6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>
      <c r="A41" s="53" t="s">
        <v>20</v>
      </c>
      <c r="B41" s="53" t="s">
        <v>50</v>
      </c>
      <c r="C41" s="54">
        <f>total!J33</f>
        <v>-0.6900606893</v>
      </c>
      <c r="D41" s="54">
        <f>total!M33</f>
        <v>-2.115092654</v>
      </c>
      <c r="E41" s="54">
        <f t="shared" si="1"/>
        <v>-2.805153343</v>
      </c>
      <c r="F41" s="54">
        <f t="shared" si="2"/>
        <v>-2.768131414</v>
      </c>
      <c r="G41" s="54">
        <f t="shared" si="3"/>
        <v>-2.74962045</v>
      </c>
      <c r="H41" s="54">
        <f t="shared" si="4"/>
        <v>-1.736215351</v>
      </c>
      <c r="I41" s="8"/>
      <c r="J41" s="8"/>
      <c r="K41" s="6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>
      <c r="A42" s="53" t="s">
        <v>21</v>
      </c>
      <c r="B42" s="53" t="s">
        <v>47</v>
      </c>
      <c r="C42" s="54">
        <f>total!J34</f>
        <v>-0.4063341982</v>
      </c>
      <c r="D42" s="54">
        <f>total!M34</f>
        <v>-1.136165865</v>
      </c>
      <c r="E42" s="54">
        <f t="shared" si="1"/>
        <v>-1.542500063</v>
      </c>
      <c r="F42" s="54">
        <f t="shared" si="2"/>
        <v>-1.49884377</v>
      </c>
      <c r="G42" s="54">
        <f t="shared" si="3"/>
        <v>-1.477015624</v>
      </c>
      <c r="H42" s="54">
        <f t="shared" si="4"/>
        <v>-0.9786374615</v>
      </c>
      <c r="I42" s="8"/>
      <c r="J42" s="8"/>
      <c r="K42" s="6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>
      <c r="A43" s="53" t="s">
        <v>21</v>
      </c>
      <c r="B43" s="53" t="s">
        <v>48</v>
      </c>
      <c r="C43" s="54">
        <f>total!J35</f>
        <v>-0.4792000241</v>
      </c>
      <c r="D43" s="54">
        <f>total!M35</f>
        <v>-1.405035497</v>
      </c>
      <c r="E43" s="54">
        <f t="shared" si="1"/>
        <v>-1.884235521</v>
      </c>
      <c r="F43" s="54">
        <f t="shared" si="2"/>
        <v>-1.845775938</v>
      </c>
      <c r="G43" s="54">
        <f t="shared" si="3"/>
        <v>-1.826546146</v>
      </c>
      <c r="H43" s="54">
        <f t="shared" si="4"/>
        <v>-1.18018223</v>
      </c>
      <c r="I43" s="8"/>
      <c r="J43" s="8"/>
      <c r="K43" s="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>
      <c r="A44" s="53" t="s">
        <v>21</v>
      </c>
      <c r="B44" s="53" t="s">
        <v>49</v>
      </c>
      <c r="C44" s="54">
        <f>total!J36</f>
        <v>-0.4944807744</v>
      </c>
      <c r="D44" s="54">
        <f>total!M36</f>
        <v>-1.506513775</v>
      </c>
      <c r="E44" s="54">
        <f t="shared" si="1"/>
        <v>-2.000994549</v>
      </c>
      <c r="F44" s="54">
        <f t="shared" si="2"/>
        <v>-1.972643455</v>
      </c>
      <c r="G44" s="54">
        <f t="shared" si="3"/>
        <v>-1.958467908</v>
      </c>
      <c r="H44" s="54">
        <f t="shared" si="4"/>
        <v>-1.240485709</v>
      </c>
      <c r="I44" s="8"/>
      <c r="J44" s="8"/>
      <c r="K44" s="6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>
      <c r="A45" s="53" t="s">
        <v>21</v>
      </c>
      <c r="B45" s="53" t="s">
        <v>50</v>
      </c>
      <c r="C45" s="54">
        <f>total!J37</f>
        <v>-0.5056315922</v>
      </c>
      <c r="D45" s="54">
        <f>total!M37</f>
        <v>-1.580565491</v>
      </c>
      <c r="E45" s="54">
        <f t="shared" si="1"/>
        <v>-2.086197084</v>
      </c>
      <c r="F45" s="54">
        <f t="shared" si="2"/>
        <v>-2.065222454</v>
      </c>
      <c r="G45" s="54">
        <f t="shared" si="3"/>
        <v>-2.054735139</v>
      </c>
      <c r="H45" s="54">
        <f t="shared" si="4"/>
        <v>-1.28449095</v>
      </c>
      <c r="I45" s="8"/>
      <c r="J45" s="8"/>
      <c r="K45" s="6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>
      <c r="A46" s="53" t="s">
        <v>53</v>
      </c>
      <c r="B46" s="53" t="s">
        <v>47</v>
      </c>
      <c r="C46" s="54">
        <f>total!J38</f>
        <v>-0.6340189721</v>
      </c>
      <c r="D46" s="54">
        <f>total!M38</f>
        <v>-1.765151296</v>
      </c>
      <c r="E46" s="54">
        <f t="shared" si="1"/>
        <v>-2.399170268</v>
      </c>
      <c r="F46" s="54">
        <f t="shared" si="2"/>
        <v>-2.329521213</v>
      </c>
      <c r="G46" s="54">
        <f t="shared" si="3"/>
        <v>-2.294696685</v>
      </c>
      <c r="H46" s="54">
        <f t="shared" si="4"/>
        <v>-1.523944992</v>
      </c>
      <c r="I46" s="8"/>
      <c r="J46" s="8"/>
      <c r="K46" s="6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>
      <c r="A47" s="53" t="s">
        <v>53</v>
      </c>
      <c r="B47" s="53" t="s">
        <v>48</v>
      </c>
      <c r="C47" s="54">
        <f>total!J39</f>
        <v>-0.7515366295</v>
      </c>
      <c r="D47" s="54">
        <f>total!M39</f>
        <v>-2.200749958</v>
      </c>
      <c r="E47" s="54">
        <f t="shared" si="1"/>
        <v>-2.952286587</v>
      </c>
      <c r="F47" s="54">
        <f t="shared" si="2"/>
        <v>-2.891412159</v>
      </c>
      <c r="G47" s="54">
        <f t="shared" si="3"/>
        <v>-2.860974945</v>
      </c>
      <c r="H47" s="54">
        <f t="shared" si="4"/>
        <v>-1.849782235</v>
      </c>
      <c r="I47" s="8"/>
      <c r="J47" s="8"/>
      <c r="K47" s="6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>
      <c r="A48" s="53" t="s">
        <v>53</v>
      </c>
      <c r="B48" s="53" t="s">
        <v>49</v>
      </c>
      <c r="C48" s="54">
        <f>total!J40</f>
        <v>-0.7764728132</v>
      </c>
      <c r="D48" s="54">
        <f>total!M40</f>
        <v>-2.369808283</v>
      </c>
      <c r="E48" s="54">
        <f t="shared" si="1"/>
        <v>-3.146281097</v>
      </c>
      <c r="F48" s="54">
        <f t="shared" si="2"/>
        <v>-3.102594211</v>
      </c>
      <c r="G48" s="54">
        <f t="shared" si="3"/>
        <v>-3.080750768</v>
      </c>
      <c r="H48" s="54">
        <f t="shared" si="4"/>
        <v>-1.949573242</v>
      </c>
      <c r="I48" s="8"/>
      <c r="J48" s="8"/>
      <c r="K48" s="6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>
      <c r="A49" s="53" t="s">
        <v>53</v>
      </c>
      <c r="B49" s="53" t="s">
        <v>50</v>
      </c>
      <c r="C49" s="54">
        <f>total!J41</f>
        <v>-0.7946694878</v>
      </c>
      <c r="D49" s="54">
        <f>total!M41</f>
        <v>-2.49317517</v>
      </c>
      <c r="E49" s="54">
        <f t="shared" si="1"/>
        <v>-3.287844658</v>
      </c>
      <c r="F49" s="54">
        <f t="shared" si="2"/>
        <v>-3.256700033</v>
      </c>
      <c r="G49" s="54">
        <f t="shared" si="3"/>
        <v>-3.241127721</v>
      </c>
      <c r="H49" s="54">
        <f t="shared" si="4"/>
        <v>-2.022393707</v>
      </c>
      <c r="I49" s="8"/>
      <c r="J49" s="8"/>
      <c r="K49" s="6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>
      <c r="A50" s="53" t="s">
        <v>91</v>
      </c>
      <c r="B50" s="53" t="s">
        <v>47</v>
      </c>
      <c r="C50" s="54">
        <f>total!J42</f>
        <v>-0.8402318792</v>
      </c>
      <c r="D50" s="54">
        <f>total!M42</f>
        <v>-2.180092223</v>
      </c>
      <c r="E50" s="54">
        <f t="shared" si="1"/>
        <v>-3.020324102</v>
      </c>
      <c r="F50" s="54">
        <f t="shared" si="2"/>
        <v>-2.89618796</v>
      </c>
      <c r="G50" s="54">
        <f t="shared" si="3"/>
        <v>-2.834119889</v>
      </c>
      <c r="H50" s="54">
        <f t="shared" si="4"/>
        <v>-1.955936013</v>
      </c>
      <c r="I50" s="8"/>
      <c r="J50" s="8"/>
      <c r="K50" s="6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>
      <c r="A51" s="53" t="s">
        <v>91</v>
      </c>
      <c r="B51" s="53" t="s">
        <v>48</v>
      </c>
      <c r="C51" s="54">
        <f>total!J43</f>
        <v>-0.9839547247</v>
      </c>
      <c r="D51" s="54">
        <f>total!M43</f>
        <v>-2.695936602</v>
      </c>
      <c r="E51" s="54">
        <f t="shared" si="1"/>
        <v>-3.679891327</v>
      </c>
      <c r="F51" s="54">
        <f t="shared" si="2"/>
        <v>-3.563108831</v>
      </c>
      <c r="G51" s="54">
        <f t="shared" si="3"/>
        <v>-3.504717583</v>
      </c>
      <c r="H51" s="54">
        <f t="shared" si="4"/>
        <v>-2.347676236</v>
      </c>
      <c r="I51" s="8"/>
      <c r="J51" s="8"/>
      <c r="K51" s="6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>
      <c r="A52" s="53" t="s">
        <v>91</v>
      </c>
      <c r="B52" s="53" t="s">
        <v>49</v>
      </c>
      <c r="C52" s="54">
        <f>total!J44</f>
        <v>-1.014053085</v>
      </c>
      <c r="D52" s="54">
        <f>total!M44</f>
        <v>-2.894688746</v>
      </c>
      <c r="E52" s="54">
        <f t="shared" si="1"/>
        <v>-3.908741831</v>
      </c>
      <c r="F52" s="54">
        <f t="shared" si="2"/>
        <v>-3.81164419</v>
      </c>
      <c r="G52" s="54">
        <f t="shared" si="3"/>
        <v>-3.763095369</v>
      </c>
      <c r="H52" s="54">
        <f t="shared" si="4"/>
        <v>-2.466003978</v>
      </c>
      <c r="I52" s="8"/>
      <c r="J52" s="8"/>
      <c r="K52" s="6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>
      <c r="A53" s="53" t="s">
        <v>91</v>
      </c>
      <c r="B53" s="53" t="s">
        <v>50</v>
      </c>
      <c r="C53" s="54">
        <f>total!J45</f>
        <v>-1.036016754</v>
      </c>
      <c r="D53" s="54">
        <f>total!M45</f>
        <v>-3.039724094</v>
      </c>
      <c r="E53" s="54">
        <f t="shared" si="1"/>
        <v>-4.075740847</v>
      </c>
      <c r="F53" s="54">
        <f t="shared" si="2"/>
        <v>-3.99300783</v>
      </c>
      <c r="G53" s="54">
        <f t="shared" si="3"/>
        <v>-3.951641322</v>
      </c>
      <c r="H53" s="54">
        <f t="shared" si="4"/>
        <v>-2.55235125</v>
      </c>
      <c r="I53" s="8"/>
      <c r="J53" s="8"/>
      <c r="K53" s="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>
      <c r="A54" s="53" t="s">
        <v>54</v>
      </c>
      <c r="B54" s="53" t="s">
        <v>47</v>
      </c>
      <c r="C54" s="54">
        <f>total!J46</f>
        <v>-0.7547235264</v>
      </c>
      <c r="D54" s="54">
        <f>total!M46</f>
        <v>-1.955406601</v>
      </c>
      <c r="E54" s="54">
        <f t="shared" si="1"/>
        <v>-2.710130128</v>
      </c>
      <c r="F54" s="54">
        <f t="shared" si="2"/>
        <v>-2.59806243</v>
      </c>
      <c r="G54" s="54">
        <f t="shared" si="3"/>
        <v>-2.542028581</v>
      </c>
      <c r="H54" s="54">
        <f t="shared" si="4"/>
        <v>-1.75575599</v>
      </c>
      <c r="I54" s="8"/>
      <c r="J54" s="8"/>
      <c r="K54" s="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>
      <c r="A55" s="53" t="s">
        <v>54</v>
      </c>
      <c r="B55" s="53" t="s">
        <v>48</v>
      </c>
      <c r="C55" s="54">
        <f>total!J47</f>
        <v>-0.8715305725</v>
      </c>
      <c r="D55" s="54">
        <f>total!M47</f>
        <v>-2.399233632</v>
      </c>
      <c r="E55" s="54">
        <f t="shared" si="1"/>
        <v>-3.270764205</v>
      </c>
      <c r="F55" s="54">
        <f t="shared" si="2"/>
        <v>-3.16959055</v>
      </c>
      <c r="G55" s="54">
        <f t="shared" si="3"/>
        <v>-3.119003722</v>
      </c>
      <c r="H55" s="54">
        <f t="shared" si="4"/>
        <v>-2.083967892</v>
      </c>
      <c r="I55" s="8"/>
      <c r="J55" s="8"/>
      <c r="K55" s="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>
      <c r="A56" s="53" t="s">
        <v>54</v>
      </c>
      <c r="B56" s="53" t="s">
        <v>49</v>
      </c>
      <c r="C56" s="54">
        <f>total!J48</f>
        <v>-0.8953925172</v>
      </c>
      <c r="D56" s="54">
        <f>total!M48</f>
        <v>-2.567304935</v>
      </c>
      <c r="E56" s="54">
        <f t="shared" si="1"/>
        <v>-3.462697452</v>
      </c>
      <c r="F56" s="54">
        <f t="shared" si="2"/>
        <v>-3.379230094</v>
      </c>
      <c r="G56" s="54">
        <f t="shared" si="3"/>
        <v>-3.337496416</v>
      </c>
      <c r="H56" s="54">
        <f t="shared" si="4"/>
        <v>-2.181978321</v>
      </c>
      <c r="I56" s="8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>
      <c r="A57" s="53" t="s">
        <v>54</v>
      </c>
      <c r="B57" s="53" t="s">
        <v>50</v>
      </c>
      <c r="C57" s="54">
        <f>total!J49</f>
        <v>-0.9128052876</v>
      </c>
      <c r="D57" s="54">
        <f>total!M49</f>
        <v>-2.689951561</v>
      </c>
      <c r="E57" s="54">
        <f t="shared" si="1"/>
        <v>-3.602756849</v>
      </c>
      <c r="F57" s="54">
        <f t="shared" si="2"/>
        <v>-3.532210303</v>
      </c>
      <c r="G57" s="54">
        <f t="shared" si="3"/>
        <v>-3.49693703</v>
      </c>
      <c r="H57" s="54">
        <f t="shared" si="4"/>
        <v>-2.253499446</v>
      </c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>
      <c r="A58" s="53" t="s">
        <v>55</v>
      </c>
      <c r="B58" s="53" t="s">
        <v>47</v>
      </c>
      <c r="C58" s="54">
        <f>total!J50</f>
        <v>-1.139935881</v>
      </c>
      <c r="D58" s="54">
        <f>total!M50</f>
        <v>-2.899020677</v>
      </c>
      <c r="E58" s="54">
        <f t="shared" si="1"/>
        <v>-4.038956559</v>
      </c>
      <c r="F58" s="54">
        <f t="shared" si="2"/>
        <v>-3.85880344</v>
      </c>
      <c r="G58" s="54">
        <f t="shared" si="3"/>
        <v>-3.76872688</v>
      </c>
      <c r="H58" s="54">
        <f t="shared" si="4"/>
        <v>-2.630125558</v>
      </c>
      <c r="I58" s="8"/>
      <c r="J58" s="8"/>
      <c r="K58" s="6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>
      <c r="A59" s="53" t="s">
        <v>55</v>
      </c>
      <c r="B59" s="53" t="s">
        <v>48</v>
      </c>
      <c r="C59" s="54">
        <f>total!J51</f>
        <v>-1.383934662</v>
      </c>
      <c r="D59" s="54">
        <f>total!M51</f>
        <v>-3.702833841</v>
      </c>
      <c r="E59" s="54">
        <f t="shared" si="1"/>
        <v>-5.086768502</v>
      </c>
      <c r="F59" s="54">
        <f t="shared" si="2"/>
        <v>-4.904712163</v>
      </c>
      <c r="G59" s="54">
        <f t="shared" si="3"/>
        <v>-4.813683993</v>
      </c>
      <c r="H59" s="54">
        <f t="shared" si="4"/>
        <v>-3.26640925</v>
      </c>
      <c r="I59" s="8"/>
      <c r="J59" s="8"/>
      <c r="K59" s="6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>
      <c r="A60" s="53" t="s">
        <v>55</v>
      </c>
      <c r="B60" s="53" t="s">
        <v>49</v>
      </c>
      <c r="C60" s="54">
        <f>total!J52</f>
        <v>-1.436147457</v>
      </c>
      <c r="D60" s="54">
        <f>total!M52</f>
        <v>-4.025534278</v>
      </c>
      <c r="E60" s="54">
        <f t="shared" si="1"/>
        <v>-5.461681735</v>
      </c>
      <c r="F60" s="54">
        <f t="shared" si="2"/>
        <v>-5.309356953</v>
      </c>
      <c r="G60" s="54">
        <f t="shared" si="3"/>
        <v>-5.233194562</v>
      </c>
      <c r="H60" s="54">
        <f t="shared" si="4"/>
        <v>-3.462843931</v>
      </c>
      <c r="I60" s="8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>
      <c r="A61" s="53" t="s">
        <v>55</v>
      </c>
      <c r="B61" s="53" t="s">
        <v>50</v>
      </c>
      <c r="C61" s="54">
        <f>total!J53</f>
        <v>-1.474248686</v>
      </c>
      <c r="D61" s="54">
        <f>total!M53</f>
        <v>-4.261018381</v>
      </c>
      <c r="E61" s="54">
        <f t="shared" si="1"/>
        <v>-5.735267067</v>
      </c>
      <c r="F61" s="54">
        <f t="shared" si="2"/>
        <v>-5.604638286</v>
      </c>
      <c r="G61" s="54">
        <f t="shared" si="3"/>
        <v>-5.539323896</v>
      </c>
      <c r="H61" s="54">
        <f t="shared" si="4"/>
        <v>-3.606188157</v>
      </c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>
      <c r="A62" s="53" t="s">
        <v>56</v>
      </c>
      <c r="B62" s="53" t="s">
        <v>47</v>
      </c>
      <c r="C62" s="54">
        <f>total!J54</f>
        <v>-0.5718467036</v>
      </c>
      <c r="D62" s="54">
        <f>total!M54</f>
        <v>-1.453081368</v>
      </c>
      <c r="E62" s="54">
        <f t="shared" si="1"/>
        <v>-2.024928072</v>
      </c>
      <c r="F62" s="54">
        <f t="shared" si="2"/>
        <v>-1.93431321</v>
      </c>
      <c r="G62" s="54">
        <f t="shared" si="3"/>
        <v>-1.889005779</v>
      </c>
      <c r="H62" s="54">
        <f t="shared" si="4"/>
        <v>-1.318914795</v>
      </c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>
      <c r="A63" s="53" t="s">
        <v>56</v>
      </c>
      <c r="B63" s="53" t="s">
        <v>48</v>
      </c>
      <c r="C63" s="54">
        <f>total!J55</f>
        <v>-0.6935085766</v>
      </c>
      <c r="D63" s="54">
        <f>total!M55</f>
        <v>-1.854627454</v>
      </c>
      <c r="E63" s="54">
        <f t="shared" si="1"/>
        <v>-2.548136031</v>
      </c>
      <c r="F63" s="54">
        <f t="shared" si="2"/>
        <v>-2.45672247</v>
      </c>
      <c r="G63" s="54">
        <f t="shared" si="3"/>
        <v>-2.41101569</v>
      </c>
      <c r="H63" s="54">
        <f t="shared" si="4"/>
        <v>-1.636477045</v>
      </c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>
      <c r="A64" s="53" t="s">
        <v>56</v>
      </c>
      <c r="B64" s="53" t="s">
        <v>49</v>
      </c>
      <c r="C64" s="54">
        <f>total!J56</f>
        <v>-0.7195443949</v>
      </c>
      <c r="D64" s="54">
        <f>total!M56</f>
        <v>-2.015739604</v>
      </c>
      <c r="E64" s="54">
        <f t="shared" si="1"/>
        <v>-2.735283999</v>
      </c>
      <c r="F64" s="54">
        <f t="shared" si="2"/>
        <v>-2.658735656</v>
      </c>
      <c r="G64" s="54">
        <f t="shared" si="3"/>
        <v>-2.620461485</v>
      </c>
      <c r="H64" s="54">
        <f t="shared" si="4"/>
        <v>-1.734508111</v>
      </c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>
      <c r="A65" s="53" t="s">
        <v>56</v>
      </c>
      <c r="B65" s="53" t="s">
        <v>50</v>
      </c>
      <c r="C65" s="54">
        <f>total!J57</f>
        <v>-0.7385435055</v>
      </c>
      <c r="D65" s="54">
        <f>total!M57</f>
        <v>-2.133307929</v>
      </c>
      <c r="E65" s="54">
        <f t="shared" si="1"/>
        <v>-2.871851435</v>
      </c>
      <c r="F65" s="54">
        <f t="shared" si="2"/>
        <v>-2.806150684</v>
      </c>
      <c r="G65" s="54">
        <f t="shared" si="3"/>
        <v>-2.773300308</v>
      </c>
      <c r="H65" s="54">
        <f t="shared" si="4"/>
        <v>-1.806044294</v>
      </c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>
      <c r="A66" s="53" t="s">
        <v>28</v>
      </c>
      <c r="B66" s="53" t="s">
        <v>47</v>
      </c>
      <c r="C66" s="54">
        <f>total!J58</f>
        <v>-0.4896674425</v>
      </c>
      <c r="D66" s="54">
        <f>total!M58</f>
        <v>-1.259346752</v>
      </c>
      <c r="E66" s="54">
        <f t="shared" si="1"/>
        <v>-1.749014195</v>
      </c>
      <c r="F66" s="54">
        <f t="shared" si="2"/>
        <v>-1.674438584</v>
      </c>
      <c r="G66" s="54">
        <f t="shared" si="3"/>
        <v>-1.637150778</v>
      </c>
      <c r="H66" s="54">
        <f t="shared" si="4"/>
        <v>-1.135409702</v>
      </c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>
      <c r="A67" s="53" t="s">
        <v>28</v>
      </c>
      <c r="B67" s="53" t="s">
        <v>48</v>
      </c>
      <c r="C67" s="54">
        <f>total!J59</f>
        <v>-0.5703934815</v>
      </c>
      <c r="D67" s="54">
        <f>total!M59</f>
        <v>-1.555483581</v>
      </c>
      <c r="E67" s="54">
        <f t="shared" si="1"/>
        <v>-2.125877062</v>
      </c>
      <c r="F67" s="54">
        <f t="shared" si="2"/>
        <v>-2.056711458</v>
      </c>
      <c r="G67" s="54">
        <f t="shared" si="3"/>
        <v>-2.022128655</v>
      </c>
      <c r="H67" s="54">
        <f t="shared" si="4"/>
        <v>-1.358001023</v>
      </c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>
      <c r="A68" s="53" t="s">
        <v>28</v>
      </c>
      <c r="B68" s="53" t="s">
        <v>49</v>
      </c>
      <c r="C68" s="54">
        <f>total!J60</f>
        <v>-0.587544997</v>
      </c>
      <c r="D68" s="54">
        <f>total!M60</f>
        <v>-1.669403684</v>
      </c>
      <c r="E68" s="54">
        <f t="shared" si="1"/>
        <v>-2.256948681</v>
      </c>
      <c r="F68" s="54">
        <f t="shared" si="2"/>
        <v>-2.199132753</v>
      </c>
      <c r="G68" s="54">
        <f t="shared" si="3"/>
        <v>-2.170224789</v>
      </c>
      <c r="H68" s="54">
        <f t="shared" si="4"/>
        <v>-1.42569452</v>
      </c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>
      <c r="A69" s="53" t="s">
        <v>28</v>
      </c>
      <c r="B69" s="53" t="s">
        <v>50</v>
      </c>
      <c r="C69" s="54">
        <f>total!J61</f>
        <v>-0.6000609678</v>
      </c>
      <c r="D69" s="54">
        <f>total!M61</f>
        <v>-1.75253457</v>
      </c>
      <c r="E69" s="54">
        <f t="shared" si="1"/>
        <v>-2.352595538</v>
      </c>
      <c r="F69" s="54">
        <f t="shared" si="2"/>
        <v>-2.303061807</v>
      </c>
      <c r="G69" s="54">
        <f t="shared" si="3"/>
        <v>-2.278294941</v>
      </c>
      <c r="H69" s="54">
        <f t="shared" si="4"/>
        <v>-1.475092477</v>
      </c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>
      <c r="A70" s="53" t="s">
        <v>35</v>
      </c>
      <c r="B70" s="53" t="s">
        <v>47</v>
      </c>
      <c r="C70" s="54">
        <f>total!H62</f>
        <v>-1.653467653</v>
      </c>
      <c r="D70" s="54">
        <f>total!K62</f>
        <v>-4.32862316</v>
      </c>
      <c r="E70" s="54">
        <f t="shared" si="1"/>
        <v>-5.982090813</v>
      </c>
      <c r="F70" s="54">
        <f t="shared" si="2"/>
        <v>-5.745503676</v>
      </c>
      <c r="G70" s="54">
        <f t="shared" si="3"/>
        <v>-5.627210108</v>
      </c>
      <c r="H70" s="54">
        <f t="shared" si="4"/>
        <v>-3.864422537</v>
      </c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>
      <c r="A71" s="53" t="s">
        <v>35</v>
      </c>
      <c r="B71" s="53" t="s">
        <v>48</v>
      </c>
      <c r="C71" s="54">
        <f>total!H63</f>
        <v>-1.936774093</v>
      </c>
      <c r="D71" s="54">
        <f>total!K63</f>
        <v>-5.352604105</v>
      </c>
      <c r="E71" s="54">
        <f t="shared" si="1"/>
        <v>-7.289378198</v>
      </c>
      <c r="F71" s="54">
        <f t="shared" si="2"/>
        <v>-7.06871629</v>
      </c>
      <c r="G71" s="54">
        <f t="shared" si="3"/>
        <v>-6.958385336</v>
      </c>
      <c r="H71" s="54">
        <f t="shared" si="4"/>
        <v>-4.639480222</v>
      </c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>
      <c r="A72" s="53" t="s">
        <v>35</v>
      </c>
      <c r="B72" s="53" t="s">
        <v>49</v>
      </c>
      <c r="C72" s="54">
        <f>total!H64</f>
        <v>-1.99752633</v>
      </c>
      <c r="D72" s="54">
        <f>total!K64</f>
        <v>-5.749939488</v>
      </c>
      <c r="E72" s="54">
        <f t="shared" si="1"/>
        <v>-7.747465818</v>
      </c>
      <c r="F72" s="54">
        <f t="shared" si="2"/>
        <v>-7.565769496</v>
      </c>
      <c r="G72" s="54">
        <f t="shared" si="3"/>
        <v>-7.474921334</v>
      </c>
      <c r="H72" s="54">
        <f t="shared" si="4"/>
        <v>-4.876784761</v>
      </c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>
      <c r="A73" s="53" t="s">
        <v>35</v>
      </c>
      <c r="B73" s="53" t="s">
        <v>50</v>
      </c>
      <c r="C73" s="54">
        <f>total!H65</f>
        <v>-2.041859044</v>
      </c>
      <c r="D73" s="54">
        <f>total!K65</f>
        <v>-6.03988693</v>
      </c>
      <c r="E73" s="54">
        <f t="shared" si="1"/>
        <v>-8.081745973</v>
      </c>
      <c r="F73" s="54">
        <f t="shared" si="2"/>
        <v>-7.928483997</v>
      </c>
      <c r="G73" s="54">
        <f t="shared" si="3"/>
        <v>-7.851853008</v>
      </c>
      <c r="H73" s="54">
        <f t="shared" si="4"/>
        <v>-5.049952938</v>
      </c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>
      <c r="A74" s="53" t="s">
        <v>57</v>
      </c>
      <c r="B74" s="53" t="s">
        <v>47</v>
      </c>
      <c r="C74" s="54">
        <f>total!J66</f>
        <v>-0.714475277</v>
      </c>
      <c r="D74" s="54">
        <f>total!M66</f>
        <v>-1.892645894</v>
      </c>
      <c r="E74" s="54">
        <f t="shared" si="1"/>
        <v>-2.607121171</v>
      </c>
      <c r="F74" s="54">
        <f t="shared" si="2"/>
        <v>-2.509333499</v>
      </c>
      <c r="G74" s="54">
        <f t="shared" si="3"/>
        <v>-2.460439663</v>
      </c>
      <c r="H74" s="54">
        <f t="shared" si="4"/>
        <v>-1.678731465</v>
      </c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>
      <c r="A75" s="53" t="s">
        <v>57</v>
      </c>
      <c r="B75" s="53" t="s">
        <v>48</v>
      </c>
      <c r="C75" s="54">
        <f>total!J67</f>
        <v>-0.8606702885</v>
      </c>
      <c r="D75" s="54">
        <f>total!M67</f>
        <v>-2.397016596</v>
      </c>
      <c r="E75" s="54">
        <f t="shared" si="1"/>
        <v>-3.257686885</v>
      </c>
      <c r="F75" s="54">
        <f t="shared" si="2"/>
        <v>-3.163310012</v>
      </c>
      <c r="G75" s="54">
        <f t="shared" si="3"/>
        <v>-3.116121575</v>
      </c>
      <c r="H75" s="54">
        <f t="shared" si="4"/>
        <v>-2.069071311</v>
      </c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>
      <c r="A76" s="53" t="s">
        <v>57</v>
      </c>
      <c r="B76" s="53" t="s">
        <v>49</v>
      </c>
      <c r="C76" s="54">
        <f>total!J68</f>
        <v>-0.8914613073</v>
      </c>
      <c r="D76" s="54">
        <f>total!M68</f>
        <v>-2.595830023</v>
      </c>
      <c r="E76" s="54">
        <f t="shared" si="1"/>
        <v>-3.487291331</v>
      </c>
      <c r="F76" s="54">
        <f t="shared" si="2"/>
        <v>-3.412149797</v>
      </c>
      <c r="G76" s="54">
        <f t="shared" si="3"/>
        <v>-3.374579031</v>
      </c>
      <c r="H76" s="54">
        <f t="shared" si="4"/>
        <v>-2.188317096</v>
      </c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>
      <c r="A77" s="53" t="s">
        <v>57</v>
      </c>
      <c r="B77" s="53" t="s">
        <v>50</v>
      </c>
      <c r="C77" s="54">
        <f>total!J69</f>
        <v>-0.9139304291</v>
      </c>
      <c r="D77" s="54">
        <f>total!M69</f>
        <v>-2.740910092</v>
      </c>
      <c r="E77" s="54">
        <f t="shared" si="1"/>
        <v>-3.654840521</v>
      </c>
      <c r="F77" s="54">
        <f t="shared" si="2"/>
        <v>-3.593735587</v>
      </c>
      <c r="G77" s="54">
        <f t="shared" si="3"/>
        <v>-3.56318312</v>
      </c>
      <c r="H77" s="54">
        <f t="shared" si="4"/>
        <v>-2.27533429</v>
      </c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>
      <c r="A78" s="53" t="s">
        <v>30</v>
      </c>
      <c r="B78" s="53" t="s">
        <v>47</v>
      </c>
      <c r="C78" s="54">
        <f>total!J70</f>
        <v>-1.486194895</v>
      </c>
      <c r="D78" s="54">
        <f>total!M70</f>
        <v>-3.797314981</v>
      </c>
      <c r="E78" s="54">
        <f t="shared" si="1"/>
        <v>-5.283509875</v>
      </c>
      <c r="F78" s="54">
        <f t="shared" si="2"/>
        <v>-5.052176275</v>
      </c>
      <c r="G78" s="54">
        <f t="shared" si="3"/>
        <v>-4.936509475</v>
      </c>
      <c r="H78" s="54">
        <f t="shared" si="4"/>
        <v>-3.436117406</v>
      </c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>
      <c r="A79" s="53" t="s">
        <v>30</v>
      </c>
      <c r="B79" s="53" t="s">
        <v>48</v>
      </c>
      <c r="C79" s="54">
        <f>total!J71</f>
        <v>-1.739902399</v>
      </c>
      <c r="D79" s="54">
        <f>total!M71</f>
        <v>-4.716781894</v>
      </c>
      <c r="E79" s="54">
        <f t="shared" si="1"/>
        <v>-6.456684293</v>
      </c>
      <c r="F79" s="54">
        <f t="shared" si="2"/>
        <v>-6.240105739</v>
      </c>
      <c r="G79" s="54">
        <f t="shared" si="3"/>
        <v>-6.131816462</v>
      </c>
      <c r="H79" s="54">
        <f t="shared" si="4"/>
        <v>-4.131186852</v>
      </c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>
      <c r="A80" s="53" t="s">
        <v>30</v>
      </c>
      <c r="B80" s="53" t="s">
        <v>49</v>
      </c>
      <c r="C80" s="54">
        <f>total!J72</f>
        <v>-1.794158514</v>
      </c>
      <c r="D80" s="54">
        <f>total!M72</f>
        <v>-5.074673804</v>
      </c>
      <c r="E80" s="54">
        <f t="shared" si="1"/>
        <v>-6.868832317</v>
      </c>
      <c r="F80" s="54">
        <f t="shared" si="2"/>
        <v>-6.687661402</v>
      </c>
      <c r="G80" s="54">
        <f t="shared" si="3"/>
        <v>-6.597075945</v>
      </c>
      <c r="H80" s="54">
        <f t="shared" si="4"/>
        <v>-4.344334004</v>
      </c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>
      <c r="A81" s="53" t="s">
        <v>30</v>
      </c>
      <c r="B81" s="53" t="s">
        <v>50</v>
      </c>
      <c r="C81" s="54">
        <f>total!J73</f>
        <v>-1.833750813</v>
      </c>
      <c r="D81" s="54">
        <f>total!M73</f>
        <v>-5.33583817</v>
      </c>
      <c r="E81" s="54">
        <f t="shared" si="1"/>
        <v>-7.169588983</v>
      </c>
      <c r="F81" s="54">
        <f t="shared" si="2"/>
        <v>-7.014256075</v>
      </c>
      <c r="G81" s="54">
        <f t="shared" si="3"/>
        <v>-6.936589621</v>
      </c>
      <c r="H81" s="54">
        <f t="shared" si="4"/>
        <v>-4.499873817</v>
      </c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>
      <c r="A82" s="53" t="s">
        <v>36</v>
      </c>
      <c r="B82" s="53" t="s">
        <v>47</v>
      </c>
      <c r="C82" s="54">
        <f>total!J74</f>
        <v>-1.557712982</v>
      </c>
      <c r="D82" s="54">
        <f>total!M74</f>
        <v>-4.368129707</v>
      </c>
      <c r="E82" s="54">
        <f t="shared" si="1"/>
        <v>-5.925842689</v>
      </c>
      <c r="F82" s="54">
        <f t="shared" si="2"/>
        <v>-5.760993309</v>
      </c>
      <c r="G82" s="54">
        <f t="shared" si="3"/>
        <v>-5.678568619</v>
      </c>
      <c r="H82" s="54">
        <f t="shared" si="4"/>
        <v>-3.75670163</v>
      </c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>
      <c r="A83" s="53" t="s">
        <v>36</v>
      </c>
      <c r="B83" s="53" t="s">
        <v>48</v>
      </c>
      <c r="C83" s="54">
        <f>total!J75</f>
        <v>-1.893587585</v>
      </c>
      <c r="D83" s="54">
        <f>total!M75</f>
        <v>-5.526373714</v>
      </c>
      <c r="E83" s="54">
        <f t="shared" si="1"/>
        <v>-7.419961299</v>
      </c>
      <c r="F83" s="54">
        <f t="shared" si="2"/>
        <v>-7.262844319</v>
      </c>
      <c r="G83" s="54">
        <f t="shared" si="3"/>
        <v>-7.184285828</v>
      </c>
      <c r="H83" s="54">
        <f t="shared" si="4"/>
        <v>-4.653277471</v>
      </c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>
      <c r="A84" s="53" t="s">
        <v>36</v>
      </c>
      <c r="B84" s="53" t="s">
        <v>49</v>
      </c>
      <c r="C84" s="54">
        <f>total!J76</f>
        <v>-1.964064092</v>
      </c>
      <c r="D84" s="54">
        <f>total!M76</f>
        <v>-5.97755875</v>
      </c>
      <c r="E84" s="54">
        <f t="shared" si="1"/>
        <v>-7.941622842</v>
      </c>
      <c r="F84" s="54">
        <f t="shared" si="2"/>
        <v>-7.82775853</v>
      </c>
      <c r="G84" s="54">
        <f t="shared" si="3"/>
        <v>-7.770826374</v>
      </c>
      <c r="H84" s="54">
        <f t="shared" si="4"/>
        <v>-4.924666179</v>
      </c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>
      <c r="A85" s="53" t="s">
        <v>36</v>
      </c>
      <c r="B85" s="53" t="s">
        <v>50</v>
      </c>
      <c r="C85" s="54">
        <f>total!J77</f>
        <v>-2.015492895</v>
      </c>
      <c r="D85" s="54">
        <f>total!M77</f>
        <v>-6.306801884</v>
      </c>
      <c r="E85" s="54">
        <f t="shared" si="1"/>
        <v>-8.322294778</v>
      </c>
      <c r="F85" s="54">
        <f t="shared" si="2"/>
        <v>-8.239993225</v>
      </c>
      <c r="G85" s="54">
        <f t="shared" si="3"/>
        <v>-8.198842449</v>
      </c>
      <c r="H85" s="54">
        <f t="shared" si="4"/>
        <v>-5.122706588</v>
      </c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>
      <c r="A86" s="53" t="s">
        <v>37</v>
      </c>
      <c r="B86" s="53" t="s">
        <v>47</v>
      </c>
      <c r="C86" s="54">
        <f>challenging!H10</f>
        <v>-1.384441338</v>
      </c>
      <c r="D86" s="54">
        <f>challenging!K10</f>
        <v>-3.524759354</v>
      </c>
      <c r="E86" s="54">
        <f t="shared" si="1"/>
        <v>-4.909200692</v>
      </c>
      <c r="F86" s="54">
        <f t="shared" si="2"/>
        <v>-4.691191671</v>
      </c>
      <c r="G86" s="54">
        <f t="shared" si="3"/>
        <v>-4.58218716</v>
      </c>
      <c r="H86" s="54">
        <f t="shared" si="4"/>
        <v>-3.195833068</v>
      </c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>
      <c r="A87" s="53" t="s">
        <v>37</v>
      </c>
      <c r="B87" s="53" t="s">
        <v>48</v>
      </c>
      <c r="C87" s="54">
        <f>challenging!H11</f>
        <v>-1.650005492</v>
      </c>
      <c r="D87" s="54">
        <f>challenging!K11</f>
        <v>-4.447269217</v>
      </c>
      <c r="E87" s="54">
        <f t="shared" si="1"/>
        <v>-6.097274709</v>
      </c>
      <c r="F87" s="54">
        <f t="shared" si="2"/>
        <v>-5.886724891</v>
      </c>
      <c r="G87" s="54">
        <f t="shared" si="3"/>
        <v>-5.781449982</v>
      </c>
      <c r="H87" s="54">
        <f t="shared" si="4"/>
        <v>-3.907414772</v>
      </c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>
      <c r="A88" s="53" t="s">
        <v>37</v>
      </c>
      <c r="B88" s="53" t="s">
        <v>49</v>
      </c>
      <c r="C88" s="54">
        <f>challenging!H12</f>
        <v>-1.704685508</v>
      </c>
      <c r="D88" s="54">
        <f>challenging!K12</f>
        <v>-4.805081812</v>
      </c>
      <c r="E88" s="54">
        <f t="shared" si="1"/>
        <v>-6.50976732</v>
      </c>
      <c r="F88" s="54">
        <f t="shared" si="2"/>
        <v>-6.334326677</v>
      </c>
      <c r="G88" s="54">
        <f t="shared" si="3"/>
        <v>-6.246606355</v>
      </c>
      <c r="H88" s="54">
        <f t="shared" si="4"/>
        <v>-4.12107703</v>
      </c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>
      <c r="A89" s="53" t="s">
        <v>37</v>
      </c>
      <c r="B89" s="53" t="s">
        <v>50</v>
      </c>
      <c r="C89" s="54">
        <f>challenging!H13</f>
        <v>-1.744587142</v>
      </c>
      <c r="D89" s="54">
        <f>challenging!K13</f>
        <v>-5.0661883</v>
      </c>
      <c r="E89" s="54">
        <f t="shared" si="1"/>
        <v>-6.810775442</v>
      </c>
      <c r="F89" s="54">
        <f t="shared" si="2"/>
        <v>-6.660955007</v>
      </c>
      <c r="G89" s="54">
        <f t="shared" si="3"/>
        <v>-6.58604479</v>
      </c>
      <c r="H89" s="54">
        <f t="shared" si="4"/>
        <v>-4.276992733</v>
      </c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>
      <c r="A90" s="53" t="s">
        <v>31</v>
      </c>
      <c r="B90" s="53" t="s">
        <v>47</v>
      </c>
      <c r="C90" s="54">
        <f>total!J78</f>
        <v>-0.3624379407</v>
      </c>
      <c r="D90" s="54">
        <f>total!M78</f>
        <v>-0.9686010643</v>
      </c>
      <c r="E90" s="54">
        <f t="shared" si="1"/>
        <v>-1.331039005</v>
      </c>
      <c r="F90" s="54">
        <f t="shared" si="2"/>
        <v>-1.283133924</v>
      </c>
      <c r="G90" s="54">
        <f t="shared" si="3"/>
        <v>-1.259181384</v>
      </c>
      <c r="H90" s="54">
        <f t="shared" si="4"/>
        <v>-0.8549853693</v>
      </c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>
      <c r="A91" s="53" t="s">
        <v>31</v>
      </c>
      <c r="B91" s="53" t="s">
        <v>48</v>
      </c>
      <c r="C91" s="54">
        <f>total!J79</f>
        <v>-0.4387461843</v>
      </c>
      <c r="D91" s="54">
        <f>total!M79</f>
        <v>-1.23180331</v>
      </c>
      <c r="E91" s="54">
        <f t="shared" si="1"/>
        <v>-1.670549495</v>
      </c>
      <c r="F91" s="54">
        <f t="shared" si="2"/>
        <v>-1.624412701</v>
      </c>
      <c r="G91" s="54">
        <f t="shared" si="3"/>
        <v>-1.601344304</v>
      </c>
      <c r="H91" s="54">
        <f t="shared" si="4"/>
        <v>-1.058703902</v>
      </c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>
      <c r="A92" s="53" t="s">
        <v>31</v>
      </c>
      <c r="B92" s="53" t="s">
        <v>49</v>
      </c>
      <c r="C92" s="54">
        <f>total!J80</f>
        <v>-0.4548755164</v>
      </c>
      <c r="D92" s="54">
        <f>total!M80</f>
        <v>-1.333827853</v>
      </c>
      <c r="E92" s="54">
        <f t="shared" si="1"/>
        <v>-1.78870337</v>
      </c>
      <c r="F92" s="54">
        <f t="shared" si="2"/>
        <v>-1.752218596</v>
      </c>
      <c r="G92" s="54">
        <f t="shared" si="3"/>
        <v>-1.733976209</v>
      </c>
      <c r="H92" s="54">
        <f t="shared" si="4"/>
        <v>-1.120320557</v>
      </c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>
      <c r="A93" s="53" t="s">
        <v>31</v>
      </c>
      <c r="B93" s="53" t="s">
        <v>50</v>
      </c>
      <c r="C93" s="54">
        <f>total!J81</f>
        <v>-0.4666455696</v>
      </c>
      <c r="D93" s="54">
        <f>total!M81</f>
        <v>-1.408278195</v>
      </c>
      <c r="E93" s="54">
        <f t="shared" si="1"/>
        <v>-1.874923765</v>
      </c>
      <c r="F93" s="54">
        <f t="shared" si="2"/>
        <v>-1.845482357</v>
      </c>
      <c r="G93" s="54">
        <f t="shared" si="3"/>
        <v>-1.830761654</v>
      </c>
      <c r="H93" s="54">
        <f t="shared" si="4"/>
        <v>-1.165284063</v>
      </c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4" max="4" width="16.88"/>
  </cols>
  <sheetData>
    <row r="1">
      <c r="A1" s="13" t="s">
        <v>0</v>
      </c>
      <c r="B1" s="13" t="s">
        <v>38</v>
      </c>
      <c r="C1" s="13" t="s">
        <v>39</v>
      </c>
      <c r="D1" s="13" t="s">
        <v>93</v>
      </c>
      <c r="E1" s="13" t="s">
        <v>84</v>
      </c>
      <c r="F1" s="13" t="s">
        <v>83</v>
      </c>
      <c r="G1" s="56" t="s">
        <v>103</v>
      </c>
      <c r="H1" s="57" t="s">
        <v>104</v>
      </c>
      <c r="I1" s="56" t="s">
        <v>105</v>
      </c>
      <c r="J1" s="58" t="s">
        <v>106</v>
      </c>
      <c r="K1" s="59"/>
      <c r="L1" s="58"/>
      <c r="M1" s="58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13" t="s">
        <v>46</v>
      </c>
      <c r="B2" s="13">
        <v>4.0</v>
      </c>
      <c r="C2" s="13" t="s">
        <v>47</v>
      </c>
      <c r="D2" s="13">
        <v>-227.830917360084</v>
      </c>
      <c r="E2" s="13">
        <v>-0.169006417019202</v>
      </c>
      <c r="F2" s="13">
        <v>-0.47906417815458</v>
      </c>
      <c r="G2" s="61">
        <f t="shared" ref="G2:G44" si="1">E2+F2</f>
        <v>-0.6480705952</v>
      </c>
      <c r="H2" s="56">
        <f t="shared" ref="H2:H72" si="2">1/3*E2+1.2*F2</f>
        <v>-0.6312124861</v>
      </c>
      <c r="I2" s="56">
        <f t="shared" ref="I2:I72" si="3">1.3*F2</f>
        <v>-0.6227834316</v>
      </c>
      <c r="J2" s="62">
        <f t="shared" ref="J2:J72" si="4">1.29*E2+0.4*F2</f>
        <v>-0.4096439492</v>
      </c>
      <c r="K2" s="59"/>
      <c r="L2" s="60"/>
      <c r="M2" s="63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13" t="s">
        <v>46</v>
      </c>
      <c r="B3" s="13">
        <v>4.0</v>
      </c>
      <c r="C3" s="13" t="s">
        <v>48</v>
      </c>
      <c r="D3" s="13">
        <v>-227.895521777262</v>
      </c>
      <c r="E3" s="13">
        <v>-0.203290711720461</v>
      </c>
      <c r="F3" s="13">
        <v>-0.604876215646816</v>
      </c>
      <c r="G3" s="61">
        <f t="shared" si="1"/>
        <v>-0.8081669274</v>
      </c>
      <c r="H3" s="56">
        <f t="shared" si="2"/>
        <v>-0.7936150293</v>
      </c>
      <c r="I3" s="56">
        <f t="shared" si="3"/>
        <v>-0.7863390803</v>
      </c>
      <c r="J3" s="62">
        <f t="shared" si="4"/>
        <v>-0.5041955044</v>
      </c>
      <c r="K3" s="59"/>
      <c r="L3" s="60"/>
      <c r="M3" s="63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13" t="s">
        <v>46</v>
      </c>
      <c r="B4" s="13">
        <v>4.0</v>
      </c>
      <c r="C4" s="13" t="s">
        <v>49</v>
      </c>
      <c r="D4" s="13">
        <v>-227.910987026481</v>
      </c>
      <c r="E4" s="13">
        <v>-0.210334798533867</v>
      </c>
      <c r="F4" s="13">
        <v>-0.65441947893316</v>
      </c>
      <c r="G4" s="61">
        <f t="shared" si="1"/>
        <v>-0.8647542775</v>
      </c>
      <c r="H4" s="56">
        <f t="shared" si="2"/>
        <v>-0.8554149742</v>
      </c>
      <c r="I4" s="56">
        <f t="shared" si="3"/>
        <v>-0.8507453226</v>
      </c>
      <c r="J4" s="62">
        <f t="shared" si="4"/>
        <v>-0.5330996817</v>
      </c>
      <c r="K4" s="59"/>
      <c r="L4" s="60"/>
      <c r="M4" s="63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13" t="s">
        <v>46</v>
      </c>
      <c r="B5" s="13">
        <v>4.0</v>
      </c>
      <c r="C5" s="13" t="s">
        <v>50</v>
      </c>
      <c r="D5" s="17">
        <f>D4</f>
        <v>-227.910987</v>
      </c>
      <c r="E5" s="17">
        <f t="shared" ref="E5:F5" si="5">(3^3*E3-4^3*E4)/(3^3-4^3)</f>
        <v>-0.2154750781</v>
      </c>
      <c r="F5" s="17">
        <f t="shared" si="5"/>
        <v>-0.6905726711</v>
      </c>
      <c r="G5" s="61">
        <f t="shared" si="1"/>
        <v>-0.9060477492</v>
      </c>
      <c r="H5" s="56">
        <f t="shared" si="2"/>
        <v>-0.9005122313</v>
      </c>
      <c r="I5" s="56">
        <f t="shared" si="3"/>
        <v>-0.8977444724</v>
      </c>
      <c r="J5" s="62">
        <f t="shared" si="4"/>
        <v>-0.5541919192</v>
      </c>
      <c r="K5" s="64"/>
      <c r="L5" s="60"/>
      <c r="M5" s="63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13" t="s">
        <v>68</v>
      </c>
      <c r="B6" s="13">
        <v>2.0</v>
      </c>
      <c r="C6" s="13" t="s">
        <v>47</v>
      </c>
      <c r="D6" s="13">
        <v>-388.052649795559</v>
      </c>
      <c r="E6" s="13">
        <v>-0.348390674613663</v>
      </c>
      <c r="F6" s="13">
        <v>-1.06299941647919</v>
      </c>
      <c r="G6" s="61">
        <f t="shared" si="1"/>
        <v>-1.411390091</v>
      </c>
      <c r="H6" s="56">
        <f t="shared" si="2"/>
        <v>-1.391729525</v>
      </c>
      <c r="I6" s="56">
        <f t="shared" si="3"/>
        <v>-1.381899241</v>
      </c>
      <c r="J6" s="62">
        <f t="shared" si="4"/>
        <v>-0.8746237368</v>
      </c>
      <c r="K6" s="59"/>
      <c r="L6" s="60"/>
      <c r="M6" s="63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13" t="s">
        <v>68</v>
      </c>
      <c r="B7" s="13">
        <v>2.0</v>
      </c>
      <c r="C7" s="13" t="s">
        <v>48</v>
      </c>
      <c r="D7" s="13">
        <v>-388.144485065172</v>
      </c>
      <c r="E7" s="13">
        <v>-0.405438159994916</v>
      </c>
      <c r="F7" s="13">
        <v>-1.30134141255433</v>
      </c>
      <c r="G7" s="61">
        <f t="shared" si="1"/>
        <v>-1.706779573</v>
      </c>
      <c r="H7" s="56">
        <f t="shared" si="2"/>
        <v>-1.696755748</v>
      </c>
      <c r="I7" s="56">
        <f t="shared" si="3"/>
        <v>-1.691743836</v>
      </c>
      <c r="J7" s="62">
        <f t="shared" si="4"/>
        <v>-1.043551791</v>
      </c>
      <c r="K7" s="59"/>
      <c r="L7" s="60"/>
      <c r="M7" s="63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13" t="s">
        <v>68</v>
      </c>
      <c r="B8" s="13">
        <v>2.0</v>
      </c>
      <c r="C8" s="13" t="s">
        <v>49</v>
      </c>
      <c r="D8" s="18">
        <v>-388.167350323629</v>
      </c>
      <c r="E8" s="13">
        <v>-0.424948914855909</v>
      </c>
      <c r="F8" s="13">
        <v>-1.3848244533088</v>
      </c>
      <c r="G8" s="61">
        <f t="shared" si="1"/>
        <v>-1.809773368</v>
      </c>
      <c r="H8" s="56">
        <f t="shared" si="2"/>
        <v>-1.803438982</v>
      </c>
      <c r="I8" s="56">
        <f t="shared" si="3"/>
        <v>-1.800271789</v>
      </c>
      <c r="J8" s="62">
        <f t="shared" si="4"/>
        <v>-1.102113881</v>
      </c>
      <c r="K8" s="59"/>
      <c r="L8" s="60"/>
      <c r="M8" s="63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13" t="s">
        <v>68</v>
      </c>
      <c r="B9" s="13">
        <v>2.0</v>
      </c>
      <c r="C9" s="13" t="s">
        <v>50</v>
      </c>
      <c r="D9" s="17">
        <f>D8</f>
        <v>-388.1673503</v>
      </c>
      <c r="E9" s="65">
        <f t="shared" ref="E9:F9" si="6">(3^3*E7-4^3*E8)/(3^3-4^3)</f>
        <v>-0.4391864927</v>
      </c>
      <c r="F9" s="65">
        <f t="shared" si="6"/>
        <v>-1.44574451</v>
      </c>
      <c r="G9" s="61">
        <f t="shared" si="1"/>
        <v>-1.884931003</v>
      </c>
      <c r="H9" s="56">
        <f t="shared" si="2"/>
        <v>-1.88128891</v>
      </c>
      <c r="I9" s="56">
        <f t="shared" si="3"/>
        <v>-1.879467863</v>
      </c>
      <c r="J9" s="62">
        <f t="shared" si="4"/>
        <v>-1.14484838</v>
      </c>
      <c r="K9" s="59"/>
      <c r="L9" s="60"/>
      <c r="M9" s="63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13" t="s">
        <v>14</v>
      </c>
      <c r="B10" s="13">
        <v>4.0</v>
      </c>
      <c r="C10" s="13" t="s">
        <v>47</v>
      </c>
      <c r="D10" s="13">
        <v>-56.2007320188899</v>
      </c>
      <c r="E10" s="13">
        <v>-0.0439124538692536</v>
      </c>
      <c r="F10" s="13">
        <v>-0.147358056365365</v>
      </c>
      <c r="G10" s="61">
        <f t="shared" si="1"/>
        <v>-0.1912705102</v>
      </c>
      <c r="H10" s="56">
        <f t="shared" si="2"/>
        <v>-0.1914671523</v>
      </c>
      <c r="I10" s="56">
        <f t="shared" si="3"/>
        <v>-0.1915654733</v>
      </c>
      <c r="J10" s="62">
        <f t="shared" si="4"/>
        <v>-0.115590288</v>
      </c>
      <c r="K10" s="59"/>
      <c r="L10" s="60"/>
      <c r="M10" s="63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13" t="s">
        <v>14</v>
      </c>
      <c r="B11" s="13">
        <v>4.0</v>
      </c>
      <c r="C11" s="13" t="s">
        <v>48</v>
      </c>
      <c r="D11" s="13">
        <v>-56.2190849149733</v>
      </c>
      <c r="E11" s="13">
        <v>-0.0529780246761153</v>
      </c>
      <c r="F11" s="13">
        <v>-0.184853143312726</v>
      </c>
      <c r="G11" s="61">
        <f t="shared" si="1"/>
        <v>-0.237831168</v>
      </c>
      <c r="H11" s="56">
        <f t="shared" si="2"/>
        <v>-0.2394831135</v>
      </c>
      <c r="I11" s="56">
        <f t="shared" si="3"/>
        <v>-0.2403090863</v>
      </c>
      <c r="J11" s="62">
        <f t="shared" si="4"/>
        <v>-0.1422829092</v>
      </c>
      <c r="K11" s="59"/>
      <c r="L11" s="60"/>
      <c r="M11" s="63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13" t="s">
        <v>14</v>
      </c>
      <c r="B12" s="13">
        <v>4.0</v>
      </c>
      <c r="C12" s="13" t="s">
        <v>49</v>
      </c>
      <c r="D12" s="13">
        <v>-56.2229315875447</v>
      </c>
      <c r="E12" s="13">
        <v>-0.0546324176911498</v>
      </c>
      <c r="F12" s="13">
        <v>-0.198396451564502</v>
      </c>
      <c r="G12" s="61">
        <f t="shared" si="1"/>
        <v>-0.2530288693</v>
      </c>
      <c r="H12" s="56">
        <f t="shared" si="2"/>
        <v>-0.2562865478</v>
      </c>
      <c r="I12" s="56">
        <f t="shared" si="3"/>
        <v>-0.257915387</v>
      </c>
      <c r="J12" s="62">
        <f t="shared" si="4"/>
        <v>-0.1498343994</v>
      </c>
      <c r="K12" s="59"/>
      <c r="L12" s="60"/>
      <c r="M12" s="63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13" t="s">
        <v>14</v>
      </c>
      <c r="B13" s="13">
        <v>4.0</v>
      </c>
      <c r="C13" s="13" t="s">
        <v>50</v>
      </c>
      <c r="D13" s="17">
        <f>D12</f>
        <v>-56.22293159</v>
      </c>
      <c r="E13" s="17">
        <f t="shared" ref="E13:F13" si="7">(3^3*E11-4^3*E12)/(3^3-4^3)</f>
        <v>-0.05583967746</v>
      </c>
      <c r="F13" s="17">
        <f t="shared" si="7"/>
        <v>-0.2082794062</v>
      </c>
      <c r="G13" s="61">
        <f t="shared" si="1"/>
        <v>-0.2641190837</v>
      </c>
      <c r="H13" s="56">
        <f t="shared" si="2"/>
        <v>-0.2685485133</v>
      </c>
      <c r="I13" s="56">
        <f t="shared" si="3"/>
        <v>-0.2707632281</v>
      </c>
      <c r="J13" s="62">
        <f t="shared" si="4"/>
        <v>-0.1553449464</v>
      </c>
      <c r="K13" s="59"/>
      <c r="L13" s="60"/>
      <c r="M13" s="1" t="s">
        <v>82</v>
      </c>
      <c r="N13" s="1" t="s">
        <v>83</v>
      </c>
      <c r="O13" s="1" t="s">
        <v>84</v>
      </c>
      <c r="P13" s="1" t="s">
        <v>85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13" t="s">
        <v>33</v>
      </c>
      <c r="B14" s="13">
        <v>2.0</v>
      </c>
      <c r="C14" s="13" t="s">
        <v>47</v>
      </c>
      <c r="D14" s="13">
        <v>-536.039333660004</v>
      </c>
      <c r="E14" s="13">
        <v>-0.497957780034227</v>
      </c>
      <c r="F14" s="13">
        <v>-1.32483109449607</v>
      </c>
      <c r="G14" s="61">
        <f t="shared" si="1"/>
        <v>-1.822788875</v>
      </c>
      <c r="H14" s="56">
        <f t="shared" si="2"/>
        <v>-1.75578324</v>
      </c>
      <c r="I14" s="56">
        <f t="shared" si="3"/>
        <v>-1.722280423</v>
      </c>
      <c r="J14" s="62">
        <f t="shared" si="4"/>
        <v>-1.172297974</v>
      </c>
      <c r="K14" s="59"/>
      <c r="L14" s="58">
        <v>2.0</v>
      </c>
      <c r="M14" s="63">
        <f t="shared" ref="M14:M16" si="8">1/L14^3</f>
        <v>0.125</v>
      </c>
      <c r="N14" s="60">
        <f t="shared" ref="N14:N17" si="9">F14</f>
        <v>-1.324831094</v>
      </c>
      <c r="O14" s="60">
        <f t="shared" ref="O14:O17" si="10">E14</f>
        <v>-0.49795778</v>
      </c>
      <c r="P14" s="60">
        <f t="shared" ref="P14:P17" si="11">N14+O14</f>
        <v>-1.822788875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13" t="s">
        <v>33</v>
      </c>
      <c r="B15" s="13">
        <v>2.0</v>
      </c>
      <c r="C15" s="13" t="s">
        <v>48</v>
      </c>
      <c r="D15" s="13">
        <v>-536.160013858523</v>
      </c>
      <c r="E15" s="13">
        <v>-0.574520125269549</v>
      </c>
      <c r="F15" s="13">
        <v>-1.62428288814469</v>
      </c>
      <c r="G15" s="61">
        <f t="shared" si="1"/>
        <v>-2.198803013</v>
      </c>
      <c r="H15" s="56">
        <f t="shared" si="2"/>
        <v>-2.140646174</v>
      </c>
      <c r="I15" s="56">
        <f t="shared" si="3"/>
        <v>-2.111567755</v>
      </c>
      <c r="J15" s="62">
        <f t="shared" si="4"/>
        <v>-1.390844117</v>
      </c>
      <c r="K15" s="59"/>
      <c r="L15" s="58">
        <v>3.0</v>
      </c>
      <c r="M15" s="63">
        <f t="shared" si="8"/>
        <v>0.03703703704</v>
      </c>
      <c r="N15" s="60">
        <f t="shared" si="9"/>
        <v>-1.624282888</v>
      </c>
      <c r="O15" s="60">
        <f t="shared" si="10"/>
        <v>-0.5745201253</v>
      </c>
      <c r="P15" s="60">
        <f t="shared" si="11"/>
        <v>-2.198803013</v>
      </c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13" t="s">
        <v>33</v>
      </c>
      <c r="B16" s="13">
        <v>2.0</v>
      </c>
      <c r="C16" s="13" t="s">
        <v>49</v>
      </c>
      <c r="D16" s="18">
        <v>-536.190926265248</v>
      </c>
      <c r="E16" s="13">
        <v>-0.602122787395045</v>
      </c>
      <c r="F16" s="13">
        <v>-1.73137047154092</v>
      </c>
      <c r="G16" s="61">
        <f t="shared" si="1"/>
        <v>-2.333493259</v>
      </c>
      <c r="H16" s="56">
        <f t="shared" si="2"/>
        <v>-2.278352162</v>
      </c>
      <c r="I16" s="56">
        <f t="shared" si="3"/>
        <v>-2.250781613</v>
      </c>
      <c r="J16" s="62">
        <f t="shared" si="4"/>
        <v>-1.469286584</v>
      </c>
      <c r="K16" s="60"/>
      <c r="L16" s="58">
        <v>4.0</v>
      </c>
      <c r="M16" s="63">
        <f t="shared" si="8"/>
        <v>0.015625</v>
      </c>
      <c r="N16" s="60">
        <f t="shared" si="9"/>
        <v>-1.731370472</v>
      </c>
      <c r="O16" s="60">
        <f t="shared" si="10"/>
        <v>-0.6021227874</v>
      </c>
      <c r="P16" s="60">
        <f t="shared" si="11"/>
        <v>-2.333493259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13" t="s">
        <v>33</v>
      </c>
      <c r="B17" s="13">
        <v>2.0</v>
      </c>
      <c r="C17" s="13" t="s">
        <v>50</v>
      </c>
      <c r="D17" s="17">
        <f>D16</f>
        <v>-536.1909263</v>
      </c>
      <c r="E17" s="17">
        <f t="shared" ref="E17:F17" si="12">(3^3*E15-4^3*E16)/(3^3-4^3)</f>
        <v>-0.6222652706</v>
      </c>
      <c r="F17" s="17">
        <f t="shared" si="12"/>
        <v>-1.809515465</v>
      </c>
      <c r="G17" s="61">
        <f t="shared" si="1"/>
        <v>-2.431780735</v>
      </c>
      <c r="H17" s="56">
        <f t="shared" si="2"/>
        <v>-2.378840315</v>
      </c>
      <c r="I17" s="56">
        <f t="shared" si="3"/>
        <v>-2.352370104</v>
      </c>
      <c r="J17" s="62">
        <f t="shared" si="4"/>
        <v>-1.526528385</v>
      </c>
      <c r="K17" s="60"/>
      <c r="L17" s="60"/>
      <c r="M17" s="66">
        <v>0.0</v>
      </c>
      <c r="N17" s="60">
        <f t="shared" si="9"/>
        <v>-1.809515465</v>
      </c>
      <c r="O17" s="60">
        <f t="shared" si="10"/>
        <v>-0.6222652706</v>
      </c>
      <c r="P17" s="60">
        <f t="shared" si="11"/>
        <v>-2.431780735</v>
      </c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1" t="s">
        <v>15</v>
      </c>
      <c r="B18" s="1">
        <v>4.0</v>
      </c>
      <c r="C18" s="13" t="s">
        <v>47</v>
      </c>
      <c r="D18" s="1">
        <v>-230.724962011088</v>
      </c>
      <c r="E18" s="1">
        <v>-0.207630678198607</v>
      </c>
      <c r="F18" s="1">
        <v>-0.583849761316858</v>
      </c>
      <c r="G18" s="61">
        <f t="shared" si="1"/>
        <v>-0.7914804395</v>
      </c>
      <c r="H18" s="56">
        <f t="shared" si="2"/>
        <v>-0.7698299396</v>
      </c>
      <c r="I18" s="56">
        <f t="shared" si="3"/>
        <v>-0.7590046897</v>
      </c>
      <c r="J18" s="62">
        <f t="shared" si="4"/>
        <v>-0.5013834794</v>
      </c>
      <c r="K18" s="60"/>
      <c r="L18" s="60"/>
      <c r="M18" s="63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1" t="s">
        <v>15</v>
      </c>
      <c r="B19" s="1">
        <v>4.0</v>
      </c>
      <c r="C19" s="13" t="s">
        <v>48</v>
      </c>
      <c r="D19" s="1">
        <v>-230.778731636189</v>
      </c>
      <c r="E19" s="1">
        <v>-0.238569692965013</v>
      </c>
      <c r="F19" s="1">
        <v>-0.716204288959191</v>
      </c>
      <c r="G19" s="61">
        <f t="shared" si="1"/>
        <v>-0.9547739819</v>
      </c>
      <c r="H19" s="56">
        <f t="shared" si="2"/>
        <v>-0.9389683777</v>
      </c>
      <c r="I19" s="56">
        <f t="shared" si="3"/>
        <v>-0.9310655756</v>
      </c>
      <c r="J19" s="62">
        <f t="shared" si="4"/>
        <v>-0.5942366195</v>
      </c>
      <c r="K19" s="60"/>
      <c r="L19" s="60"/>
      <c r="M19" s="63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1" t="s">
        <v>15</v>
      </c>
      <c r="B20" s="1">
        <v>4.0</v>
      </c>
      <c r="C20" s="13" t="s">
        <v>49</v>
      </c>
      <c r="D20" s="1">
        <v>-230.792035124492</v>
      </c>
      <c r="E20" s="1">
        <v>-0.246837054897397</v>
      </c>
      <c r="F20" s="1">
        <v>-0.764371051626236</v>
      </c>
      <c r="G20" s="61">
        <f t="shared" si="1"/>
        <v>-1.011208107</v>
      </c>
      <c r="H20" s="56">
        <f t="shared" si="2"/>
        <v>-0.9995242803</v>
      </c>
      <c r="I20" s="56">
        <f t="shared" si="3"/>
        <v>-0.9936823671</v>
      </c>
      <c r="J20" s="62">
        <f t="shared" si="4"/>
        <v>-0.6241682215</v>
      </c>
      <c r="K20" s="60"/>
      <c r="L20" s="60"/>
      <c r="M20" s="63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1" t="s">
        <v>15</v>
      </c>
      <c r="B21" s="1">
        <v>4.0</v>
      </c>
      <c r="C21" s="13" t="s">
        <v>50</v>
      </c>
      <c r="D21" s="1">
        <v>-230.792035124492</v>
      </c>
      <c r="E21" s="5">
        <f t="shared" ref="E21:F21" si="13">(3^3*E19-4^3*E20)/(3^3-4^3)</f>
        <v>-0.2528699947</v>
      </c>
      <c r="F21" s="5">
        <f t="shared" si="13"/>
        <v>-0.7995197703</v>
      </c>
      <c r="G21" s="61">
        <f t="shared" si="1"/>
        <v>-1.052389765</v>
      </c>
      <c r="H21" s="56">
        <f t="shared" si="2"/>
        <v>-1.043713723</v>
      </c>
      <c r="I21" s="56">
        <f t="shared" si="3"/>
        <v>-1.039375701</v>
      </c>
      <c r="J21" s="62">
        <f t="shared" si="4"/>
        <v>-0.6460102013</v>
      </c>
      <c r="K21" s="60"/>
      <c r="L21" s="60"/>
      <c r="M21" s="63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13" t="s">
        <v>51</v>
      </c>
      <c r="B22" s="13">
        <v>4.0</v>
      </c>
      <c r="C22" s="13" t="s">
        <v>47</v>
      </c>
      <c r="D22" s="13">
        <v>-187.652708763101</v>
      </c>
      <c r="E22" s="13">
        <v>-0.13695960100277</v>
      </c>
      <c r="F22" s="13">
        <v>-0.349407126215016</v>
      </c>
      <c r="G22" s="61">
        <f t="shared" si="1"/>
        <v>-0.4863667272</v>
      </c>
      <c r="H22" s="56">
        <f t="shared" si="2"/>
        <v>-0.4649417518</v>
      </c>
      <c r="I22" s="56">
        <f t="shared" si="3"/>
        <v>-0.4542292641</v>
      </c>
      <c r="J22" s="62">
        <f t="shared" si="4"/>
        <v>-0.3164407358</v>
      </c>
      <c r="K22" s="60"/>
      <c r="L22" s="60"/>
      <c r="M22" s="63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13" t="s">
        <v>51</v>
      </c>
      <c r="B23" s="13">
        <v>4.0</v>
      </c>
      <c r="C23" s="13" t="s">
        <v>48</v>
      </c>
      <c r="D23" s="13">
        <v>-187.706442181671</v>
      </c>
      <c r="E23" s="13">
        <v>-0.163554446254311</v>
      </c>
      <c r="F23" s="13">
        <v>-0.441406682546016</v>
      </c>
      <c r="G23" s="61">
        <f t="shared" si="1"/>
        <v>-0.6049611288</v>
      </c>
      <c r="H23" s="56">
        <f t="shared" si="2"/>
        <v>-0.5842061678</v>
      </c>
      <c r="I23" s="56">
        <f t="shared" si="3"/>
        <v>-0.5738286873</v>
      </c>
      <c r="J23" s="62">
        <f t="shared" si="4"/>
        <v>-0.3875479087</v>
      </c>
      <c r="K23" s="60"/>
      <c r="L23" s="60"/>
      <c r="M23" s="63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13" t="s">
        <v>51</v>
      </c>
      <c r="B24" s="13">
        <v>4.0</v>
      </c>
      <c r="C24" s="13" t="s">
        <v>49</v>
      </c>
      <c r="D24" s="13">
        <v>-187.719943536811</v>
      </c>
      <c r="E24" s="13">
        <v>-0.169125678824486</v>
      </c>
      <c r="F24" s="13">
        <v>-0.479914994977135</v>
      </c>
      <c r="G24" s="61">
        <f t="shared" si="1"/>
        <v>-0.6490406738</v>
      </c>
      <c r="H24" s="56">
        <f t="shared" si="2"/>
        <v>-0.6322732202</v>
      </c>
      <c r="I24" s="56">
        <f t="shared" si="3"/>
        <v>-0.6238894935</v>
      </c>
      <c r="J24" s="62">
        <f t="shared" si="4"/>
        <v>-0.4101381237</v>
      </c>
      <c r="K24" s="60"/>
      <c r="L24" s="60"/>
      <c r="M24" s="63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13" t="s">
        <v>51</v>
      </c>
      <c r="B25" s="13">
        <v>4.0</v>
      </c>
      <c r="C25" s="13" t="s">
        <v>50</v>
      </c>
      <c r="D25" s="17">
        <f>D24</f>
        <v>-187.7199435</v>
      </c>
      <c r="E25" s="17">
        <f t="shared" ref="E25:F25" si="14">(3^3*E23-4^3*E24)/(3^3-4^3)</f>
        <v>-0.1731911729</v>
      </c>
      <c r="F25" s="17">
        <f t="shared" si="14"/>
        <v>-0.5080156554</v>
      </c>
      <c r="G25" s="61">
        <f t="shared" si="1"/>
        <v>-0.6812068283</v>
      </c>
      <c r="H25" s="56">
        <f t="shared" si="2"/>
        <v>-0.6673491774</v>
      </c>
      <c r="I25" s="56">
        <f t="shared" si="3"/>
        <v>-0.660420352</v>
      </c>
      <c r="J25" s="62">
        <f t="shared" si="4"/>
        <v>-0.4266228752</v>
      </c>
      <c r="K25" s="60"/>
      <c r="L25" s="60"/>
      <c r="M25" s="63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13" t="s">
        <v>18</v>
      </c>
      <c r="B26" s="13">
        <v>8.0</v>
      </c>
      <c r="C26" s="13" t="s">
        <v>47</v>
      </c>
      <c r="D26" s="13">
        <v>-147.921554096354</v>
      </c>
      <c r="E26" s="13">
        <v>-0.119739329229499</v>
      </c>
      <c r="F26" s="13">
        <v>-0.333203685385231</v>
      </c>
      <c r="G26" s="61">
        <f t="shared" si="1"/>
        <v>-0.4529430146</v>
      </c>
      <c r="H26" s="56">
        <f t="shared" si="2"/>
        <v>-0.4397575322</v>
      </c>
      <c r="I26" s="56">
        <f t="shared" si="3"/>
        <v>-0.433164791</v>
      </c>
      <c r="J26" s="62">
        <f t="shared" si="4"/>
        <v>-0.2877452089</v>
      </c>
      <c r="K26" s="60"/>
      <c r="L26" s="60"/>
      <c r="M26" s="63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13" t="s">
        <v>18</v>
      </c>
      <c r="B27" s="13">
        <v>8.0</v>
      </c>
      <c r="C27" s="13" t="s">
        <v>48</v>
      </c>
      <c r="D27" s="13">
        <v>-147.960790737801</v>
      </c>
      <c r="E27" s="13">
        <v>-0.141315565034016</v>
      </c>
      <c r="F27" s="13">
        <v>-0.414009449819414</v>
      </c>
      <c r="G27" s="61">
        <f t="shared" si="1"/>
        <v>-0.5553250149</v>
      </c>
      <c r="H27" s="56">
        <f t="shared" si="2"/>
        <v>-0.5439165281</v>
      </c>
      <c r="I27" s="56">
        <f t="shared" si="3"/>
        <v>-0.5382122848</v>
      </c>
      <c r="J27" s="62">
        <f t="shared" si="4"/>
        <v>-0.3479008588</v>
      </c>
      <c r="K27" s="60"/>
      <c r="L27" s="60"/>
      <c r="M27" s="63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13" t="s">
        <v>18</v>
      </c>
      <c r="B28" s="13">
        <v>8.0</v>
      </c>
      <c r="C28" s="13" t="s">
        <v>49</v>
      </c>
      <c r="D28" s="13">
        <v>-147.970496916072</v>
      </c>
      <c r="E28" s="13">
        <v>-0.145633242379941</v>
      </c>
      <c r="F28" s="13">
        <v>-0.445737386334098</v>
      </c>
      <c r="G28" s="61">
        <f t="shared" si="1"/>
        <v>-0.5913706287</v>
      </c>
      <c r="H28" s="56">
        <f t="shared" si="2"/>
        <v>-0.5834292777</v>
      </c>
      <c r="I28" s="56">
        <f t="shared" si="3"/>
        <v>-0.5794586022</v>
      </c>
      <c r="J28" s="62">
        <f t="shared" si="4"/>
        <v>-0.3661618372</v>
      </c>
      <c r="K28" s="60"/>
      <c r="L28" s="60"/>
      <c r="M28" s="63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13" t="s">
        <v>18</v>
      </c>
      <c r="B29" s="13">
        <v>8.0</v>
      </c>
      <c r="C29" s="13" t="s">
        <v>50</v>
      </c>
      <c r="D29" s="17">
        <f>D28</f>
        <v>-147.9704969</v>
      </c>
      <c r="E29" s="17">
        <f t="shared" ref="E29:F29" si="15">(3^3*E27-4^3*E28)/(3^3-4^3)</f>
        <v>-0.1487839799</v>
      </c>
      <c r="F29" s="17">
        <f t="shared" si="15"/>
        <v>-0.4688902049</v>
      </c>
      <c r="G29" s="61">
        <f t="shared" si="1"/>
        <v>-0.6176741848</v>
      </c>
      <c r="H29" s="56">
        <f t="shared" si="2"/>
        <v>-0.6122629058</v>
      </c>
      <c r="I29" s="56">
        <f t="shared" si="3"/>
        <v>-0.6095572663</v>
      </c>
      <c r="J29" s="62">
        <f t="shared" si="4"/>
        <v>-0.379487416</v>
      </c>
      <c r="K29" s="60"/>
      <c r="L29" s="60"/>
      <c r="M29" s="63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13" t="s">
        <v>34</v>
      </c>
      <c r="B30" s="13">
        <v>4.0</v>
      </c>
      <c r="C30" s="13" t="s">
        <v>47</v>
      </c>
      <c r="D30" s="13">
        <v>-392.640225738555</v>
      </c>
      <c r="E30" s="13">
        <v>-0.322894077897938</v>
      </c>
      <c r="F30" s="13">
        <v>-0.859453247169666</v>
      </c>
      <c r="G30" s="61">
        <f t="shared" si="1"/>
        <v>-1.182347325</v>
      </c>
      <c r="H30" s="56">
        <f t="shared" si="2"/>
        <v>-1.138975256</v>
      </c>
      <c r="I30" s="56">
        <f t="shared" si="3"/>
        <v>-1.117289221</v>
      </c>
      <c r="J30" s="62">
        <f t="shared" si="4"/>
        <v>-0.7603146594</v>
      </c>
      <c r="K30" s="60"/>
      <c r="L30" s="60"/>
      <c r="M30" s="63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13" t="s">
        <v>34</v>
      </c>
      <c r="B31" s="13">
        <v>4.0</v>
      </c>
      <c r="C31" s="13" t="s">
        <v>48</v>
      </c>
      <c r="D31" s="13">
        <v>-392.746205320193</v>
      </c>
      <c r="E31" s="13">
        <v>-0.38273824548099</v>
      </c>
      <c r="F31" s="13">
        <v>-1.07653262422307</v>
      </c>
      <c r="G31" s="61">
        <f t="shared" si="1"/>
        <v>-1.45927087</v>
      </c>
      <c r="H31" s="56">
        <f t="shared" si="2"/>
        <v>-1.419418564</v>
      </c>
      <c r="I31" s="56">
        <f t="shared" si="3"/>
        <v>-1.399492411</v>
      </c>
      <c r="J31" s="62">
        <f t="shared" si="4"/>
        <v>-0.9243453864</v>
      </c>
      <c r="K31" s="60"/>
      <c r="L31" s="60"/>
      <c r="M31" s="63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13" t="s">
        <v>34</v>
      </c>
      <c r="B32" s="13">
        <v>4.0</v>
      </c>
      <c r="C32" s="13" t="s">
        <v>49</v>
      </c>
      <c r="D32" s="18">
        <v>-392.773286413395</v>
      </c>
      <c r="E32" s="13">
        <v>-0.395560533918963</v>
      </c>
      <c r="F32" s="13">
        <v>-1.16226489210145</v>
      </c>
      <c r="G32" s="61">
        <f t="shared" si="1"/>
        <v>-1.557825426</v>
      </c>
      <c r="H32" s="56">
        <f t="shared" si="2"/>
        <v>-1.526571382</v>
      </c>
      <c r="I32" s="56">
        <f t="shared" si="3"/>
        <v>-1.51094436</v>
      </c>
      <c r="J32" s="62">
        <f t="shared" si="4"/>
        <v>-0.9751790456</v>
      </c>
      <c r="K32" s="60"/>
      <c r="L32" s="60"/>
      <c r="M32" s="63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13" t="s">
        <v>34</v>
      </c>
      <c r="B33" s="13">
        <v>4.0</v>
      </c>
      <c r="C33" s="13" t="s">
        <v>50</v>
      </c>
      <c r="D33" s="17">
        <f>D32</f>
        <v>-392.7732864</v>
      </c>
      <c r="E33" s="17">
        <f t="shared" ref="E33:F33" si="16">(3^3*E31-4^3*E32)/(3^3-4^3)</f>
        <v>-0.404917339</v>
      </c>
      <c r="F33" s="17">
        <f t="shared" si="16"/>
        <v>-1.224826277</v>
      </c>
      <c r="G33" s="61">
        <f t="shared" si="1"/>
        <v>-1.629743616</v>
      </c>
      <c r="H33" s="56">
        <f t="shared" si="2"/>
        <v>-1.604763978</v>
      </c>
      <c r="I33" s="56">
        <f t="shared" si="3"/>
        <v>-1.59227416</v>
      </c>
      <c r="J33" s="62">
        <f t="shared" si="4"/>
        <v>-1.012273878</v>
      </c>
      <c r="K33" s="60"/>
      <c r="L33" s="60"/>
      <c r="M33" s="63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13" t="s">
        <v>52</v>
      </c>
      <c r="B34" s="13">
        <v>2.0</v>
      </c>
      <c r="C34" s="13" t="s">
        <v>47</v>
      </c>
      <c r="D34" s="13">
        <v>-321.911052288923</v>
      </c>
      <c r="E34" s="13">
        <v>-0.243652528053139</v>
      </c>
      <c r="F34" s="13">
        <v>-0.704144760592244</v>
      </c>
      <c r="G34" s="61">
        <f t="shared" si="1"/>
        <v>-0.9477972886</v>
      </c>
      <c r="H34" s="56">
        <f t="shared" si="2"/>
        <v>-0.9261912221</v>
      </c>
      <c r="I34" s="56">
        <f t="shared" si="3"/>
        <v>-0.9153881888</v>
      </c>
      <c r="J34" s="62">
        <f t="shared" si="4"/>
        <v>-0.5959696654</v>
      </c>
      <c r="K34" s="60"/>
      <c r="L34" s="60"/>
      <c r="M34" s="63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13" t="s">
        <v>52</v>
      </c>
      <c r="B35" s="13">
        <v>2.0</v>
      </c>
      <c r="C35" s="13" t="s">
        <v>48</v>
      </c>
      <c r="D35" s="13">
        <v>-322.006061634286</v>
      </c>
      <c r="E35" s="13">
        <v>-0.293856694717902</v>
      </c>
      <c r="F35" s="13">
        <v>-0.888728535808688</v>
      </c>
      <c r="G35" s="61">
        <f t="shared" si="1"/>
        <v>-1.182585231</v>
      </c>
      <c r="H35" s="56">
        <f t="shared" si="2"/>
        <v>-1.164426475</v>
      </c>
      <c r="I35" s="56">
        <f t="shared" si="3"/>
        <v>-1.155347097</v>
      </c>
      <c r="J35" s="62">
        <f t="shared" si="4"/>
        <v>-0.7345665505</v>
      </c>
      <c r="K35" s="60"/>
      <c r="L35" s="60"/>
      <c r="M35" s="63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13" t="s">
        <v>52</v>
      </c>
      <c r="B36" s="13">
        <v>2.0</v>
      </c>
      <c r="C36" s="13" t="s">
        <v>49</v>
      </c>
      <c r="D36" s="13">
        <v>-322.028577599204</v>
      </c>
      <c r="E36" s="13">
        <v>-0.304410599676133</v>
      </c>
      <c r="F36" s="13">
        <v>-0.960775415642035</v>
      </c>
      <c r="G36" s="61">
        <f t="shared" si="1"/>
        <v>-1.265186015</v>
      </c>
      <c r="H36" s="56">
        <f t="shared" si="2"/>
        <v>-1.254400699</v>
      </c>
      <c r="I36" s="56">
        <f t="shared" si="3"/>
        <v>-1.24900804</v>
      </c>
      <c r="J36" s="62">
        <f t="shared" si="4"/>
        <v>-0.7769998398</v>
      </c>
      <c r="K36" s="60"/>
      <c r="L36" s="60"/>
      <c r="M36" s="63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13" t="s">
        <v>52</v>
      </c>
      <c r="B37" s="13">
        <v>2.0</v>
      </c>
      <c r="C37" s="13" t="s">
        <v>50</v>
      </c>
      <c r="D37" s="17">
        <f>D36</f>
        <v>-322.0285776</v>
      </c>
      <c r="E37" s="17">
        <f t="shared" ref="E37:F37" si="17">(3^3*E35-4^3*E36)/(3^3-4^3)</f>
        <v>-0.3121120979</v>
      </c>
      <c r="F37" s="17">
        <f t="shared" si="17"/>
        <v>-1.013350166</v>
      </c>
      <c r="G37" s="61">
        <f t="shared" si="1"/>
        <v>-1.325462264</v>
      </c>
      <c r="H37" s="56">
        <f t="shared" si="2"/>
        <v>-1.320057565</v>
      </c>
      <c r="I37" s="56">
        <f t="shared" si="3"/>
        <v>-1.317355216</v>
      </c>
      <c r="J37" s="62">
        <f t="shared" si="4"/>
        <v>-0.8079646726</v>
      </c>
      <c r="K37" s="60"/>
      <c r="L37" s="60"/>
      <c r="M37" s="63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13" t="s">
        <v>20</v>
      </c>
      <c r="B38" s="13">
        <v>4.0</v>
      </c>
      <c r="C38" s="13" t="s">
        <v>47</v>
      </c>
      <c r="D38" s="13">
        <v>-168.947193655225</v>
      </c>
      <c r="E38" s="13">
        <v>-0.128316732218006</v>
      </c>
      <c r="F38" s="13">
        <v>-0.362461666095926</v>
      </c>
      <c r="G38" s="61">
        <f t="shared" si="1"/>
        <v>-0.4907783983</v>
      </c>
      <c r="H38" s="56">
        <f t="shared" si="2"/>
        <v>-0.4777262434</v>
      </c>
      <c r="I38" s="56">
        <f t="shared" si="3"/>
        <v>-0.4712001659</v>
      </c>
      <c r="J38" s="62">
        <f t="shared" si="4"/>
        <v>-0.310513251</v>
      </c>
      <c r="K38" s="60"/>
      <c r="L38" s="60"/>
      <c r="M38" s="63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13" t="s">
        <v>20</v>
      </c>
      <c r="B39" s="13">
        <v>4.0</v>
      </c>
      <c r="C39" s="13" t="s">
        <v>48</v>
      </c>
      <c r="D39" s="13">
        <v>-168.995533675824</v>
      </c>
      <c r="E39" s="13">
        <v>-0.153816678026416</v>
      </c>
      <c r="F39" s="13">
        <v>-0.456742882653331</v>
      </c>
      <c r="G39" s="61">
        <f t="shared" si="1"/>
        <v>-0.6105595607</v>
      </c>
      <c r="H39" s="56">
        <f t="shared" si="2"/>
        <v>-0.5993636852</v>
      </c>
      <c r="I39" s="56">
        <f t="shared" si="3"/>
        <v>-0.5937657474</v>
      </c>
      <c r="J39" s="62">
        <f t="shared" si="4"/>
        <v>-0.3811206677</v>
      </c>
      <c r="K39" s="60"/>
      <c r="L39" s="60"/>
      <c r="M39" s="63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13" t="s">
        <v>20</v>
      </c>
      <c r="B40" s="13">
        <v>4.0</v>
      </c>
      <c r="C40" s="13" t="s">
        <v>49</v>
      </c>
      <c r="D40" s="13">
        <v>-169.00736140491</v>
      </c>
      <c r="E40" s="13">
        <v>-0.159084191397102</v>
      </c>
      <c r="F40" s="13">
        <v>-0.493841518426225</v>
      </c>
      <c r="G40" s="61">
        <f t="shared" si="1"/>
        <v>-0.6529257098</v>
      </c>
      <c r="H40" s="56">
        <f t="shared" si="2"/>
        <v>-0.6456378859</v>
      </c>
      <c r="I40" s="56">
        <f t="shared" si="3"/>
        <v>-0.641993974</v>
      </c>
      <c r="J40" s="62">
        <f t="shared" si="4"/>
        <v>-0.4027552143</v>
      </c>
      <c r="K40" s="60"/>
      <c r="L40" s="60"/>
      <c r="M40" s="63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13" t="s">
        <v>20</v>
      </c>
      <c r="B41" s="13">
        <v>4.0</v>
      </c>
      <c r="C41" s="13" t="s">
        <v>50</v>
      </c>
      <c r="D41" s="17">
        <f>D40</f>
        <v>-169.0073614</v>
      </c>
      <c r="E41" s="17">
        <f t="shared" ref="E41:F41" si="18">(3^3*E39-4^3*E40)/(3^3-4^3)</f>
        <v>-0.1629280525</v>
      </c>
      <c r="F41" s="17">
        <f t="shared" si="18"/>
        <v>-0.5209134959</v>
      </c>
      <c r="G41" s="61">
        <f t="shared" si="1"/>
        <v>-0.6838415484</v>
      </c>
      <c r="H41" s="56">
        <f t="shared" si="2"/>
        <v>-0.6794055459</v>
      </c>
      <c r="I41" s="56">
        <f t="shared" si="3"/>
        <v>-0.6771875446</v>
      </c>
      <c r="J41" s="62">
        <f t="shared" si="4"/>
        <v>-0.4185425861</v>
      </c>
      <c r="K41" s="60"/>
      <c r="L41" s="60"/>
      <c r="M41" s="63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13" t="s">
        <v>21</v>
      </c>
      <c r="B42" s="13">
        <v>1.0</v>
      </c>
      <c r="C42" s="13" t="s">
        <v>47</v>
      </c>
      <c r="D42" s="13">
        <v>-451.983864073715</v>
      </c>
      <c r="E42" s="13">
        <v>-0.389162804810756</v>
      </c>
      <c r="F42" s="13">
        <v>-1.11992907474852</v>
      </c>
      <c r="G42" s="61">
        <f t="shared" si="1"/>
        <v>-1.50909188</v>
      </c>
      <c r="H42" s="56">
        <f t="shared" si="2"/>
        <v>-1.473635825</v>
      </c>
      <c r="I42" s="56">
        <f t="shared" si="3"/>
        <v>-1.455907797</v>
      </c>
      <c r="J42" s="62">
        <f t="shared" si="4"/>
        <v>-0.9499916481</v>
      </c>
      <c r="K42" s="60"/>
      <c r="L42" s="60"/>
      <c r="M42" s="63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13" t="s">
        <v>21</v>
      </c>
      <c r="B43" s="13">
        <v>1.0</v>
      </c>
      <c r="C43" s="13" t="s">
        <v>48</v>
      </c>
      <c r="D43" s="13">
        <v>-452.092167934113</v>
      </c>
      <c r="E43" s="13">
        <v>-0.45908812866403</v>
      </c>
      <c r="F43" s="13">
        <v>-1.38353066336164</v>
      </c>
      <c r="G43" s="61">
        <f t="shared" si="1"/>
        <v>-1.842618792</v>
      </c>
      <c r="H43" s="56">
        <f t="shared" si="2"/>
        <v>-1.813266172</v>
      </c>
      <c r="I43" s="56">
        <f t="shared" si="3"/>
        <v>-1.798589862</v>
      </c>
      <c r="J43" s="62">
        <f t="shared" si="4"/>
        <v>-1.145635951</v>
      </c>
      <c r="K43" s="60"/>
      <c r="L43" s="60"/>
      <c r="M43" s="63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13" t="s">
        <v>21</v>
      </c>
      <c r="B44" s="13">
        <v>1.0</v>
      </c>
      <c r="C44" s="13" t="s">
        <v>49</v>
      </c>
      <c r="D44" s="13">
        <v>-452.119475444215</v>
      </c>
      <c r="E44" s="13">
        <v>-0.473748856602886</v>
      </c>
      <c r="F44" s="13">
        <v>-1.48410859641463</v>
      </c>
      <c r="G44" s="61">
        <f t="shared" si="1"/>
        <v>-1.957857453</v>
      </c>
      <c r="H44" s="56">
        <f t="shared" si="2"/>
        <v>-1.938846601</v>
      </c>
      <c r="I44" s="56">
        <f t="shared" si="3"/>
        <v>-1.929341175</v>
      </c>
      <c r="J44" s="62">
        <f t="shared" si="4"/>
        <v>-1.204779464</v>
      </c>
      <c r="K44" s="60"/>
      <c r="L44" s="60"/>
      <c r="M44" s="63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13" t="s">
        <v>21</v>
      </c>
      <c r="B45" s="13">
        <v>1.0</v>
      </c>
      <c r="C45" s="13" t="s">
        <v>50</v>
      </c>
      <c r="D45" s="13">
        <v>-452.119475444215</v>
      </c>
      <c r="E45" s="17">
        <f t="shared" ref="E45:G45" si="19">(3^3*E43-4^3*E44)/(3^3-4^3)</f>
        <v>-0.4844472256</v>
      </c>
      <c r="F45" s="17">
        <f t="shared" si="19"/>
        <v>-1.557503304</v>
      </c>
      <c r="G45" s="17">
        <f t="shared" si="19"/>
        <v>-2.04195053</v>
      </c>
      <c r="H45" s="56">
        <f t="shared" si="2"/>
        <v>-2.030486374</v>
      </c>
      <c r="I45" s="56">
        <f t="shared" si="3"/>
        <v>-2.024754296</v>
      </c>
      <c r="J45" s="62">
        <f t="shared" si="4"/>
        <v>-1.247938243</v>
      </c>
      <c r="K45" s="60"/>
      <c r="L45" s="60"/>
      <c r="M45" s="63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13" t="s">
        <v>53</v>
      </c>
      <c r="B46" s="13">
        <v>2.0</v>
      </c>
      <c r="C46" s="13" t="s">
        <v>47</v>
      </c>
      <c r="D46" s="13">
        <v>-381.626565659934</v>
      </c>
      <c r="E46" s="13">
        <v>-0.302222321841448</v>
      </c>
      <c r="F46" s="13">
        <v>-0.870062366775075</v>
      </c>
      <c r="G46" s="61">
        <f t="shared" ref="G46:G72" si="20">E46+F46</f>
        <v>-1.172284689</v>
      </c>
      <c r="H46" s="56">
        <f t="shared" si="2"/>
        <v>-1.144815614</v>
      </c>
      <c r="I46" s="56">
        <f t="shared" si="3"/>
        <v>-1.131081077</v>
      </c>
      <c r="J46" s="62">
        <f t="shared" si="4"/>
        <v>-0.7378917419</v>
      </c>
      <c r="K46" s="60"/>
      <c r="L46" s="60"/>
      <c r="M46" s="63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13" t="s">
        <v>53</v>
      </c>
      <c r="B47" s="13">
        <v>2.0</v>
      </c>
      <c r="C47" s="13" t="s">
        <v>48</v>
      </c>
      <c r="D47" s="13">
        <v>-381.727873461618</v>
      </c>
      <c r="E47" s="13">
        <v>-0.358147528377516</v>
      </c>
      <c r="F47" s="13">
        <v>-1.08418124771796</v>
      </c>
      <c r="G47" s="61">
        <f t="shared" si="20"/>
        <v>-1.442328776</v>
      </c>
      <c r="H47" s="56">
        <f t="shared" si="2"/>
        <v>-1.420400007</v>
      </c>
      <c r="I47" s="56">
        <f t="shared" si="3"/>
        <v>-1.409435622</v>
      </c>
      <c r="J47" s="62">
        <f t="shared" si="4"/>
        <v>-0.8956828107</v>
      </c>
      <c r="K47" s="60"/>
      <c r="L47" s="60"/>
      <c r="M47" s="63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13" t="s">
        <v>53</v>
      </c>
      <c r="B48" s="13">
        <v>2.0</v>
      </c>
      <c r="C48" s="13" t="s">
        <v>49</v>
      </c>
      <c r="D48" s="13">
        <v>-381.753286251838</v>
      </c>
      <c r="E48" s="13">
        <v>-0.370063662012739</v>
      </c>
      <c r="F48" s="13">
        <v>-1.16835834915371</v>
      </c>
      <c r="G48" s="61">
        <f t="shared" si="20"/>
        <v>-1.538422011</v>
      </c>
      <c r="H48" s="56">
        <f t="shared" si="2"/>
        <v>-1.525384573</v>
      </c>
      <c r="I48" s="56">
        <f t="shared" si="3"/>
        <v>-1.518865854</v>
      </c>
      <c r="J48" s="62">
        <f t="shared" si="4"/>
        <v>-0.9447254637</v>
      </c>
      <c r="K48" s="60"/>
      <c r="L48" s="60"/>
      <c r="M48" s="63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13" t="s">
        <v>53</v>
      </c>
      <c r="B49" s="13">
        <v>2.0</v>
      </c>
      <c r="C49" s="13" t="s">
        <v>50</v>
      </c>
      <c r="D49" s="17">
        <f>D48</f>
        <v>-381.7532863</v>
      </c>
      <c r="E49" s="17">
        <f t="shared" ref="E49:F49" si="21">(3^3*E47-4^3*E48)/(3^3-4^3)</f>
        <v>-0.378759219</v>
      </c>
      <c r="F49" s="17">
        <f t="shared" si="21"/>
        <v>-1.229784883</v>
      </c>
      <c r="G49" s="61">
        <f t="shared" si="20"/>
        <v>-1.608544102</v>
      </c>
      <c r="H49" s="56">
        <f t="shared" si="2"/>
        <v>-1.601994932</v>
      </c>
      <c r="I49" s="56">
        <f t="shared" si="3"/>
        <v>-1.598720347</v>
      </c>
      <c r="J49" s="62">
        <f t="shared" si="4"/>
        <v>-0.9805133456</v>
      </c>
      <c r="K49" s="60"/>
      <c r="L49" s="60"/>
      <c r="M49" s="63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13" t="s">
        <v>91</v>
      </c>
      <c r="B50" s="13">
        <v>4.0</v>
      </c>
      <c r="C50" s="13" t="s">
        <v>47</v>
      </c>
      <c r="D50" s="13">
        <v>-224.835593656313</v>
      </c>
      <c r="E50" s="13">
        <v>-0.19672854593441</v>
      </c>
      <c r="F50" s="13">
        <v>-0.533148973949907</v>
      </c>
      <c r="G50" s="61">
        <f t="shared" si="20"/>
        <v>-0.7298775199</v>
      </c>
      <c r="H50" s="56">
        <f t="shared" si="2"/>
        <v>-0.7053549507</v>
      </c>
      <c r="I50" s="56">
        <f t="shared" si="3"/>
        <v>-0.6930936661</v>
      </c>
      <c r="J50" s="62">
        <f t="shared" si="4"/>
        <v>-0.4670394138</v>
      </c>
      <c r="K50" s="60"/>
      <c r="L50" s="60"/>
      <c r="M50" s="63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13" t="s">
        <v>91</v>
      </c>
      <c r="B51" s="13">
        <v>4.0</v>
      </c>
      <c r="C51" s="13" t="s">
        <v>48</v>
      </c>
      <c r="D51" s="13">
        <v>-224.890480221542</v>
      </c>
      <c r="E51" s="13">
        <v>-0.229894461250865</v>
      </c>
      <c r="F51" s="13">
        <v>-0.658240974547507</v>
      </c>
      <c r="G51" s="61">
        <f t="shared" si="20"/>
        <v>-0.8881354358</v>
      </c>
      <c r="H51" s="56">
        <f t="shared" si="2"/>
        <v>-0.8665206565</v>
      </c>
      <c r="I51" s="56">
        <f t="shared" si="3"/>
        <v>-0.8557132669</v>
      </c>
      <c r="J51" s="62">
        <f t="shared" si="4"/>
        <v>-0.5598602448</v>
      </c>
      <c r="K51" s="60"/>
      <c r="L51" s="60"/>
      <c r="M51" s="63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13" t="s">
        <v>91</v>
      </c>
      <c r="B52" s="13">
        <v>4.0</v>
      </c>
      <c r="C52" s="13" t="s">
        <v>49</v>
      </c>
      <c r="D52" s="13">
        <v>-224.904600286967</v>
      </c>
      <c r="E52" s="13">
        <v>-0.236796734508914</v>
      </c>
      <c r="F52" s="13">
        <v>-0.70696698411998</v>
      </c>
      <c r="G52" s="61">
        <f t="shared" si="20"/>
        <v>-0.9437637186</v>
      </c>
      <c r="H52" s="56">
        <f t="shared" si="2"/>
        <v>-0.9272926258</v>
      </c>
      <c r="I52" s="56">
        <f t="shared" si="3"/>
        <v>-0.9190570794</v>
      </c>
      <c r="J52" s="62">
        <f t="shared" si="4"/>
        <v>-0.5882545812</v>
      </c>
      <c r="K52" s="60"/>
      <c r="L52" s="60"/>
      <c r="M52" s="63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13" t="s">
        <v>91</v>
      </c>
      <c r="B53" s="13">
        <v>4.0</v>
      </c>
      <c r="C53" s="13" t="s">
        <v>50</v>
      </c>
      <c r="D53" s="17">
        <f>D52</f>
        <v>-224.9046003</v>
      </c>
      <c r="E53" s="17">
        <f t="shared" ref="E53:F53" si="22">(3^3*E51-4^3*E52)/(3^3-4^3)</f>
        <v>-0.2418335285</v>
      </c>
      <c r="F53" s="17">
        <f t="shared" si="22"/>
        <v>-0.7425238019</v>
      </c>
      <c r="G53" s="61">
        <f t="shared" si="20"/>
        <v>-0.9843573304</v>
      </c>
      <c r="H53" s="56">
        <f t="shared" si="2"/>
        <v>-0.9716397385</v>
      </c>
      <c r="I53" s="56">
        <f t="shared" si="3"/>
        <v>-0.9652809425</v>
      </c>
      <c r="J53" s="62">
        <f t="shared" si="4"/>
        <v>-0.6089747725</v>
      </c>
      <c r="K53" s="60"/>
      <c r="L53" s="60"/>
      <c r="M53" s="63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13" t="s">
        <v>54</v>
      </c>
      <c r="B54" s="13">
        <v>2.0</v>
      </c>
      <c r="C54" s="13" t="s">
        <v>47</v>
      </c>
      <c r="D54" s="13">
        <v>-383.386078502656</v>
      </c>
      <c r="E54" s="13">
        <v>-0.352734043856855</v>
      </c>
      <c r="F54" s="13">
        <v>-0.952555754332588</v>
      </c>
      <c r="G54" s="61">
        <f t="shared" si="20"/>
        <v>-1.305289798</v>
      </c>
      <c r="H54" s="56">
        <f t="shared" si="2"/>
        <v>-1.26064492</v>
      </c>
      <c r="I54" s="56">
        <f t="shared" si="3"/>
        <v>-1.238322481</v>
      </c>
      <c r="J54" s="62">
        <f t="shared" si="4"/>
        <v>-0.8360492183</v>
      </c>
      <c r="K54" s="60"/>
      <c r="L54" s="60"/>
      <c r="M54" s="63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13" t="s">
        <v>54</v>
      </c>
      <c r="B55" s="13">
        <v>2.0</v>
      </c>
      <c r="C55" s="13" t="s">
        <v>48</v>
      </c>
      <c r="D55" s="13">
        <v>-383.473685923324</v>
      </c>
      <c r="E55" s="13">
        <v>-0.406755635912399</v>
      </c>
      <c r="F55" s="13">
        <v>-1.16877637808475</v>
      </c>
      <c r="G55" s="61">
        <f t="shared" si="20"/>
        <v>-1.575532014</v>
      </c>
      <c r="H55" s="56">
        <f t="shared" si="2"/>
        <v>-1.538116866</v>
      </c>
      <c r="I55" s="56">
        <f t="shared" si="3"/>
        <v>-1.519409292</v>
      </c>
      <c r="J55" s="62">
        <f t="shared" si="4"/>
        <v>-0.9922253216</v>
      </c>
      <c r="K55" s="60"/>
      <c r="L55" s="60"/>
      <c r="M55" s="63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13" t="s">
        <v>54</v>
      </c>
      <c r="B56" s="13">
        <v>2.0</v>
      </c>
      <c r="C56" s="13" t="s">
        <v>49</v>
      </c>
      <c r="D56" s="13">
        <v>-383.495923962778</v>
      </c>
      <c r="E56" s="13">
        <v>-0.417844692347266</v>
      </c>
      <c r="F56" s="13">
        <v>-1.25188028396654</v>
      </c>
      <c r="G56" s="61">
        <f t="shared" si="20"/>
        <v>-1.669724976</v>
      </c>
      <c r="H56" s="56">
        <f t="shared" si="2"/>
        <v>-1.641537905</v>
      </c>
      <c r="I56" s="56">
        <f t="shared" si="3"/>
        <v>-1.627444369</v>
      </c>
      <c r="J56" s="62">
        <f t="shared" si="4"/>
        <v>-1.039771767</v>
      </c>
      <c r="K56" s="60"/>
      <c r="L56" s="60"/>
      <c r="M56" s="63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13" t="s">
        <v>54</v>
      </c>
      <c r="B57" s="13">
        <v>2.0</v>
      </c>
      <c r="C57" s="13" t="s">
        <v>50</v>
      </c>
      <c r="D57" s="17">
        <f>D56</f>
        <v>-383.495924</v>
      </c>
      <c r="E57" s="17">
        <f t="shared" ref="E57:F57" si="23">(3^3*E55-4^3*E56)/(3^3-4^3)</f>
        <v>-0.4259367065</v>
      </c>
      <c r="F57" s="17">
        <f t="shared" si="23"/>
        <v>-1.312523675</v>
      </c>
      <c r="G57" s="61">
        <f t="shared" si="20"/>
        <v>-1.738460381</v>
      </c>
      <c r="H57" s="56">
        <f t="shared" si="2"/>
        <v>-1.717007312</v>
      </c>
      <c r="I57" s="56">
        <f t="shared" si="3"/>
        <v>-1.706280777</v>
      </c>
      <c r="J57" s="62">
        <f t="shared" si="4"/>
        <v>-1.074467821</v>
      </c>
      <c r="K57" s="60"/>
      <c r="L57" s="60"/>
      <c r="M57" s="63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13" t="s">
        <v>55</v>
      </c>
      <c r="B58" s="13">
        <v>4.0</v>
      </c>
      <c r="C58" s="13" t="s">
        <v>47</v>
      </c>
      <c r="D58" s="13">
        <v>-376.403520082793</v>
      </c>
      <c r="E58" s="13">
        <v>-0.27625967100787</v>
      </c>
      <c r="F58" s="13">
        <v>-0.723341216602052</v>
      </c>
      <c r="G58" s="61">
        <f t="shared" si="20"/>
        <v>-0.9996008876</v>
      </c>
      <c r="H58" s="56">
        <f t="shared" si="2"/>
        <v>-0.9600960169</v>
      </c>
      <c r="I58" s="56">
        <f t="shared" si="3"/>
        <v>-0.9403435816</v>
      </c>
      <c r="J58" s="62">
        <f t="shared" si="4"/>
        <v>-0.6457114622</v>
      </c>
      <c r="K58" s="60"/>
      <c r="L58" s="60"/>
      <c r="M58" s="63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13" t="s">
        <v>55</v>
      </c>
      <c r="B59" s="13">
        <v>4.0</v>
      </c>
      <c r="C59" s="13" t="s">
        <v>48</v>
      </c>
      <c r="D59" s="13">
        <v>-376.507369212855</v>
      </c>
      <c r="E59" s="13">
        <v>-0.332669512343913</v>
      </c>
      <c r="F59" s="13">
        <v>-0.918197412207504</v>
      </c>
      <c r="G59" s="61">
        <f t="shared" si="20"/>
        <v>-1.250866925</v>
      </c>
      <c r="H59" s="56">
        <f t="shared" si="2"/>
        <v>-1.212726732</v>
      </c>
      <c r="I59" s="56">
        <f t="shared" si="3"/>
        <v>-1.193656636</v>
      </c>
      <c r="J59" s="62">
        <f t="shared" si="4"/>
        <v>-0.7964226358</v>
      </c>
      <c r="K59" s="60"/>
      <c r="L59" s="60"/>
      <c r="M59" s="63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13" t="s">
        <v>55</v>
      </c>
      <c r="B60" s="13">
        <v>4.0</v>
      </c>
      <c r="C60" s="13" t="s">
        <v>49</v>
      </c>
      <c r="D60" s="13">
        <v>-376.532885092381</v>
      </c>
      <c r="E60" s="13">
        <v>-0.344279020412569</v>
      </c>
      <c r="F60" s="13">
        <v>-0.996644314988099</v>
      </c>
      <c r="G60" s="61">
        <f t="shared" si="20"/>
        <v>-1.340923335</v>
      </c>
      <c r="H60" s="56">
        <f t="shared" si="2"/>
        <v>-1.310732851</v>
      </c>
      <c r="I60" s="56">
        <f t="shared" si="3"/>
        <v>-1.295637609</v>
      </c>
      <c r="J60" s="62">
        <f t="shared" si="4"/>
        <v>-0.8427776623</v>
      </c>
      <c r="K60" s="60"/>
      <c r="L60" s="60"/>
      <c r="M60" s="63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13" t="s">
        <v>55</v>
      </c>
      <c r="B61" s="13">
        <v>4.0</v>
      </c>
      <c r="C61" s="13" t="s">
        <v>50</v>
      </c>
      <c r="D61" s="17">
        <f>D60</f>
        <v>-376.5328851</v>
      </c>
      <c r="E61" s="17">
        <f t="shared" ref="E61:F61" si="24">(3^3*E59-4^3*E60)/(3^3-4^3)</f>
        <v>-0.3527508236</v>
      </c>
      <c r="F61" s="17">
        <f t="shared" si="24"/>
        <v>-1.053889352</v>
      </c>
      <c r="G61" s="61">
        <f t="shared" si="20"/>
        <v>-1.406640176</v>
      </c>
      <c r="H61" s="56">
        <f t="shared" si="2"/>
        <v>-1.38225083</v>
      </c>
      <c r="I61" s="56">
        <f t="shared" si="3"/>
        <v>-1.370056158</v>
      </c>
      <c r="J61" s="62">
        <f t="shared" si="4"/>
        <v>-0.8766043033</v>
      </c>
      <c r="K61" s="60"/>
      <c r="L61" s="60"/>
      <c r="M61" s="63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13" t="s">
        <v>56</v>
      </c>
      <c r="B62" s="13">
        <v>2.0</v>
      </c>
      <c r="C62" s="13" t="s">
        <v>47</v>
      </c>
      <c r="D62" s="13">
        <v>-376.392701342483</v>
      </c>
      <c r="E62" s="13">
        <v>-0.274793355737372</v>
      </c>
      <c r="F62" s="13">
        <v>-0.719947406431992</v>
      </c>
      <c r="G62" s="61">
        <f t="shared" si="20"/>
        <v>-0.9947407622</v>
      </c>
      <c r="H62" s="56">
        <f t="shared" si="2"/>
        <v>-0.955534673</v>
      </c>
      <c r="I62" s="56">
        <f t="shared" si="3"/>
        <v>-0.9359316284</v>
      </c>
      <c r="J62" s="62">
        <f t="shared" si="4"/>
        <v>-0.6424623915</v>
      </c>
      <c r="K62" s="60"/>
      <c r="L62" s="60"/>
      <c r="M62" s="63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13" t="s">
        <v>56</v>
      </c>
      <c r="B63" s="13">
        <v>2.0</v>
      </c>
      <c r="C63" s="13" t="s">
        <v>48</v>
      </c>
      <c r="D63" s="13">
        <v>-376.502101625261</v>
      </c>
      <c r="E63" s="13">
        <v>-0.332284685434595</v>
      </c>
      <c r="F63" s="13">
        <v>-0.916820473327496</v>
      </c>
      <c r="G63" s="61">
        <f t="shared" si="20"/>
        <v>-1.249105159</v>
      </c>
      <c r="H63" s="56">
        <f t="shared" si="2"/>
        <v>-1.21094613</v>
      </c>
      <c r="I63" s="56">
        <f t="shared" si="3"/>
        <v>-1.191866615</v>
      </c>
      <c r="J63" s="62">
        <f t="shared" si="4"/>
        <v>-0.7953754335</v>
      </c>
      <c r="K63" s="60"/>
      <c r="L63" s="60"/>
      <c r="M63" s="63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13" t="s">
        <v>56</v>
      </c>
      <c r="B64" s="13">
        <v>2.0</v>
      </c>
      <c r="C64" s="13" t="s">
        <v>49</v>
      </c>
      <c r="D64" s="13">
        <v>-376.529211473646</v>
      </c>
      <c r="E64" s="13">
        <v>-0.344511981613566</v>
      </c>
      <c r="F64" s="13">
        <v>-0.996624955252488</v>
      </c>
      <c r="G64" s="61">
        <f t="shared" si="20"/>
        <v>-1.341136937</v>
      </c>
      <c r="H64" s="56">
        <f t="shared" si="2"/>
        <v>-1.310787274</v>
      </c>
      <c r="I64" s="56">
        <f t="shared" si="3"/>
        <v>-1.295612442</v>
      </c>
      <c r="J64" s="62">
        <f t="shared" si="4"/>
        <v>-0.8430704384</v>
      </c>
      <c r="K64" s="60"/>
      <c r="L64" s="60"/>
      <c r="M64" s="63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13" t="s">
        <v>56</v>
      </c>
      <c r="B65" s="13">
        <v>2.0</v>
      </c>
      <c r="C65" s="13" t="s">
        <v>50</v>
      </c>
      <c r="D65" s="17">
        <f>D64</f>
        <v>-376.5292115</v>
      </c>
      <c r="E65" s="17">
        <f t="shared" ref="E65:F65" si="25">(3^3*E63-4^3*E64)/(3^3-4^3)</f>
        <v>-0.3534346031</v>
      </c>
      <c r="F65" s="17">
        <f t="shared" si="25"/>
        <v>-1.054860658</v>
      </c>
      <c r="G65" s="61">
        <f t="shared" si="20"/>
        <v>-1.408295261</v>
      </c>
      <c r="H65" s="56">
        <f t="shared" si="2"/>
        <v>-1.383644324</v>
      </c>
      <c r="I65" s="56">
        <f t="shared" si="3"/>
        <v>-1.371318856</v>
      </c>
      <c r="J65" s="62">
        <f t="shared" si="4"/>
        <v>-0.8778749014</v>
      </c>
      <c r="K65" s="60"/>
      <c r="L65" s="60"/>
      <c r="M65" s="63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13" t="s">
        <v>28</v>
      </c>
      <c r="B66" s="13">
        <v>2.0</v>
      </c>
      <c r="C66" s="13" t="s">
        <v>47</v>
      </c>
      <c r="D66" s="13">
        <v>-262.702724379969</v>
      </c>
      <c r="E66" s="13">
        <v>-0.227854964985879</v>
      </c>
      <c r="F66" s="13">
        <v>-0.611175042019176</v>
      </c>
      <c r="G66" s="61">
        <f t="shared" si="20"/>
        <v>-0.839030007</v>
      </c>
      <c r="H66" s="56">
        <f t="shared" si="2"/>
        <v>-0.8093617054</v>
      </c>
      <c r="I66" s="56">
        <f t="shared" si="3"/>
        <v>-0.7945275546</v>
      </c>
      <c r="J66" s="62">
        <f t="shared" si="4"/>
        <v>-0.5384029216</v>
      </c>
      <c r="K66" s="60"/>
      <c r="L66" s="60"/>
      <c r="M66" s="63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13" t="s">
        <v>28</v>
      </c>
      <c r="B67" s="13">
        <v>2.0</v>
      </c>
      <c r="C67" s="13" t="s">
        <v>48</v>
      </c>
      <c r="D67" s="13">
        <v>-262.766322329299</v>
      </c>
      <c r="E67" s="13">
        <v>-0.265847498055556</v>
      </c>
      <c r="F67" s="13">
        <v>-0.756477263542482</v>
      </c>
      <c r="G67" s="61">
        <f t="shared" si="20"/>
        <v>-1.022324762</v>
      </c>
      <c r="H67" s="56">
        <f t="shared" si="2"/>
        <v>-0.9963885489</v>
      </c>
      <c r="I67" s="56">
        <f t="shared" si="3"/>
        <v>-0.9834204426</v>
      </c>
      <c r="J67" s="62">
        <f t="shared" si="4"/>
        <v>-0.6455341779</v>
      </c>
      <c r="K67" s="60"/>
      <c r="L67" s="60"/>
      <c r="M67" s="63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13" t="s">
        <v>28</v>
      </c>
      <c r="B68" s="13">
        <v>2.0</v>
      </c>
      <c r="C68" s="13" t="s">
        <v>49</v>
      </c>
      <c r="D68" s="13">
        <v>-262.783144335388</v>
      </c>
      <c r="E68" s="13">
        <v>-0.273986811382616</v>
      </c>
      <c r="F68" s="13">
        <v>-0.81319692685658</v>
      </c>
      <c r="G68" s="61">
        <f t="shared" si="20"/>
        <v>-1.087183738</v>
      </c>
      <c r="H68" s="56">
        <f t="shared" si="2"/>
        <v>-1.067165249</v>
      </c>
      <c r="I68" s="56">
        <f t="shared" si="3"/>
        <v>-1.057156005</v>
      </c>
      <c r="J68" s="62">
        <f t="shared" si="4"/>
        <v>-0.6787217574</v>
      </c>
      <c r="K68" s="60"/>
      <c r="L68" s="60"/>
      <c r="M68" s="63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13" t="s">
        <v>28</v>
      </c>
      <c r="B69" s="13">
        <v>2.0</v>
      </c>
      <c r="C69" s="13" t="s">
        <v>50</v>
      </c>
      <c r="D69" s="17">
        <f>D68</f>
        <v>-262.7831443</v>
      </c>
      <c r="E69" s="17">
        <f t="shared" ref="E69:F69" si="26">(3^3*E67-4^3*E68)/(3^3-4^3)</f>
        <v>-0.2799263103</v>
      </c>
      <c r="F69" s="17">
        <f t="shared" si="26"/>
        <v>-0.8545869514</v>
      </c>
      <c r="G69" s="61">
        <f t="shared" si="20"/>
        <v>-1.134513262</v>
      </c>
      <c r="H69" s="56">
        <f t="shared" si="2"/>
        <v>-1.118813112</v>
      </c>
      <c r="I69" s="56">
        <f t="shared" si="3"/>
        <v>-1.110963037</v>
      </c>
      <c r="J69" s="62">
        <f t="shared" si="4"/>
        <v>-0.7029397209</v>
      </c>
      <c r="K69" s="60"/>
      <c r="L69" s="60"/>
      <c r="M69" s="63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13" t="s">
        <v>35</v>
      </c>
      <c r="B70" s="13">
        <v>8.0</v>
      </c>
      <c r="C70" s="13" t="s">
        <v>47</v>
      </c>
      <c r="D70" s="13">
        <v>-224.815969022636</v>
      </c>
      <c r="E70" s="13">
        <v>-0.198663818324427</v>
      </c>
      <c r="F70" s="13">
        <v>-0.537331428746754</v>
      </c>
      <c r="G70" s="61">
        <f t="shared" si="20"/>
        <v>-0.7359952471</v>
      </c>
      <c r="H70" s="56">
        <f t="shared" si="2"/>
        <v>-0.7110189873</v>
      </c>
      <c r="I70" s="56">
        <f t="shared" si="3"/>
        <v>-0.6985308574</v>
      </c>
      <c r="J70" s="62">
        <f t="shared" si="4"/>
        <v>-0.4712088971</v>
      </c>
      <c r="K70" s="60"/>
      <c r="L70" s="60"/>
      <c r="M70" s="63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13" t="s">
        <v>35</v>
      </c>
      <c r="B71" s="13">
        <v>8.0</v>
      </c>
      <c r="C71" s="13" t="s">
        <v>48</v>
      </c>
      <c r="D71" s="13">
        <v>-224.87024695112</v>
      </c>
      <c r="E71" s="13">
        <v>-0.231602021658601</v>
      </c>
      <c r="F71" s="13">
        <v>-0.66181969620832</v>
      </c>
      <c r="G71" s="61">
        <f t="shared" si="20"/>
        <v>-0.8934217179</v>
      </c>
      <c r="H71" s="56">
        <f t="shared" si="2"/>
        <v>-0.8713843093</v>
      </c>
      <c r="I71" s="56">
        <f t="shared" si="3"/>
        <v>-0.8603656051</v>
      </c>
      <c r="J71" s="62">
        <f t="shared" si="4"/>
        <v>-0.5634944864</v>
      </c>
      <c r="K71" s="60"/>
      <c r="L71" s="60"/>
      <c r="M71" s="63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13" t="s">
        <v>35</v>
      </c>
      <c r="B72" s="13">
        <v>8.0</v>
      </c>
      <c r="C72" s="13" t="s">
        <v>49</v>
      </c>
      <c r="D72" s="18">
        <v>-224.884158674282</v>
      </c>
      <c r="E72" s="13">
        <v>-0.238463288750965</v>
      </c>
      <c r="F72" s="13">
        <v>-0.710298463946114</v>
      </c>
      <c r="G72" s="61">
        <f t="shared" si="20"/>
        <v>-0.9487617527</v>
      </c>
      <c r="H72" s="56">
        <f t="shared" si="2"/>
        <v>-0.9318459197</v>
      </c>
      <c r="I72" s="56">
        <f t="shared" si="3"/>
        <v>-0.9233880031</v>
      </c>
      <c r="J72" s="62">
        <f t="shared" si="4"/>
        <v>-0.5917370281</v>
      </c>
      <c r="K72" s="60"/>
      <c r="L72" s="60"/>
      <c r="M72" s="63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13" t="s">
        <v>35</v>
      </c>
      <c r="B73" s="13">
        <v>8.0</v>
      </c>
      <c r="C73" s="13" t="s">
        <v>50</v>
      </c>
      <c r="D73" s="17">
        <f>D72</f>
        <v>-224.8841587</v>
      </c>
      <c r="E73" s="17">
        <f t="shared" ref="E73:J73" si="27">(3^3*E71-4^3*E72)/(3^3-4^3)</f>
        <v>-0.2434701593</v>
      </c>
      <c r="F73" s="17">
        <f t="shared" si="27"/>
        <v>-0.745674862</v>
      </c>
      <c r="G73" s="17">
        <f t="shared" si="27"/>
        <v>-0.9891450214</v>
      </c>
      <c r="H73" s="17">
        <f t="shared" si="27"/>
        <v>-0.9759665542</v>
      </c>
      <c r="I73" s="17">
        <f t="shared" si="27"/>
        <v>-0.9693773206</v>
      </c>
      <c r="J73" s="17">
        <f t="shared" si="27"/>
        <v>-0.6123464503</v>
      </c>
      <c r="K73" s="60"/>
      <c r="L73" s="60"/>
      <c r="M73" s="63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13" t="s">
        <v>57</v>
      </c>
      <c r="B74" s="13">
        <v>2.0</v>
      </c>
      <c r="C74" s="13" t="s">
        <v>47</v>
      </c>
      <c r="D74" s="13">
        <v>-454.501501179879</v>
      </c>
      <c r="E74" s="13">
        <v>-0.341880183722682</v>
      </c>
      <c r="F74" s="13">
        <v>-0.935929724797839</v>
      </c>
      <c r="G74" s="61">
        <f t="shared" ref="G74:G84" si="28">E74+F74</f>
        <v>-1.277809909</v>
      </c>
      <c r="H74" s="56">
        <f t="shared" ref="H74:H84" si="29">1/3*E74+1.2*F74</f>
        <v>-1.237075731</v>
      </c>
      <c r="I74" s="56">
        <f t="shared" ref="I74:I84" si="30">1.3*F74</f>
        <v>-1.216708642</v>
      </c>
      <c r="J74" s="62">
        <f t="shared" ref="J74:J84" si="31">1.29*E74+0.4*F74</f>
        <v>-0.8153973269</v>
      </c>
      <c r="K74" s="60"/>
      <c r="L74" s="60"/>
      <c r="M74" s="63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13" t="s">
        <v>57</v>
      </c>
      <c r="B75" s="13">
        <v>2.0</v>
      </c>
      <c r="C75" s="13" t="s">
        <v>48</v>
      </c>
      <c r="D75" s="13">
        <v>-454.626549772305</v>
      </c>
      <c r="E75" s="13">
        <v>-0.41078278924097</v>
      </c>
      <c r="F75" s="13">
        <v>-1.18285957869373</v>
      </c>
      <c r="G75" s="61">
        <f t="shared" si="28"/>
        <v>-1.593642368</v>
      </c>
      <c r="H75" s="56">
        <f t="shared" si="29"/>
        <v>-1.556359091</v>
      </c>
      <c r="I75" s="56">
        <f t="shared" si="30"/>
        <v>-1.537717452</v>
      </c>
      <c r="J75" s="62">
        <f t="shared" si="31"/>
        <v>-1.00305363</v>
      </c>
      <c r="K75" s="60"/>
      <c r="L75" s="60"/>
      <c r="M75" s="63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13" t="s">
        <v>57</v>
      </c>
      <c r="B76" s="13">
        <v>2.0</v>
      </c>
      <c r="C76" s="13" t="s">
        <v>49</v>
      </c>
      <c r="D76" s="13">
        <v>-454.657067386883</v>
      </c>
      <c r="E76" s="13">
        <v>-0.425111618376616</v>
      </c>
      <c r="F76" s="13">
        <v>-1.28096681151652</v>
      </c>
      <c r="G76" s="61">
        <f t="shared" si="28"/>
        <v>-1.70607843</v>
      </c>
      <c r="H76" s="56">
        <f t="shared" si="29"/>
        <v>-1.678864047</v>
      </c>
      <c r="I76" s="56">
        <f t="shared" si="30"/>
        <v>-1.665256855</v>
      </c>
      <c r="J76" s="62">
        <f t="shared" si="31"/>
        <v>-1.060780712</v>
      </c>
      <c r="K76" s="60"/>
      <c r="L76" s="60"/>
      <c r="M76" s="63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13" t="s">
        <v>57</v>
      </c>
      <c r="B77" s="13">
        <v>2.0</v>
      </c>
      <c r="C77" s="13" t="s">
        <v>50</v>
      </c>
      <c r="D77" s="17">
        <f>D76</f>
        <v>-454.6570674</v>
      </c>
      <c r="E77" s="17">
        <f t="shared" ref="E77:F77" si="32">(3^3*E75-4^3*E76)/(3^3-4^3)</f>
        <v>-0.435567791</v>
      </c>
      <c r="F77" s="17">
        <f t="shared" si="32"/>
        <v>-1.352558576</v>
      </c>
      <c r="G77" s="61">
        <f t="shared" si="28"/>
        <v>-1.788126367</v>
      </c>
      <c r="H77" s="56">
        <f t="shared" si="29"/>
        <v>-1.768259555</v>
      </c>
      <c r="I77" s="56">
        <f t="shared" si="30"/>
        <v>-1.758326149</v>
      </c>
      <c r="J77" s="62">
        <f t="shared" si="31"/>
        <v>-1.102905881</v>
      </c>
      <c r="K77" s="60"/>
      <c r="L77" s="60"/>
      <c r="M77" s="63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13" t="s">
        <v>30</v>
      </c>
      <c r="B78" s="13">
        <v>6.0</v>
      </c>
      <c r="C78" s="13" t="s">
        <v>47</v>
      </c>
      <c r="D78" s="13">
        <v>-278.717344705031</v>
      </c>
      <c r="E78" s="13">
        <v>-0.234933032066279</v>
      </c>
      <c r="F78" s="13">
        <v>-0.619656938887936</v>
      </c>
      <c r="G78" s="61">
        <f t="shared" si="28"/>
        <v>-0.854589971</v>
      </c>
      <c r="H78" s="56">
        <f t="shared" si="29"/>
        <v>-0.8218993374</v>
      </c>
      <c r="I78" s="56">
        <f t="shared" si="30"/>
        <v>-0.8055540206</v>
      </c>
      <c r="J78" s="62">
        <f t="shared" si="31"/>
        <v>-0.5509263869</v>
      </c>
      <c r="K78" s="60"/>
      <c r="L78" s="60"/>
      <c r="M78" s="63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13" t="s">
        <v>30</v>
      </c>
      <c r="B79" s="13">
        <v>6.0</v>
      </c>
      <c r="C79" s="13" t="s">
        <v>48</v>
      </c>
      <c r="D79" s="13">
        <v>-278.785266105752</v>
      </c>
      <c r="E79" s="13">
        <v>-0.275186386515951</v>
      </c>
      <c r="F79" s="13">
        <v>-0.770608315391186</v>
      </c>
      <c r="G79" s="61">
        <f t="shared" si="28"/>
        <v>-1.045794702</v>
      </c>
      <c r="H79" s="56">
        <f t="shared" si="29"/>
        <v>-1.016458774</v>
      </c>
      <c r="I79" s="56">
        <f t="shared" si="30"/>
        <v>-1.00179081</v>
      </c>
      <c r="J79" s="62">
        <f t="shared" si="31"/>
        <v>-0.6632337648</v>
      </c>
      <c r="K79" s="60"/>
      <c r="L79" s="60"/>
      <c r="M79" s="63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13" t="s">
        <v>30</v>
      </c>
      <c r="B80" s="13">
        <v>6.0</v>
      </c>
      <c r="C80" s="13" t="s">
        <v>49</v>
      </c>
      <c r="D80" s="13">
        <v>-278.803450871804</v>
      </c>
      <c r="E80" s="13">
        <v>-0.283858087047093</v>
      </c>
      <c r="F80" s="13">
        <v>-0.83003538121072</v>
      </c>
      <c r="G80" s="61">
        <f t="shared" si="28"/>
        <v>-1.113893468</v>
      </c>
      <c r="H80" s="56">
        <f t="shared" si="29"/>
        <v>-1.09066182</v>
      </c>
      <c r="I80" s="56">
        <f t="shared" si="30"/>
        <v>-1.079045996</v>
      </c>
      <c r="J80" s="62">
        <f t="shared" si="31"/>
        <v>-0.6981910848</v>
      </c>
      <c r="K80" s="60"/>
      <c r="L80" s="60"/>
      <c r="M80" s="63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13" t="s">
        <v>30</v>
      </c>
      <c r="B81" s="13">
        <v>6.0</v>
      </c>
      <c r="C81" s="13" t="s">
        <v>50</v>
      </c>
      <c r="D81" s="17">
        <f>D80</f>
        <v>-278.8034509</v>
      </c>
      <c r="E81" s="17">
        <f t="shared" ref="E81:F81" si="33">(3^3*E79-4^3*E80)/(3^3-4^3)</f>
        <v>-0.2901860847</v>
      </c>
      <c r="F81" s="17">
        <f t="shared" si="33"/>
        <v>-0.8734010779</v>
      </c>
      <c r="G81" s="61">
        <f t="shared" si="28"/>
        <v>-1.163587163</v>
      </c>
      <c r="H81" s="56">
        <f t="shared" si="29"/>
        <v>-1.144809988</v>
      </c>
      <c r="I81" s="56">
        <f t="shared" si="30"/>
        <v>-1.135421401</v>
      </c>
      <c r="J81" s="62">
        <f t="shared" si="31"/>
        <v>-0.7237004805</v>
      </c>
      <c r="K81" s="60"/>
      <c r="L81" s="60"/>
      <c r="M81" s="63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13" t="s">
        <v>36</v>
      </c>
      <c r="B82" s="13">
        <v>6.0</v>
      </c>
      <c r="C82" s="13" t="s">
        <v>47</v>
      </c>
      <c r="D82" s="13">
        <v>-341.677493669083</v>
      </c>
      <c r="E82" s="13">
        <v>-0.249018638772454</v>
      </c>
      <c r="F82" s="13">
        <v>-0.71701144630393</v>
      </c>
      <c r="G82" s="61">
        <f t="shared" si="28"/>
        <v>-0.9660300851</v>
      </c>
      <c r="H82" s="56">
        <f t="shared" si="29"/>
        <v>-0.9434199485</v>
      </c>
      <c r="I82" s="56">
        <f t="shared" si="30"/>
        <v>-0.9321148802</v>
      </c>
      <c r="J82" s="62">
        <f t="shared" si="31"/>
        <v>-0.6080386225</v>
      </c>
      <c r="K82" s="60"/>
      <c r="L82" s="60"/>
      <c r="M82" s="63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13" t="s">
        <v>36</v>
      </c>
      <c r="B83" s="13">
        <v>6.0</v>
      </c>
      <c r="C83" s="13" t="s">
        <v>48</v>
      </c>
      <c r="D83" s="13">
        <v>-341.780255328932</v>
      </c>
      <c r="E83" s="13">
        <v>-0.303361228851759</v>
      </c>
      <c r="F83" s="13">
        <v>-0.908186650842114</v>
      </c>
      <c r="G83" s="61">
        <f t="shared" si="28"/>
        <v>-1.21154788</v>
      </c>
      <c r="H83" s="56">
        <f t="shared" si="29"/>
        <v>-1.190944391</v>
      </c>
      <c r="I83" s="56">
        <f t="shared" si="30"/>
        <v>-1.180642646</v>
      </c>
      <c r="J83" s="62">
        <f t="shared" si="31"/>
        <v>-0.7546106456</v>
      </c>
      <c r="K83" s="60"/>
      <c r="L83" s="60"/>
      <c r="M83" s="63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13" t="s">
        <v>36</v>
      </c>
      <c r="B84" s="13">
        <v>6.0</v>
      </c>
      <c r="C84" s="13" t="s">
        <v>49</v>
      </c>
      <c r="D84" s="18">
        <v>-341.803794243983</v>
      </c>
      <c r="E84" s="13">
        <v>-0.314871472809956</v>
      </c>
      <c r="F84" s="13">
        <v>-0.983327822092179</v>
      </c>
      <c r="G84" s="61">
        <f t="shared" si="28"/>
        <v>-1.298199295</v>
      </c>
      <c r="H84" s="56">
        <f t="shared" si="29"/>
        <v>-1.284950544</v>
      </c>
      <c r="I84" s="56">
        <f t="shared" si="30"/>
        <v>-1.278326169</v>
      </c>
      <c r="J84" s="62">
        <f t="shared" si="31"/>
        <v>-0.7995153288</v>
      </c>
      <c r="K84" s="60"/>
      <c r="L84" s="60"/>
      <c r="M84" s="63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13" t="s">
        <v>36</v>
      </c>
      <c r="B85" s="13">
        <v>6.0</v>
      </c>
      <c r="C85" s="13" t="s">
        <v>50</v>
      </c>
      <c r="D85" s="17">
        <f>D84</f>
        <v>-341.8037942</v>
      </c>
      <c r="E85" s="17">
        <f t="shared" ref="E85:J85" si="34">(3^3*E83-4^3*E84)/(3^3-4^3)</f>
        <v>-0.32327084</v>
      </c>
      <c r="F85" s="17">
        <f t="shared" si="34"/>
        <v>-1.038160569</v>
      </c>
      <c r="G85" s="17">
        <f t="shared" si="34"/>
        <v>-1.361431409</v>
      </c>
      <c r="H85" s="17">
        <f t="shared" si="34"/>
        <v>-1.353549629</v>
      </c>
      <c r="I85" s="17">
        <f t="shared" si="34"/>
        <v>-1.349608739</v>
      </c>
      <c r="J85" s="17">
        <f t="shared" si="34"/>
        <v>-0.8322836111</v>
      </c>
      <c r="K85" s="60"/>
      <c r="L85" s="60"/>
      <c r="M85" s="63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13" t="s">
        <v>37</v>
      </c>
      <c r="B86" s="13">
        <v>4.0</v>
      </c>
      <c r="C86" s="13" t="s">
        <v>47</v>
      </c>
      <c r="D86" s="13">
        <v>-412.49602360621</v>
      </c>
      <c r="E86" s="13">
        <v>-0.328369073392126</v>
      </c>
      <c r="F86" s="13">
        <v>-0.86861099368857</v>
      </c>
      <c r="G86" s="61">
        <f t="shared" ref="G86:G88" si="35">E86+F86</f>
        <v>-1.196980067</v>
      </c>
      <c r="H86" s="56">
        <f t="shared" ref="H86:H88" si="36">1/3*E86+1.2*F86</f>
        <v>-1.15178955</v>
      </c>
      <c r="I86" s="56">
        <f t="shared" ref="I86:I88" si="37">1.3*F86</f>
        <v>-1.129194292</v>
      </c>
      <c r="J86" s="62">
        <f t="shared" ref="J86:J88" si="38">1.29*E86+0.4*F86</f>
        <v>-0.7710405022</v>
      </c>
      <c r="K86" s="60"/>
      <c r="L86" s="60"/>
      <c r="M86" s="63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13" t="s">
        <v>37</v>
      </c>
      <c r="B87" s="13">
        <v>4.0</v>
      </c>
      <c r="C87" s="13" t="s">
        <v>48</v>
      </c>
      <c r="D87" s="13">
        <v>-412.607887799064</v>
      </c>
      <c r="E87" s="13">
        <v>-0.390784786719956</v>
      </c>
      <c r="F87" s="13">
        <v>-1.09154639301331</v>
      </c>
      <c r="G87" s="61">
        <f t="shared" si="35"/>
        <v>-1.48233118</v>
      </c>
      <c r="H87" s="56">
        <f t="shared" si="36"/>
        <v>-1.440117267</v>
      </c>
      <c r="I87" s="56">
        <f t="shared" si="37"/>
        <v>-1.419010311</v>
      </c>
      <c r="J87" s="62">
        <f t="shared" si="38"/>
        <v>-0.9407309321</v>
      </c>
      <c r="K87" s="60"/>
      <c r="L87" s="60"/>
      <c r="M87" s="63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13" t="s">
        <v>37</v>
      </c>
      <c r="B88" s="13">
        <v>4.0</v>
      </c>
      <c r="C88" s="13" t="s">
        <v>49</v>
      </c>
      <c r="D88" s="18">
        <v>-412.63635959871</v>
      </c>
      <c r="E88" s="13">
        <v>-0.404167934289282</v>
      </c>
      <c r="F88" s="13">
        <v>-1.18057569921647</v>
      </c>
      <c r="G88" s="61">
        <f t="shared" si="35"/>
        <v>-1.584743634</v>
      </c>
      <c r="H88" s="56">
        <f t="shared" si="36"/>
        <v>-1.551413484</v>
      </c>
      <c r="I88" s="56">
        <f t="shared" si="37"/>
        <v>-1.534748409</v>
      </c>
      <c r="J88" s="62">
        <f t="shared" si="38"/>
        <v>-0.9936069149</v>
      </c>
      <c r="K88" s="60"/>
      <c r="L88" s="60"/>
      <c r="M88" s="63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13" t="s">
        <v>37</v>
      </c>
      <c r="B89" s="13">
        <v>4.0</v>
      </c>
      <c r="C89" s="13" t="s">
        <v>50</v>
      </c>
      <c r="D89" s="17">
        <f>D88</f>
        <v>-412.6363596</v>
      </c>
      <c r="E89" s="17">
        <f t="shared" ref="E89:J89" si="39">(3^3*E87-4^3*E88)/(3^3-4^3)</f>
        <v>-0.4139340149</v>
      </c>
      <c r="F89" s="17">
        <f t="shared" si="39"/>
        <v>-1.245543031</v>
      </c>
      <c r="G89" s="17">
        <f t="shared" si="39"/>
        <v>-1.659477046</v>
      </c>
      <c r="H89" s="17">
        <f t="shared" si="39"/>
        <v>-1.632629642</v>
      </c>
      <c r="I89" s="17">
        <f t="shared" si="39"/>
        <v>-1.61920594</v>
      </c>
      <c r="J89" s="17">
        <f t="shared" si="39"/>
        <v>-1.032192092</v>
      </c>
      <c r="K89" s="60"/>
      <c r="L89" s="60"/>
      <c r="M89" s="63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13" t="s">
        <v>31</v>
      </c>
      <c r="B90" s="13">
        <v>2.0</v>
      </c>
      <c r="C90" s="13" t="s">
        <v>47</v>
      </c>
      <c r="D90" s="13">
        <v>-224.00933973565</v>
      </c>
      <c r="E90" s="13">
        <v>-0.174150533075803</v>
      </c>
      <c r="F90" s="13">
        <v>-0.481536410312881</v>
      </c>
      <c r="G90" s="61">
        <f t="shared" ref="G90:G93" si="40">E90+F90</f>
        <v>-0.6556869434</v>
      </c>
      <c r="H90" s="56">
        <f t="shared" ref="H90:H93" si="41">1/3*E90+1.2*F90</f>
        <v>-0.6358938701</v>
      </c>
      <c r="I90" s="56">
        <f t="shared" ref="I90:I93" si="42">1.3*F90</f>
        <v>-0.6259973334</v>
      </c>
      <c r="J90" s="62">
        <f t="shared" ref="J90:J93" si="43">1.29*E90+0.4*F90</f>
        <v>-0.4172687518</v>
      </c>
      <c r="K90" s="60"/>
      <c r="L90" s="60"/>
      <c r="M90" s="63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13" t="s">
        <v>31</v>
      </c>
      <c r="B91" s="13">
        <v>2.0</v>
      </c>
      <c r="C91" s="13" t="s">
        <v>48</v>
      </c>
      <c r="D91" s="13">
        <v>-224.072772780448</v>
      </c>
      <c r="E91" s="13">
        <v>-0.208804617869778</v>
      </c>
      <c r="F91" s="13">
        <v>-0.608332907576766</v>
      </c>
      <c r="G91" s="61">
        <f t="shared" si="40"/>
        <v>-0.8171375254</v>
      </c>
      <c r="H91" s="56">
        <f t="shared" si="41"/>
        <v>-0.7996010284</v>
      </c>
      <c r="I91" s="56">
        <f t="shared" si="42"/>
        <v>-0.7908327798</v>
      </c>
      <c r="J91" s="62">
        <f t="shared" si="43"/>
        <v>-0.5126911201</v>
      </c>
      <c r="K91" s="60"/>
      <c r="L91" s="60"/>
      <c r="M91" s="63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13" t="s">
        <v>31</v>
      </c>
      <c r="B92" s="13">
        <v>2.0</v>
      </c>
      <c r="C92" s="13" t="s">
        <v>49</v>
      </c>
      <c r="D92" s="13">
        <v>-224.088058910662</v>
      </c>
      <c r="E92" s="13">
        <v>-0.215914476426588</v>
      </c>
      <c r="F92" s="13">
        <v>-0.657835103350763</v>
      </c>
      <c r="G92" s="61">
        <f t="shared" si="40"/>
        <v>-0.8737495798</v>
      </c>
      <c r="H92" s="56">
        <f t="shared" si="41"/>
        <v>-0.8613736162</v>
      </c>
      <c r="I92" s="56">
        <f t="shared" si="42"/>
        <v>-0.8551856344</v>
      </c>
      <c r="J92" s="62">
        <f t="shared" si="43"/>
        <v>-0.5416637159</v>
      </c>
      <c r="K92" s="60"/>
      <c r="L92" s="60"/>
      <c r="M92" s="63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13" t="s">
        <v>31</v>
      </c>
      <c r="B93" s="13">
        <v>2.0</v>
      </c>
      <c r="C93" s="13" t="s">
        <v>50</v>
      </c>
      <c r="D93" s="17">
        <f>D92</f>
        <v>-224.0880589</v>
      </c>
      <c r="E93" s="17">
        <f t="shared" ref="E93:F93" si="44">(3^3*E91-4^3*E92)/(3^3-4^3)</f>
        <v>-0.2211027516</v>
      </c>
      <c r="F93" s="17">
        <f t="shared" si="44"/>
        <v>-0.6939583273</v>
      </c>
      <c r="G93" s="61">
        <f t="shared" si="40"/>
        <v>-0.9150610789</v>
      </c>
      <c r="H93" s="56">
        <f t="shared" si="41"/>
        <v>-0.9064509099</v>
      </c>
      <c r="I93" s="56">
        <f t="shared" si="42"/>
        <v>-0.9021458255</v>
      </c>
      <c r="J93" s="62">
        <f t="shared" si="43"/>
        <v>-0.5628058805</v>
      </c>
      <c r="K93" s="60"/>
      <c r="L93" s="60"/>
      <c r="M93" s="63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drawing r:id="rId1"/>
</worksheet>
</file>