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endy/Desktop/UTDataViz/Homework/"/>
    </mc:Choice>
  </mc:AlternateContent>
  <xr:revisionPtr revIDLastSave="0" documentId="8_{70412C0B-62AC-D04F-90FF-8DB7C774DA34}" xr6:coauthVersionLast="45" xr6:coauthVersionMax="45" xr10:uidLastSave="{00000000-0000-0000-0000-000000000000}"/>
  <bookViews>
    <workbookView xWindow="0" yWindow="0" windowWidth="28800" windowHeight="18000" activeTab="3" xr2:uid="{00000000-000D-0000-FFFF-FFFF00000000}"/>
  </bookViews>
  <sheets>
    <sheet name="Campaign States by Category" sheetId="2" r:id="rId1"/>
    <sheet name="Campaign States by Sub-Category" sheetId="3" r:id="rId2"/>
    <sheet name="Campaign States by Created Mon." sheetId="5" r:id="rId3"/>
    <sheet name="Campaign by % of State" sheetId="6" r:id="rId4"/>
    <sheet name="Statistical Analysis" sheetId="7" r:id="rId5"/>
    <sheet name="Raw Data" sheetId="1" r:id="rId6"/>
  </sheets>
  <definedNames>
    <definedName name="_xlnm._FilterDatabase" localSheetId="5" hidden="1">'Raw Data'!$A$1:$T$4115</definedName>
    <definedName name="_xlchart.v1.0" hidden="1">'Statistical Analysis'!$E$1</definedName>
    <definedName name="_xlchart.v1.1" hidden="1">'Statistical Analysis'!$E$2:$E$4116</definedName>
    <definedName name="_xlchart.v1.2" hidden="1">'Statistical Analysis'!$B$1</definedName>
    <definedName name="_xlchart.v1.3" hidden="1">'Statistical Analysis'!$B$2:$B$4116</definedName>
    <definedName name="all_poss_states">'Campaign by % of State'!$K$1:$K$5</definedName>
    <definedName name="goal">'Raw Data'!$D:$D</definedName>
    <definedName name="raw_states">'Raw Data'!$F:$F</definedName>
    <definedName name="States">'Campaign by % of State'!$K$1:$K$5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6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9" i="7"/>
  <c r="L8" i="7"/>
  <c r="I9" i="7"/>
  <c r="I12" i="7" s="1"/>
  <c r="I8" i="7"/>
  <c r="I11" i="7" s="1"/>
  <c r="L7" i="7"/>
  <c r="L6" i="7"/>
  <c r="L5" i="7"/>
  <c r="L4" i="7"/>
  <c r="L3" i="7"/>
  <c r="L2" i="7"/>
  <c r="I7" i="7"/>
  <c r="I6" i="7"/>
  <c r="I5" i="7"/>
  <c r="I4" i="7"/>
  <c r="I3" i="7"/>
  <c r="I2" i="7"/>
  <c r="E13" i="6"/>
  <c r="E12" i="6"/>
  <c r="E11" i="6"/>
  <c r="E10" i="6"/>
  <c r="E9" i="6"/>
  <c r="E8" i="6"/>
  <c r="E7" i="6"/>
  <c r="E6" i="6"/>
  <c r="E5" i="6"/>
  <c r="E4" i="6"/>
  <c r="E3" i="6"/>
  <c r="E2" i="6"/>
  <c r="D13" i="6"/>
  <c r="H13" i="6" s="1"/>
  <c r="D12" i="6"/>
  <c r="H12" i="6" s="1"/>
  <c r="D11" i="6"/>
  <c r="H11" i="6" s="1"/>
  <c r="D10" i="6"/>
  <c r="H10" i="6" s="1"/>
  <c r="D9" i="6"/>
  <c r="H9" i="6" s="1"/>
  <c r="D8" i="6"/>
  <c r="H8" i="6" s="1"/>
  <c r="D7" i="6"/>
  <c r="H7" i="6" s="1"/>
  <c r="D6" i="6"/>
  <c r="H6" i="6" s="1"/>
  <c r="D5" i="6"/>
  <c r="H5" i="6" s="1"/>
  <c r="D4" i="6"/>
  <c r="H4" i="6" s="1"/>
  <c r="D3" i="6"/>
  <c r="H3" i="6" s="1"/>
  <c r="D2" i="6"/>
  <c r="H2" i="6" s="1"/>
  <c r="C2" i="6"/>
  <c r="G2" i="6" s="1"/>
  <c r="C13" i="6"/>
  <c r="G13" i="6" s="1"/>
  <c r="C12" i="6"/>
  <c r="G12" i="6" s="1"/>
  <c r="C11" i="6"/>
  <c r="G11" i="6" s="1"/>
  <c r="C10" i="6"/>
  <c r="G10" i="6" s="1"/>
  <c r="C9" i="6"/>
  <c r="G9" i="6" s="1"/>
  <c r="C8" i="6"/>
  <c r="G8" i="6" s="1"/>
  <c r="C7" i="6"/>
  <c r="G7" i="6" s="1"/>
  <c r="C6" i="6"/>
  <c r="G6" i="6" s="1"/>
  <c r="C5" i="6"/>
  <c r="G5" i="6" s="1"/>
  <c r="C4" i="6"/>
  <c r="G4" i="6" s="1"/>
  <c r="C3" i="6"/>
  <c r="G3" i="6" s="1"/>
  <c r="F2" i="6"/>
  <c r="B13" i="6"/>
  <c r="F13" i="6" s="1"/>
  <c r="B12" i="6"/>
  <c r="F12" i="6" s="1"/>
  <c r="B11" i="6"/>
  <c r="F11" i="6" s="1"/>
  <c r="B10" i="6"/>
  <c r="F10" i="6" s="1"/>
  <c r="B9" i="6"/>
  <c r="F9" i="6" s="1"/>
  <c r="B8" i="6"/>
  <c r="F8" i="6" s="1"/>
  <c r="B7" i="6"/>
  <c r="F7" i="6" s="1"/>
  <c r="B6" i="6"/>
  <c r="F6" i="6" s="1"/>
  <c r="B5" i="6"/>
  <c r="F5" i="6" s="1"/>
  <c r="B4" i="6"/>
  <c r="F4" i="6" s="1"/>
  <c r="B3" i="6"/>
  <c r="F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0" i="7" l="1"/>
  <c r="L11" i="7"/>
  <c r="L12" i="7"/>
  <c r="L10" i="7"/>
</calcChain>
</file>

<file path=xl/sharedStrings.xml><?xml version="1.0" encoding="utf-8"?>
<sst xmlns="http://schemas.openxmlformats.org/spreadsheetml/2006/main" count="28569" uniqueCount="8414">
  <si>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</si>
  <si>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</si>
  <si>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</si>
  <si>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</si>
  <si>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</si>
  <si>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</si>
  <si>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</si>
  <si>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</si>
  <si>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</si>
  <si>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</si>
  <si>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</si>
  <si>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</si>
  <si>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</si>
  <si>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</si>
  <si>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</si>
  <si>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</si>
  <si>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</si>
  <si>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</si>
  <si>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</si>
  <si>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</si>
  <si>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</si>
  <si>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</si>
  <si>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</si>
  <si>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</si>
  <si>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</si>
  <si>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</si>
  <si>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</si>
  <si>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</si>
  <si>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</si>
  <si>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</si>
  <si>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</si>
  <si>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</si>
  <si>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</si>
  <si>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</si>
  <si>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</si>
  <si>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</si>
  <si>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</si>
  <si>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</si>
  <si>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</si>
  <si>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</si>
  <si>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</si>
  <si>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</si>
  <si>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</si>
  <si>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</si>
  <si>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</si>
  <si>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</si>
  <si>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</si>
  <si>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</si>
  <si>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</si>
  <si>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</si>
  <si>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</si>
  <si>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</si>
  <si>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</si>
  <si>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</si>
  <si>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</si>
  <si>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</si>
  <si>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</si>
  <si>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</si>
  <si>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</si>
  <si>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</si>
  <si>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</si>
  <si>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</si>
  <si>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</si>
  <si>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</si>
  <si>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</si>
  <si>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</si>
  <si>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</si>
  <si>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</si>
  <si>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</si>
  <si>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</si>
  <si>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</si>
  <si>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</si>
  <si>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</si>
  <si>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</si>
  <si>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</si>
  <si>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</si>
  <si>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</si>
  <si>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</si>
  <si>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</si>
  <si>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</si>
  <si>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</si>
  <si>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</si>
  <si>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</si>
  <si>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</si>
  <si>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</si>
  <si>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</si>
  <si>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</si>
  <si>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</si>
  <si>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</si>
  <si>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</si>
  <si>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</si>
  <si>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</si>
  <si>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</si>
  <si>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</si>
  <si>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</si>
  <si>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</si>
  <si>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</si>
  <si>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</si>
  <si>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</si>
  <si>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</si>
  <si>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</si>
  <si>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</si>
  <si>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</si>
  <si>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</si>
  <si>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</si>
  <si>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</si>
  <si>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</si>
  <si>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</si>
  <si>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</si>
  <si>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</si>
  <si>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</si>
  <si>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</si>
  <si>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</si>
  <si>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</si>
  <si>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</si>
  <si>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</si>
  <si>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</si>
  <si>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</si>
  <si>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</si>
  <si>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</si>
  <si>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</si>
  <si>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</si>
  <si>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</si>
  <si>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</si>
  <si>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</si>
  <si>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</si>
  <si>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</si>
  <si>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</si>
  <si>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</si>
  <si>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</si>
  <si>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</si>
  <si>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</si>
  <si>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</si>
  <si>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</si>
  <si>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</si>
  <si>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</si>
  <si>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</si>
  <si>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</si>
  <si>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</si>
  <si>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</si>
  <si>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</si>
  <si>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</si>
  <si>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</si>
  <si>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</si>
  <si>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</si>
  <si>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</si>
  <si>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</si>
  <si>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</si>
  <si>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</si>
  <si>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</si>
  <si>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</si>
  <si>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</si>
  <si>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</si>
  <si>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</si>
  <si>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</si>
  <si>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</si>
  <si>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</si>
  <si>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</si>
  <si>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</si>
  <si>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</si>
  <si>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</si>
  <si>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</si>
  <si>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</si>
  <si>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</si>
  <si>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</si>
  <si>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</si>
  <si>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</si>
  <si>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</si>
  <si>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</si>
  <si>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</si>
  <si>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</si>
  <si>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</si>
  <si>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</si>
  <si>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</si>
  <si>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</si>
  <si>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</si>
  <si>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</si>
  <si>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</si>
  <si>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</si>
  <si>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</si>
  <si>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</si>
  <si>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</si>
  <si>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</si>
  <si>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</si>
  <si>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</si>
  <si>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</si>
  <si>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</si>
  <si>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</si>
  <si>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</si>
  <si>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</si>
  <si>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</si>
  <si>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</si>
  <si>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</si>
  <si>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</si>
  <si>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</si>
  <si>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</si>
  <si>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</si>
  <si>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</si>
  <si>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</si>
  <si>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</si>
  <si>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</si>
  <si>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</si>
  <si>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</si>
  <si>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</si>
  <si>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</si>
  <si>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</si>
  <si>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</si>
  <si>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</si>
  <si>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</si>
  <si>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</si>
  <si>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</si>
  <si>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</si>
  <si>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</si>
  <si>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</si>
  <si>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</si>
  <si>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</si>
  <si>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</si>
  <si>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</si>
  <si>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</si>
  <si>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</si>
  <si>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</si>
  <si>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</si>
  <si>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</si>
  <si>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</si>
  <si>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</si>
  <si>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</si>
  <si>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</si>
  <si>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</si>
  <si>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</si>
  <si>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</si>
  <si>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</si>
  <si>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</si>
  <si>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</si>
  <si>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</si>
  <si>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</si>
  <si>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</si>
  <si>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</si>
  <si>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</si>
  <si>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</si>
  <si>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</si>
  <si>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</si>
  <si>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</si>
  <si>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</si>
  <si>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</si>
  <si>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</si>
  <si>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</si>
  <si>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</si>
  <si>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</si>
  <si>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</si>
  <si>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</si>
  <si>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</si>
  <si>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</si>
  <si>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</si>
  <si>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</si>
  <si>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</si>
  <si>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</si>
  <si>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</si>
  <si>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</si>
  <si>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</si>
  <si>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</si>
  <si>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</si>
  <si>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</si>
  <si>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</si>
  <si>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</si>
  <si>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</si>
  <si>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</si>
  <si>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</si>
  <si>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</si>
  <si>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</si>
  <si>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</si>
  <si>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</si>
  <si>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</si>
  <si>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</si>
  <si>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</si>
  <si>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</si>
  <si>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</si>
  <si>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</si>
  <si>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</si>
  <si>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</si>
  <si>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</si>
  <si>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</si>
  <si>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</si>
  <si>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</si>
  <si>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</si>
  <si>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</si>
  <si>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</si>
  <si>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</si>
  <si>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</si>
  <si>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</si>
  <si>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</si>
  <si>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</si>
  <si>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</si>
  <si>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</si>
  <si>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</si>
  <si>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</si>
  <si>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</si>
  <si>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</si>
  <si>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</si>
  <si>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</si>
  <si>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</si>
  <si>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</si>
  <si>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</si>
  <si>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</si>
  <si>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</si>
  <si>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</si>
  <si>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</si>
  <si>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</si>
  <si>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</si>
  <si>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</si>
  <si>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</si>
  <si>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</si>
  <si>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</si>
  <si>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</si>
  <si>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</si>
  <si>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</si>
  <si>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</si>
  <si>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</si>
  <si>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</si>
  <si>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</si>
  <si>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</si>
  <si>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</si>
  <si>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</si>
  <si>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</si>
  <si>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</si>
  <si>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</si>
  <si>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</si>
  <si>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</si>
  <si>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</si>
  <si>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</si>
  <si>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</si>
  <si>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</si>
  <si>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</si>
  <si>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</si>
  <si>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</si>
  <si>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</si>
  <si>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</si>
  <si>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</si>
  <si>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</si>
  <si>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</si>
  <si>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</si>
  <si>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</si>
  <si>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</si>
  <si>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</si>
  <si>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</si>
  <si>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</si>
  <si>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</si>
  <si>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</si>
  <si>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</si>
  <si>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</si>
  <si>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</si>
  <si>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</si>
  <si>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</si>
  <si>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</si>
  <si>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</si>
  <si>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</si>
  <si>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</si>
  <si>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</si>
  <si>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</si>
  <si>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</si>
  <si>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</si>
  <si>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</si>
  <si>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</si>
  <si>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</si>
  <si>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</si>
  <si>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</si>
  <si>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</si>
  <si>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</si>
  <si>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</si>
  <si>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</si>
  <si>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</si>
  <si>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</si>
  <si>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</si>
  <si>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</si>
  <si>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</si>
  <si>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</si>
  <si>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</si>
  <si>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</si>
  <si>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</si>
  <si>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</si>
  <si>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</si>
  <si>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</si>
  <si>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</si>
  <si>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</si>
  <si>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</si>
  <si>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</si>
  <si>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</si>
  <si>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</si>
  <si>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</si>
  <si>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</si>
  <si>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</si>
  <si>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</si>
  <si>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</si>
  <si>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</si>
  <si>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</si>
  <si>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</si>
  <si>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</si>
  <si>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</si>
  <si>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</si>
  <si>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</si>
  <si>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</si>
  <si>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</si>
  <si>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</si>
  <si>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</si>
  <si>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</si>
  <si>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</si>
  <si>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</si>
  <si>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</si>
  <si>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</si>
  <si>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</si>
  <si>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</si>
  <si>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</si>
  <si>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</si>
  <si>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</si>
  <si>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</si>
  <si>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</si>
  <si>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</si>
  <si>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</si>
  <si>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</si>
  <si>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</si>
  <si>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</si>
  <si>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</si>
  <si>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</si>
  <si>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</si>
  <si>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</si>
  <si>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</si>
  <si>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</si>
  <si>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</si>
  <si>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</si>
  <si>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</si>
  <si>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</si>
  <si>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</si>
  <si>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</si>
  <si>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</si>
  <si>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</si>
  <si>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</si>
  <si>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</si>
  <si>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</si>
  <si>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</si>
  <si>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</si>
  <si>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</si>
  <si>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</si>
  <si>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</si>
  <si>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</si>
  <si>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</si>
  <si>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</si>
  <si>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</si>
  <si>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</si>
  <si>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</si>
  <si>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</si>
  <si>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</si>
  <si>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</si>
  <si>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</si>
  <si>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</si>
  <si>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</si>
  <si>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</si>
  <si>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</si>
  <si>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</si>
  <si>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</si>
  <si>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</si>
  <si>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</si>
  <si>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</si>
  <si>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</si>
  <si>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</si>
  <si>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</si>
  <si>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</si>
  <si>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</si>
  <si>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</si>
  <si>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</si>
  <si>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</si>
  <si>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</si>
  <si>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</si>
  <si>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</si>
  <si>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</si>
  <si>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</si>
  <si>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</si>
  <si>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</si>
  <si>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</si>
  <si>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</si>
  <si>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</si>
  <si>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</si>
  <si>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</si>
  <si>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</si>
  <si>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</si>
  <si>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</si>
  <si>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</si>
  <si>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</si>
  <si>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</si>
  <si>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</si>
  <si>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</si>
  <si>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</si>
  <si>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</si>
  <si>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</si>
  <si>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</si>
  <si>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</si>
  <si>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</si>
  <si>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</si>
  <si>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</si>
  <si>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</si>
  <si>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</si>
  <si>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</si>
  <si>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</si>
  <si>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</si>
  <si>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</si>
  <si>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</si>
  <si>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</si>
  <si>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</si>
  <si>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</si>
  <si>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</si>
  <si>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</si>
  <si>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</si>
  <si>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</si>
  <si>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</si>
  <si>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</si>
  <si>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</si>
  <si>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</si>
  <si>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</si>
  <si>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</si>
  <si>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</si>
  <si>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</si>
  <si>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</si>
  <si>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</si>
  <si>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</si>
  <si>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</si>
  <si>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</si>
  <si>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</si>
  <si>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</si>
  <si>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</si>
  <si>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</si>
  <si>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</si>
  <si>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</si>
  <si>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</si>
  <si>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</si>
  <si>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</si>
  <si>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</si>
  <si>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</si>
  <si>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</si>
  <si>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</si>
  <si>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</si>
  <si>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</si>
  <si>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</si>
  <si>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</si>
  <si>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</si>
  <si>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</si>
  <si>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</si>
  <si>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</si>
  <si>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</si>
  <si>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</si>
  <si>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</si>
  <si>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</si>
  <si>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</si>
  <si>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</si>
  <si>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</si>
  <si>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</si>
  <si>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</si>
  <si>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</si>
  <si>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</si>
  <si>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</si>
  <si>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</si>
  <si>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</si>
  <si>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</si>
  <si>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</si>
  <si>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</si>
  <si>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</si>
  <si>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</si>
  <si>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</si>
  <si>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</si>
  <si>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</si>
  <si>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</si>
  <si>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</si>
  <si>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</si>
  <si>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</si>
  <si>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</si>
  <si>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</si>
  <si>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</si>
  <si>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</si>
  <si>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</si>
  <si>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</si>
  <si>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</si>
  <si>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</si>
  <si>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</si>
  <si>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</si>
  <si>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</si>
  <si>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</si>
  <si>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</si>
  <si>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</si>
  <si>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</si>
  <si>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</si>
  <si>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</si>
  <si>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</si>
  <si>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</si>
  <si>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</si>
  <si>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</si>
  <si>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</si>
  <si>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</si>
  <si>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</si>
  <si>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</si>
  <si>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</si>
  <si>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</si>
  <si>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</si>
  <si>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</si>
  <si>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</si>
  <si>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</si>
  <si>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</si>
  <si>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</si>
  <si>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</si>
  <si>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</si>
  <si>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</si>
  <si>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</si>
  <si>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</si>
  <si>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</si>
  <si>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</si>
  <si>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</si>
  <si>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</si>
  <si>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</si>
  <si>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</si>
  <si>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</si>
  <si>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</si>
  <si>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</si>
  <si>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</si>
  <si>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</si>
  <si>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</si>
  <si>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</si>
  <si>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</si>
  <si>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</si>
  <si>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</si>
  <si>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</si>
  <si>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</si>
  <si>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</si>
  <si>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</si>
  <si>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</si>
  <si>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</si>
  <si>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</si>
  <si>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</si>
  <si>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</si>
  <si>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</si>
  <si>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</si>
  <si>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</si>
  <si>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</si>
  <si>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</si>
  <si>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</si>
  <si>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</si>
  <si>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</si>
  <si>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</si>
  <si>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</si>
  <si>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</si>
  <si>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</si>
  <si>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</si>
  <si>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</si>
  <si>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</si>
  <si>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</si>
  <si>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</si>
  <si>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</si>
  <si>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</si>
  <si>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</si>
  <si>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</si>
  <si>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</si>
  <si>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</si>
  <si>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</si>
  <si>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</si>
  <si>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</si>
  <si>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</si>
  <si>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</si>
  <si>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</si>
  <si>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</si>
  <si>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</si>
  <si>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</si>
  <si>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</si>
  <si>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</si>
  <si>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</si>
  <si>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</si>
  <si>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</si>
  <si>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</si>
  <si>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</si>
  <si>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</si>
  <si>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</si>
  <si>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</si>
  <si>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</si>
  <si>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</si>
  <si>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</si>
  <si>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</si>
  <si>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</si>
  <si>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</si>
  <si>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</si>
  <si>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</si>
  <si>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</si>
  <si>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</si>
  <si>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</si>
  <si>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</si>
  <si>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</si>
  <si>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</si>
  <si>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</si>
  <si>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</si>
  <si>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</si>
  <si>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</si>
  <si>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</si>
  <si>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</si>
  <si>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</si>
  <si>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</si>
  <si>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</si>
  <si>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</si>
  <si>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</si>
  <si>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</si>
  <si>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</si>
  <si>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</si>
  <si>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</si>
  <si>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</si>
  <si>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</si>
  <si>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</si>
  <si>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</si>
  <si>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</si>
  <si>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</si>
  <si>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</si>
  <si>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</si>
  <si>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</si>
  <si>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</si>
  <si>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</si>
  <si>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</si>
  <si>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</si>
  <si>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</si>
  <si>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</si>
  <si>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</si>
  <si>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</si>
  <si>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</si>
  <si>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</si>
  <si>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</si>
  <si>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</si>
  <si>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</si>
  <si>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</si>
  <si>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</si>
  <si>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</si>
  <si>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</si>
  <si>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</si>
  <si>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</si>
  <si>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</si>
  <si>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</si>
  <si>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</si>
  <si>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</si>
  <si>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</si>
  <si>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</si>
  <si>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</si>
  <si>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</si>
  <si>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</si>
  <si>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</si>
  <si>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</si>
  <si>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</si>
  <si>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</si>
  <si>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</si>
  <si>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</si>
  <si>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</si>
  <si>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</si>
  <si>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</si>
  <si>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</si>
  <si>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</si>
  <si>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</si>
  <si>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</si>
  <si>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</si>
  <si>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</si>
  <si>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</si>
  <si>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</si>
  <si>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</si>
  <si>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</si>
  <si>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</si>
  <si>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</si>
  <si>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</si>
  <si>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</si>
  <si>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</si>
  <si>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</si>
  <si>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</si>
  <si>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</si>
  <si>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</si>
  <si>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</si>
  <si>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</si>
  <si>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</si>
  <si>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</si>
  <si>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</si>
  <si>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</si>
  <si>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</si>
  <si>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</si>
  <si>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</si>
  <si>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</si>
  <si>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</si>
  <si>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</si>
  <si>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</si>
  <si>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</si>
  <si>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</si>
  <si>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</si>
  <si>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</si>
  <si>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</si>
  <si>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</si>
  <si>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</si>
  <si>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</si>
  <si>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</si>
  <si>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</si>
  <si>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</si>
  <si>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</si>
  <si>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</si>
  <si>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</si>
  <si>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</si>
  <si>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</si>
  <si>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</si>
  <si>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</si>
  <si>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</si>
  <si>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</si>
  <si>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</si>
  <si>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</si>
  <si>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</si>
  <si>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</si>
  <si>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</si>
  <si>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</si>
  <si>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</si>
  <si>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</si>
  <si>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</si>
  <si>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</si>
  <si>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</si>
  <si>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</si>
  <si>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</si>
  <si>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</si>
  <si>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</si>
  <si>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</si>
  <si>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</si>
  <si>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</si>
  <si>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</si>
  <si>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</si>
  <si>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</si>
  <si>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</si>
  <si>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</si>
  <si>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</si>
  <si>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</si>
  <si>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</si>
  <si>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</si>
  <si>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</si>
  <si>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</si>
  <si>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</si>
  <si>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</si>
  <si>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</si>
  <si>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</si>
  <si>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</si>
  <si>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</si>
  <si>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</si>
  <si>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</si>
  <si>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</si>
  <si>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</si>
  <si>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</si>
  <si>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</si>
  <si>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</si>
  <si>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</si>
  <si>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</si>
  <si>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</si>
  <si>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</si>
  <si>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</si>
  <si>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</si>
  <si>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</si>
  <si>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</si>
  <si>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</si>
  <si>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</si>
  <si>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</si>
  <si>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</si>
  <si>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</si>
  <si>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</si>
  <si>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</si>
  <si>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</si>
  <si>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</si>
  <si>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</si>
  <si>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</si>
  <si>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</si>
  <si>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</si>
  <si>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</si>
  <si>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</si>
  <si>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</si>
  <si>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</si>
  <si>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</si>
  <si>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</si>
  <si>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</si>
  <si>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</si>
  <si>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</si>
  <si>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</si>
  <si>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</si>
  <si>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</si>
  <si>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</si>
  <si>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</si>
  <si>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</si>
  <si>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</si>
  <si>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</si>
  <si>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</si>
  <si>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</si>
  <si>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</si>
  <si>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</si>
  <si>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</si>
  <si>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</si>
  <si>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</si>
  <si>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</si>
  <si>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</si>
  <si>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</si>
  <si>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</si>
  <si>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</si>
  <si>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</si>
  <si>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</si>
  <si>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</si>
  <si>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</si>
  <si>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</si>
  <si>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</si>
  <si>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</si>
  <si>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</si>
  <si>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</si>
  <si>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</si>
  <si>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</si>
  <si>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</si>
  <si>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</si>
  <si>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</si>
  <si>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</si>
  <si>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</si>
  <si>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</si>
  <si>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</si>
  <si>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</si>
  <si>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</si>
  <si>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</si>
  <si>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</si>
  <si>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</si>
  <si>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</si>
  <si>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</si>
  <si>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</si>
  <si>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</si>
  <si>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</si>
  <si>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</si>
  <si>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</si>
  <si>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</si>
  <si>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</si>
  <si>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</si>
  <si>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</si>
  <si>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</si>
  <si>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</si>
  <si>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</si>
  <si>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</si>
  <si>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</si>
  <si>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</si>
  <si>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</si>
  <si>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</si>
  <si>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</si>
  <si>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</si>
  <si>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</si>
  <si>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</si>
  <si>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</si>
  <si>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</si>
  <si>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</si>
  <si>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</si>
  <si>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</si>
  <si>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</si>
  <si>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</si>
  <si>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</si>
  <si>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</si>
  <si>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</si>
  <si>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</si>
  <si>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</si>
  <si>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</si>
  <si>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</si>
  <si>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</si>
  <si>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</si>
  <si>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</si>
  <si>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</si>
  <si>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</si>
  <si>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</si>
  <si>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</si>
  <si>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</si>
  <si>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</si>
  <si>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</si>
  <si>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</si>
  <si>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</si>
  <si>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</si>
  <si>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</si>
  <si>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</si>
  <si>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</si>
  <si>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</si>
  <si>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</si>
  <si>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</si>
  <si>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</si>
  <si>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</si>
  <si>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</si>
  <si>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</si>
  <si>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</si>
  <si>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</si>
  <si>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</si>
  <si>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</si>
  <si>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</si>
  <si>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</si>
  <si>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</si>
  <si>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</si>
  <si>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</si>
  <si>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</si>
  <si>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</si>
  <si>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</si>
  <si>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</si>
  <si>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</si>
  <si>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</si>
  <si>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</si>
  <si>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</si>
  <si>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</si>
  <si>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</si>
  <si>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</si>
  <si>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</si>
  <si>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</si>
  <si>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</si>
  <si>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</si>
  <si>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</si>
  <si>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</si>
  <si>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</si>
  <si>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</si>
  <si>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</si>
  <si>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</si>
  <si>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</si>
  <si>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</si>
  <si>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</si>
  <si>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</si>
  <si>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</si>
  <si>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</si>
  <si>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</si>
  <si>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</si>
  <si>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</si>
  <si>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</si>
  <si>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</si>
  <si>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</si>
  <si>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</si>
  <si>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</si>
  <si>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</si>
  <si>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</si>
  <si>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</si>
  <si>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</si>
  <si>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</si>
  <si>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</si>
  <si>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</si>
  <si>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</si>
  <si>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</si>
  <si>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</si>
  <si>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</si>
  <si>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</si>
  <si>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</si>
  <si>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</si>
  <si>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</si>
  <si>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</si>
  <si>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</si>
  <si>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</si>
  <si>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</si>
  <si>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</si>
  <si>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</si>
  <si>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</si>
  <si>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</si>
  <si>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</si>
  <si>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</si>
  <si>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</si>
  <si>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</si>
  <si>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</si>
  <si>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</si>
  <si>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</si>
  <si>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</si>
  <si>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</si>
  <si>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</si>
  <si>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</si>
  <si>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</si>
  <si>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</si>
  <si>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</si>
  <si>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</si>
  <si>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</si>
  <si>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</si>
  <si>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</si>
  <si>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</si>
  <si>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</si>
  <si>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</si>
  <si>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</si>
  <si>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</si>
  <si>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</si>
  <si>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</si>
  <si>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</si>
  <si>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</si>
  <si>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</si>
  <si>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</si>
  <si>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</si>
  <si>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</si>
  <si>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</si>
  <si>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</si>
  <si>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</si>
  <si>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</si>
  <si>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</si>
  <si>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</si>
  <si>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</si>
  <si>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</si>
  <si>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</si>
  <si>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</si>
  <si>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</si>
  <si>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</si>
  <si>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</si>
  <si>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</si>
  <si>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</si>
  <si>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</si>
  <si>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</si>
  <si>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</si>
  <si>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</si>
  <si>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</si>
  <si>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</si>
  <si>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</si>
  <si>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</si>
  <si>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</si>
  <si>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</si>
  <si>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</si>
  <si>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</si>
  <si>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</si>
  <si>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</si>
  <si>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</si>
  <si>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</si>
  <si>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</si>
  <si>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</si>
  <si>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</si>
  <si>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</si>
  <si>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</si>
  <si>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</si>
  <si>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</si>
  <si>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</si>
  <si>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</si>
  <si>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</si>
  <si>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</si>
  <si>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</si>
  <si>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</si>
  <si>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</si>
  <si>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</si>
  <si>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</si>
  <si>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</si>
  <si>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</si>
  <si>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</si>
  <si>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</si>
  <si>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</si>
  <si>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</si>
  <si>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</si>
  <si>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</si>
  <si>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</si>
  <si>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</si>
  <si>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</si>
  <si>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</si>
  <si>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</si>
  <si>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</si>
  <si>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</si>
  <si>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</si>
  <si>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</si>
  <si>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</si>
  <si>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</si>
  <si>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</si>
  <si>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</si>
  <si>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</si>
  <si>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</si>
  <si>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</si>
  <si>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</si>
  <si>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</si>
  <si>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</si>
  <si>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</si>
  <si>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</si>
  <si>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</si>
  <si>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</si>
  <si>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</si>
  <si>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</si>
  <si>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</si>
  <si>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</si>
  <si>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</si>
  <si>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</si>
  <si>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</si>
  <si>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</si>
  <si>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</si>
  <si>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</si>
  <si>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</si>
  <si>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</si>
  <si>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</si>
  <si>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</si>
  <si>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</si>
  <si>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</si>
  <si>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</si>
  <si>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</si>
  <si>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</si>
  <si>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</si>
  <si>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</si>
  <si>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</si>
  <si>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</si>
  <si>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</si>
  <si>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</si>
  <si>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</si>
  <si>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</si>
  <si>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</si>
  <si>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</si>
  <si>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</si>
  <si>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</si>
  <si>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</si>
  <si>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</si>
  <si>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</si>
  <si>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</si>
  <si>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</si>
  <si>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</si>
  <si>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</si>
  <si>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</si>
  <si>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</si>
  <si>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</si>
  <si>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</si>
  <si>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</si>
  <si>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</si>
  <si>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</si>
  <si>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</si>
  <si>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</si>
  <si>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</si>
  <si>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</si>
  <si>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</si>
  <si>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</si>
  <si>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</si>
  <si>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</si>
  <si>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</si>
  <si>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</si>
  <si>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</si>
  <si>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</si>
  <si>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</si>
  <si>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</si>
  <si>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</si>
  <si>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</si>
  <si>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</si>
  <si>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</si>
  <si>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</si>
  <si>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</si>
  <si>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</si>
  <si>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</si>
  <si>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</si>
  <si>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</si>
  <si>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</si>
  <si>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</si>
  <si>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</si>
  <si>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</si>
  <si>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</si>
  <si>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</si>
  <si>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</si>
  <si>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</si>
  <si>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</si>
  <si>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</si>
  <si>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</si>
  <si>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</si>
  <si>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</si>
  <si>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</si>
  <si>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</si>
  <si>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</si>
  <si>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</si>
  <si>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</si>
  <si>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</si>
  <si>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</si>
  <si>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</si>
  <si>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</si>
  <si>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</si>
  <si>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</si>
  <si>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</si>
  <si>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</si>
  <si>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</si>
  <si>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</si>
  <si>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</si>
  <si>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</si>
  <si>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</si>
  <si>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</si>
  <si>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</si>
  <si>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</si>
  <si>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</si>
  <si>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</si>
  <si>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</si>
  <si>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</si>
  <si>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</si>
  <si>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</si>
  <si>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</si>
  <si>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</si>
  <si>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</si>
  <si>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</si>
  <si>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</si>
  <si>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</si>
  <si>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</si>
  <si>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</si>
  <si>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</si>
  <si>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</si>
  <si>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</si>
  <si>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</si>
  <si>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</si>
  <si>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</si>
  <si>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</si>
  <si>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</si>
  <si>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</si>
  <si>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</si>
  <si>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</si>
  <si>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</si>
  <si>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</si>
  <si>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</si>
  <si>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</si>
  <si>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</si>
  <si>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</si>
  <si>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</si>
  <si>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</si>
  <si>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</si>
  <si>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</si>
  <si>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</si>
  <si>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</si>
  <si>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</si>
  <si>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</si>
  <si>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</si>
  <si>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</si>
  <si>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</si>
  <si>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</si>
  <si>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</si>
  <si>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</si>
  <si>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</si>
  <si>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</si>
  <si>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</si>
  <si>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</si>
  <si>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</si>
  <si>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</si>
  <si>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</si>
  <si>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</si>
  <si>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</si>
  <si>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</si>
  <si>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</si>
  <si>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</si>
  <si>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</si>
  <si>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</si>
  <si>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</si>
  <si>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</si>
  <si>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</si>
  <si>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</si>
  <si>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</si>
  <si>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</si>
  <si>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</si>
  <si>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</si>
  <si>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</si>
  <si>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</si>
  <si>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</si>
  <si>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</si>
  <si>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</si>
  <si>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</si>
  <si>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</si>
  <si>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</si>
  <si>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</si>
  <si>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</si>
  <si>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</si>
  <si>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</si>
  <si>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</si>
  <si>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</si>
  <si>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</si>
  <si>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</si>
  <si>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</si>
  <si>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</si>
  <si>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</si>
  <si>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</si>
  <si>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</si>
  <si>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</si>
  <si>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</si>
  <si>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</si>
  <si>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</si>
  <si>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</si>
  <si>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</si>
  <si>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</si>
  <si>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</si>
  <si>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</si>
  <si>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</si>
  <si>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</si>
  <si>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</si>
  <si>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</si>
  <si>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</si>
  <si>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</si>
  <si>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</si>
  <si>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</si>
  <si>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</si>
  <si>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</si>
  <si>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</si>
  <si>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</si>
  <si>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</si>
  <si>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</si>
  <si>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</si>
  <si>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</si>
  <si>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</si>
  <si>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</si>
  <si>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</si>
  <si>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</si>
  <si>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</si>
  <si>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</si>
  <si>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</si>
  <si>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</si>
  <si>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</si>
  <si>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</si>
  <si>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</si>
  <si>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</si>
  <si>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</si>
  <si>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</si>
  <si>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</si>
  <si>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</si>
  <si>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</si>
  <si>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</si>
  <si>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</si>
  <si>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</si>
  <si>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</si>
  <si>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</si>
  <si>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</si>
  <si>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</si>
  <si>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</si>
  <si>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</si>
  <si>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</si>
  <si>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</si>
  <si>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</si>
  <si>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</si>
  <si>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</si>
  <si>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</si>
  <si>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</si>
  <si>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</si>
  <si>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</si>
  <si>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</si>
  <si>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</si>
  <si>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</si>
  <si>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</si>
  <si>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</si>
  <si>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</si>
  <si>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</si>
  <si>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</si>
  <si>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</si>
  <si>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</si>
  <si>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</si>
  <si>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</si>
  <si>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</si>
  <si>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</si>
  <si>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</si>
  <si>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</si>
  <si>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</si>
  <si>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</si>
  <si>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</si>
  <si>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</si>
  <si>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</si>
  <si>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</si>
  <si>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</si>
  <si>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</si>
  <si>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</si>
  <si>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</si>
  <si>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</si>
  <si>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</si>
  <si>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</si>
  <si>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</si>
  <si>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</si>
  <si>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</si>
  <si>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</si>
  <si>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</si>
  <si>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</si>
  <si>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</si>
  <si>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</si>
  <si>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</si>
  <si>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</si>
  <si>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</si>
  <si>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</si>
  <si>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</si>
  <si>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</si>
  <si>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</si>
  <si>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</si>
  <si>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</si>
  <si>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</si>
  <si>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</si>
  <si>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</si>
  <si>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</si>
  <si>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</si>
  <si>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</si>
  <si>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</si>
  <si>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</si>
  <si>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</si>
  <si>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</si>
  <si>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</si>
  <si>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</si>
  <si>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</si>
  <si>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</si>
  <si>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</si>
  <si>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</si>
  <si>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</si>
  <si>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</si>
  <si>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</si>
  <si>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</si>
  <si>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</si>
  <si>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</si>
  <si>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</si>
  <si>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</si>
  <si>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</si>
  <si>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</si>
  <si>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</si>
  <si>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</si>
  <si>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</si>
  <si>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</si>
  <si>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</si>
  <si>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</si>
  <si>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</si>
  <si>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</si>
  <si>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</si>
  <si>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</si>
  <si>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</si>
  <si>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</si>
  <si>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</si>
  <si>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</si>
  <si>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</si>
  <si>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</si>
  <si>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</si>
  <si>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</si>
  <si>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</si>
  <si>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</si>
  <si>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</si>
  <si>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</si>
  <si>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</si>
  <si>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</si>
  <si>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</si>
  <si>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</si>
  <si>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</si>
  <si>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</si>
  <si>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</si>
  <si>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</si>
  <si>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</si>
  <si>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</si>
  <si>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</si>
  <si>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</si>
  <si>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</si>
  <si>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</si>
  <si>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</si>
  <si>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</si>
  <si>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</si>
  <si>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</si>
  <si>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</si>
  <si>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</si>
  <si>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</si>
  <si>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</si>
  <si>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</si>
  <si>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</si>
  <si>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</si>
  <si>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</si>
  <si>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</si>
  <si>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</si>
  <si>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</si>
  <si>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</si>
  <si>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</si>
  <si>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</si>
  <si>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</si>
  <si>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</si>
  <si>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</si>
  <si>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</si>
  <si>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</si>
  <si>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</si>
  <si>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</si>
  <si>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</si>
  <si>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</si>
  <si>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</si>
  <si>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</si>
  <si>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</si>
  <si>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</si>
  <si>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</si>
  <si>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</si>
  <si>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</si>
  <si>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</si>
  <si>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</si>
  <si>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</si>
  <si>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</si>
  <si>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</si>
  <si>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</si>
  <si>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</si>
  <si>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</si>
  <si>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</si>
  <si>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</si>
  <si>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</si>
  <si>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</si>
  <si>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</si>
  <si>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</si>
  <si>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</si>
  <si>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</si>
  <si>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</si>
  <si>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</si>
  <si>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</si>
  <si>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</si>
  <si>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</si>
  <si>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</si>
  <si>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</si>
  <si>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</si>
  <si>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</si>
  <si>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</si>
  <si>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</si>
  <si>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</si>
  <si>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</si>
  <si>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</si>
  <si>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</si>
  <si>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</si>
  <si>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</si>
  <si>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</si>
  <si>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</si>
  <si>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</si>
  <si>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</si>
  <si>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</si>
  <si>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</si>
  <si>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</si>
  <si>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</si>
  <si>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</si>
  <si>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</si>
  <si>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</si>
  <si>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</si>
  <si>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</si>
  <si>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</si>
  <si>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</si>
  <si>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</si>
  <si>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</si>
  <si>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</si>
  <si>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</si>
  <si>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</si>
  <si>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</si>
  <si>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</si>
  <si>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</si>
  <si>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</si>
  <si>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</si>
  <si>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</si>
  <si>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</si>
  <si>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</si>
  <si>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</si>
  <si>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</si>
  <si>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</si>
  <si>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</si>
  <si>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</si>
  <si>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</si>
  <si>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</si>
  <si>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</si>
  <si>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</si>
  <si>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</si>
  <si>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</si>
  <si>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</si>
  <si>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</si>
  <si>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</si>
  <si>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</si>
  <si>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</si>
  <si>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</si>
  <si>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</si>
  <si>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</si>
  <si>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</si>
  <si>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</si>
  <si>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</si>
  <si>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</si>
  <si>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</si>
  <si>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</si>
  <si>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</si>
  <si>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</si>
  <si>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</si>
  <si>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</si>
  <si>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</si>
  <si>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</si>
  <si>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</si>
  <si>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</si>
  <si>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</si>
  <si>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</si>
  <si>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</si>
  <si>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</si>
  <si>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</si>
  <si>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</si>
  <si>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</si>
  <si>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</si>
  <si>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</si>
  <si>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</si>
  <si>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</si>
  <si>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</si>
  <si>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</si>
  <si>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</si>
  <si>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</si>
  <si>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</si>
  <si>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</si>
  <si>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</si>
  <si>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</si>
  <si>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</si>
  <si>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</si>
  <si>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</si>
  <si>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</si>
  <si>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</si>
  <si>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</si>
  <si>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</si>
  <si>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</si>
  <si>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</si>
  <si>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</si>
  <si>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</si>
  <si>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</si>
  <si>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</si>
  <si>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</si>
  <si>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</si>
  <si>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</si>
  <si>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</si>
  <si>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</si>
  <si>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</si>
  <si>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</si>
  <si>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</si>
  <si>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</si>
  <si>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</si>
  <si>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</si>
  <si>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</si>
  <si>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</si>
  <si>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</si>
  <si>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</si>
  <si>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</si>
  <si>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</si>
  <si>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</si>
  <si>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</si>
  <si>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</si>
  <si>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</si>
  <si>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</si>
  <si>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</si>
  <si>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</si>
  <si>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</si>
  <si>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</si>
  <si>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</si>
  <si>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</si>
  <si>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</si>
  <si>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</si>
  <si>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</si>
  <si>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</si>
  <si>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</si>
  <si>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</si>
  <si>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</si>
  <si>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</si>
  <si>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</si>
  <si>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</si>
  <si>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</si>
  <si>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</si>
  <si>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</si>
  <si>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</si>
  <si>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</si>
  <si>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</si>
  <si>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</si>
  <si>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</si>
  <si>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</si>
  <si>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</si>
  <si>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</si>
  <si>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</si>
  <si>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</si>
  <si>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</si>
  <si>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</si>
  <si>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</si>
  <si>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</si>
  <si>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</si>
  <si>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</si>
  <si>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</si>
  <si>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</si>
  <si>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</si>
  <si>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</si>
  <si>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</si>
  <si>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</si>
  <si>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</si>
  <si>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</si>
  <si>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</si>
  <si>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</si>
  <si>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</si>
  <si>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</si>
  <si>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</si>
  <si>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</si>
  <si>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</si>
  <si>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</si>
  <si>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</si>
  <si>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</si>
  <si>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</si>
  <si>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</si>
  <si>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</si>
  <si>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</si>
  <si>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</si>
  <si>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</si>
  <si>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</si>
  <si>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</si>
  <si>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</si>
  <si>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</si>
  <si>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</si>
  <si>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</si>
  <si>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</si>
  <si>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</si>
  <si>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</si>
  <si>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</si>
  <si>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</si>
  <si>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</si>
  <si>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</si>
  <si>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</si>
  <si>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</si>
  <si>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</si>
  <si>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</si>
  <si>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</si>
  <si>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</si>
  <si>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</si>
  <si>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</si>
  <si>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</si>
  <si>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</si>
  <si>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</si>
  <si>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</si>
  <si>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</si>
  <si>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</si>
  <si>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</si>
  <si>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</si>
  <si>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</si>
  <si>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</si>
  <si>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</si>
  <si>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</si>
  <si>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</si>
  <si>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</si>
  <si>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</si>
  <si>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</si>
  <si>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</si>
  <si>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</si>
  <si>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</si>
  <si>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</si>
  <si>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</si>
  <si>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</si>
  <si>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</si>
  <si>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</si>
  <si>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</si>
  <si>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</si>
  <si>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</si>
  <si>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</si>
  <si>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</si>
  <si>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</si>
  <si>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</si>
  <si>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</si>
  <si>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</si>
  <si>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</si>
  <si>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</si>
  <si>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</si>
  <si>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</si>
  <si>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</si>
  <si>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</si>
  <si>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</si>
  <si>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</si>
  <si>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</si>
  <si>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</si>
  <si>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</si>
  <si>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</si>
  <si>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</si>
  <si>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</si>
  <si>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</si>
  <si>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</si>
  <si>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</si>
  <si>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</si>
  <si>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</si>
  <si>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</si>
  <si>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</si>
  <si>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</si>
  <si>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</si>
  <si>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</si>
  <si>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</si>
  <si>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</si>
  <si>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</si>
  <si>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</si>
  <si>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</si>
  <si>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</si>
  <si>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</si>
  <si>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</si>
  <si>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</si>
  <si>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</si>
  <si>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</si>
  <si>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</si>
  <si>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</si>
  <si>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</si>
  <si>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</si>
  <si>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</si>
  <si>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</si>
  <si>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</si>
  <si>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</si>
  <si>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</si>
  <si>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</si>
  <si>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</si>
  <si>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</si>
  <si>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</si>
  <si>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</si>
  <si>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</si>
  <si>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</si>
  <si>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</si>
  <si>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</si>
  <si>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</si>
  <si>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</si>
  <si>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</si>
  <si>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</si>
  <si>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</si>
  <si>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</si>
  <si>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</si>
  <si>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</si>
  <si>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</si>
  <si>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</si>
  <si>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</si>
  <si>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</si>
  <si>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</si>
  <si>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</si>
  <si>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</si>
  <si>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</si>
  <si>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</si>
  <si>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</si>
  <si>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</si>
  <si>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</si>
  <si>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</si>
  <si>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</si>
  <si>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</si>
  <si>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</si>
  <si>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</si>
  <si>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</si>
  <si>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</si>
  <si>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</si>
  <si>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</si>
  <si>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</si>
  <si>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</si>
  <si>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</si>
  <si>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</si>
  <si>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</si>
  <si>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</si>
  <si>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</si>
  <si>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</si>
  <si>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</si>
  <si>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</si>
  <si>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</si>
  <si>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</si>
  <si>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</si>
  <si>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</si>
  <si>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</si>
  <si>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</si>
  <si>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</si>
  <si>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</si>
  <si>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</si>
  <si>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</si>
  <si>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</si>
  <si>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</si>
  <si>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</si>
  <si>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</si>
  <si>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</si>
  <si>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</si>
  <si>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</si>
  <si>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</si>
  <si>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</si>
  <si>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</si>
  <si>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</si>
  <si>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</si>
  <si>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</si>
  <si>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</si>
  <si>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</si>
  <si>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</si>
  <si>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</si>
  <si>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</si>
  <si>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</si>
  <si>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</si>
  <si>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</si>
  <si>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</si>
  <si>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</si>
  <si>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</si>
  <si>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</si>
  <si>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</si>
  <si>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</si>
  <si>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</si>
  <si>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</si>
  <si>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</si>
  <si>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</si>
  <si>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</si>
  <si>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</si>
  <si>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</si>
  <si>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</si>
  <si>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</si>
  <si>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</si>
  <si>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</si>
  <si>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</si>
  <si>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</si>
  <si>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</si>
  <si>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</si>
  <si>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</si>
  <si>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</si>
  <si>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</si>
  <si>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</si>
  <si>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</si>
  <si>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</si>
  <si>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</si>
  <si>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</si>
  <si>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</si>
  <si>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</si>
  <si>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</si>
  <si>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</si>
  <si>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</si>
  <si>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</si>
  <si>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</si>
  <si>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</si>
  <si>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</si>
  <si>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</si>
  <si>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</si>
  <si>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</si>
  <si>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</si>
  <si>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</si>
  <si>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</si>
  <si>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</si>
  <si>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</si>
  <si>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</si>
  <si>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</si>
  <si>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</si>
  <si>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</si>
  <si>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</si>
  <si>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</si>
  <si>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</si>
  <si>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</si>
  <si>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</si>
  <si>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</si>
  <si>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</si>
  <si>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</si>
  <si>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</si>
  <si>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</si>
  <si>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</si>
  <si>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</si>
  <si>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</si>
  <si>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</si>
  <si>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</si>
  <si>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</si>
  <si>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</si>
  <si>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</si>
  <si>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</si>
  <si>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</si>
  <si>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</si>
  <si>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</si>
  <si>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</si>
  <si>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</si>
  <si>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</si>
  <si>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</si>
  <si>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</si>
  <si>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</si>
  <si>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</si>
  <si>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</si>
  <si>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</si>
  <si>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</si>
  <si>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</si>
  <si>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</si>
  <si>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</si>
  <si>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</si>
  <si>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</si>
  <si>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</si>
  <si>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</si>
  <si>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</si>
  <si>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</si>
  <si>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</si>
  <si>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</si>
  <si>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</si>
  <si>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</si>
  <si>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</si>
  <si>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</si>
  <si>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</si>
  <si>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</si>
  <si>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</si>
  <si>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</si>
  <si>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</si>
  <si>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</si>
  <si>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</si>
  <si>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</si>
  <si>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</si>
  <si>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</si>
  <si>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</si>
  <si>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</si>
  <si>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</si>
  <si>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</si>
  <si>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</si>
  <si>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</si>
  <si>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</si>
  <si>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</si>
  <si>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</si>
  <si>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</si>
  <si>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</si>
  <si>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</si>
  <si>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</si>
  <si>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</si>
  <si>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</si>
  <si>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</si>
  <si>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</si>
  <si>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</si>
  <si>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</si>
  <si>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</si>
  <si>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</si>
  <si>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</si>
  <si>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</si>
  <si>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</si>
  <si>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</si>
  <si>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</si>
  <si>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</si>
  <si>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</si>
  <si>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</si>
  <si>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</si>
  <si>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</si>
  <si>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</si>
  <si>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</si>
  <si>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</si>
  <si>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</si>
  <si>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</si>
  <si>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</si>
  <si>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</si>
  <si>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</si>
  <si>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</si>
  <si>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</si>
  <si>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</si>
  <si>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</si>
  <si>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</si>
  <si>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</si>
  <si>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</si>
  <si>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</si>
  <si>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</si>
  <si>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</si>
  <si>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</si>
  <si>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</si>
  <si>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</si>
  <si>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</si>
  <si>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</si>
  <si>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</si>
  <si>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</si>
  <si>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</si>
  <si>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</si>
  <si>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</si>
  <si>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</si>
  <si>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</si>
  <si>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</si>
  <si>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</si>
  <si>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</si>
  <si>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</si>
  <si>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</si>
  <si>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</si>
  <si>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</si>
  <si>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</si>
  <si>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</si>
  <si>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</si>
  <si>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</si>
  <si>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</si>
  <si>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</si>
  <si>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</si>
  <si>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</si>
  <si>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</si>
  <si>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</si>
  <si>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</si>
  <si>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</si>
  <si>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</si>
  <si>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</si>
  <si>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</si>
  <si>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</si>
  <si>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</si>
  <si>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</si>
  <si>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</si>
  <si>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</si>
  <si>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</si>
  <si>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</si>
  <si>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</si>
  <si>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</si>
  <si>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</si>
  <si>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</si>
  <si>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</si>
  <si>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</si>
  <si>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</si>
  <si>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</si>
  <si>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</si>
  <si>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</si>
  <si>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</si>
  <si>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</si>
  <si>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</si>
  <si>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</si>
  <si>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</si>
  <si>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</si>
  <si>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</si>
  <si>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</si>
  <si>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</si>
  <si>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</si>
  <si>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</si>
  <si>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</si>
  <si>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</si>
  <si>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</si>
  <si>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</si>
  <si>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</si>
  <si>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</si>
  <si>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</si>
  <si>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</si>
  <si>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</si>
  <si>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</si>
  <si>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</si>
  <si>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</si>
  <si>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</si>
  <si>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</si>
  <si>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</si>
  <si>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</si>
  <si>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</si>
  <si>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</si>
  <si>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</si>
  <si>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</si>
  <si>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</si>
  <si>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</si>
  <si>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</si>
  <si>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</si>
  <si>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</si>
  <si>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</si>
  <si>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</si>
  <si>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</si>
  <si>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</si>
  <si>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</si>
  <si>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</si>
  <si>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</si>
  <si>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</si>
  <si>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</si>
  <si>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</si>
  <si>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</si>
  <si>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</si>
  <si>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</si>
  <si>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</si>
  <si>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</si>
  <si>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</si>
  <si>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</si>
  <si>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</si>
  <si>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</si>
  <si>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</si>
  <si>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</si>
  <si>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</si>
  <si>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</si>
  <si>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</si>
  <si>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</si>
  <si>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</si>
  <si>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</si>
  <si>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</si>
  <si>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</si>
  <si>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</si>
  <si>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</si>
  <si>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</si>
  <si>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</si>
  <si>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</si>
  <si>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</si>
  <si>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</si>
  <si>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</si>
  <si>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</si>
  <si>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</si>
  <si>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</si>
  <si>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</si>
  <si>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</si>
  <si>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</si>
  <si>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</si>
  <si>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</si>
  <si>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</si>
  <si>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</si>
  <si>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</si>
  <si>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</si>
  <si>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</si>
  <si>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</si>
  <si>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</si>
  <si>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</si>
  <si>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</si>
  <si>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</si>
  <si>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</si>
  <si>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</si>
  <si>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</si>
  <si>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</si>
  <si>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</si>
  <si>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</si>
  <si>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</si>
  <si>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</si>
  <si>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</si>
  <si>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</si>
  <si>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</si>
  <si>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</si>
  <si>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</si>
  <si>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</si>
  <si>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</si>
  <si>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</si>
  <si>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</si>
  <si>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</si>
  <si>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</si>
  <si>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</si>
  <si>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</si>
  <si>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</si>
  <si>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</si>
  <si>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</si>
  <si>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</si>
  <si>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</si>
  <si>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</si>
  <si>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</si>
  <si>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</si>
  <si>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</si>
  <si>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</si>
  <si>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</si>
  <si>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</si>
  <si>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</si>
  <si>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</si>
  <si>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</si>
  <si>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</si>
  <si>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</si>
  <si>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</si>
  <si>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</si>
  <si>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</si>
  <si>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</si>
  <si>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</si>
  <si>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</si>
  <si>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</si>
  <si>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</si>
  <si>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</si>
  <si>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</si>
  <si>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</si>
  <si>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</si>
  <si>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</si>
  <si>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</si>
  <si>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</si>
  <si>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</si>
  <si>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</si>
  <si>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</si>
  <si>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</si>
  <si>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</si>
  <si>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</si>
  <si>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</si>
  <si>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</si>
  <si>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</si>
  <si>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</si>
  <si>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</si>
  <si>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</si>
  <si>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</si>
  <si>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</si>
  <si>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</si>
  <si>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</si>
  <si>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</si>
  <si>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</si>
  <si>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</si>
  <si>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</si>
  <si>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</si>
  <si>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</si>
  <si>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</si>
  <si>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</si>
  <si>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</si>
  <si>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</si>
  <si>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</si>
  <si>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</si>
  <si>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</si>
  <si>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</si>
  <si>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</si>
  <si>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</si>
  <si>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</si>
  <si>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</si>
  <si>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</si>
  <si>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</si>
  <si>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</si>
  <si>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</si>
  <si>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</si>
  <si>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</si>
  <si>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</si>
  <si>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</si>
  <si>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</si>
  <si>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</si>
  <si>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</si>
  <si>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</si>
  <si>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</si>
  <si>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</si>
  <si>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</si>
  <si>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</si>
  <si>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</si>
  <si>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</si>
  <si>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</si>
  <si>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</si>
  <si>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</si>
  <si>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</si>
  <si>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</si>
  <si>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</si>
  <si>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</si>
  <si>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</si>
  <si>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</si>
  <si>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</si>
  <si>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</si>
  <si>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</si>
  <si>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</si>
  <si>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</si>
  <si>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</si>
  <si>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</si>
  <si>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</si>
  <si>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</si>
  <si>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</si>
  <si>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</si>
  <si>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</si>
  <si>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</si>
  <si>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</si>
  <si>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</si>
  <si>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</si>
  <si>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</si>
  <si>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</si>
  <si>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</si>
  <si>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</si>
  <si>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</si>
  <si>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</si>
  <si>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</si>
  <si>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</si>
  <si>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</si>
  <si>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</si>
  <si>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</si>
  <si>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</si>
  <si>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</si>
  <si>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</si>
  <si>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</si>
  <si>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</si>
  <si>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</si>
  <si>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</si>
  <si>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</si>
  <si>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</si>
  <si>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</si>
  <si>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</si>
  <si>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</si>
  <si>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</si>
  <si>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</si>
  <si>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</si>
  <si>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</si>
  <si>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</si>
  <si>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</si>
  <si>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</si>
  <si>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</si>
  <si>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</si>
  <si>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</si>
  <si>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</si>
  <si>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</si>
  <si>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</si>
  <si>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</si>
  <si>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</si>
  <si>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</si>
  <si>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</si>
  <si>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</si>
  <si>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</si>
  <si>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</si>
  <si>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</si>
  <si>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</si>
  <si>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</si>
  <si>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</si>
  <si>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</si>
  <si>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</si>
  <si>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</si>
  <si>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</si>
  <si>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</si>
  <si>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</si>
  <si>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</si>
  <si>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</si>
  <si>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</si>
  <si>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</si>
  <si>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</si>
  <si>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</si>
  <si>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</si>
  <si>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</si>
  <si>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</si>
  <si>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</si>
  <si>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</si>
  <si>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</si>
  <si>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</si>
  <si>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</si>
  <si>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</si>
  <si>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</si>
  <si>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</si>
  <si>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</si>
  <si>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</si>
  <si>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</si>
  <si>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</si>
  <si>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</si>
  <si>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</si>
  <si>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</si>
  <si>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</si>
  <si>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</si>
  <si>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</si>
  <si>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</si>
  <si>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</si>
  <si>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</si>
  <si>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</si>
  <si>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</si>
  <si>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</si>
  <si>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</si>
  <si>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</si>
  <si>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</si>
  <si>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</si>
  <si>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</si>
  <si>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</si>
  <si>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</si>
  <si>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</si>
  <si>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</si>
  <si>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</si>
  <si>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</si>
  <si>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</si>
  <si>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</si>
  <si>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</si>
  <si>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</si>
  <si>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</si>
  <si>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</si>
  <si>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</si>
  <si>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</si>
  <si>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</si>
  <si>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</si>
  <si>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</si>
  <si>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</si>
  <si>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</si>
  <si>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</si>
  <si>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</si>
  <si>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</si>
  <si>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</si>
  <si>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</si>
  <si>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</si>
  <si>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</si>
  <si>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</si>
  <si>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</si>
  <si>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</si>
  <si>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</si>
  <si>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</si>
  <si>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</si>
  <si>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</si>
  <si>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</si>
  <si>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</si>
  <si>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</si>
  <si>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</si>
  <si>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</si>
  <si>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</si>
  <si>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</si>
  <si>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</si>
  <si>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</si>
  <si>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</si>
  <si>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</si>
  <si>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</si>
  <si>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</si>
  <si>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</si>
  <si>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</si>
  <si>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</si>
  <si>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</si>
  <si>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</si>
  <si>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</si>
  <si>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</si>
  <si>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</si>
  <si>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</si>
  <si>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</si>
  <si>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</si>
  <si>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</si>
  <si>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</si>
  <si>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</si>
  <si>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</si>
  <si>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</si>
  <si>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</si>
  <si>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</si>
  <si>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</si>
  <si>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</si>
  <si>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</si>
  <si>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</si>
  <si>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</si>
  <si>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</si>
  <si>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</si>
  <si>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</si>
  <si>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</si>
  <si>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</si>
  <si>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</si>
  <si>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</si>
  <si>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</si>
  <si>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</si>
  <si>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</si>
  <si>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</si>
  <si>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</si>
  <si>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</si>
  <si>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</si>
  <si>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</si>
  <si>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</si>
  <si>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</si>
  <si>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</si>
  <si>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</si>
  <si>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</si>
  <si>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</si>
  <si>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</si>
  <si>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</si>
  <si>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</si>
  <si>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</si>
  <si>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</si>
  <si>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</si>
  <si>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</si>
  <si>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</si>
  <si>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</si>
  <si>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</si>
  <si>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</si>
  <si>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</si>
  <si>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</si>
  <si>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</si>
  <si>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</si>
  <si>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</si>
  <si>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</si>
  <si>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</si>
  <si>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</si>
  <si>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</si>
  <si>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</si>
  <si>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</si>
  <si>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</si>
  <si>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</si>
  <si>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</si>
  <si>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</si>
  <si>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</si>
  <si>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</si>
  <si>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</si>
  <si>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</si>
  <si>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</si>
  <si>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</si>
  <si>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</si>
  <si>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</si>
  <si>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</si>
  <si>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</si>
  <si>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</si>
  <si>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</si>
  <si>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</si>
  <si>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</si>
  <si>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</si>
  <si>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</si>
  <si>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</si>
  <si>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</si>
  <si>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</si>
  <si>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</si>
  <si>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</si>
  <si>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</si>
  <si>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</si>
  <si>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</si>
  <si>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</si>
  <si>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</si>
  <si>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</si>
  <si>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</si>
  <si>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</si>
  <si>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</si>
  <si>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</si>
  <si>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</si>
  <si>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</si>
  <si>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</si>
  <si>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</si>
  <si>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</si>
  <si>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</si>
  <si>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</si>
  <si>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</si>
  <si>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</si>
  <si>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</si>
  <si>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</si>
  <si>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</si>
  <si>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</si>
  <si>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</si>
  <si>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</si>
  <si>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</si>
  <si>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</si>
  <si>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</si>
  <si>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</si>
  <si>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</si>
  <si>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</si>
  <si>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</si>
  <si>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</si>
  <si>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</si>
  <si>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</si>
  <si>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</si>
  <si>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</si>
  <si>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</si>
  <si>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</si>
  <si>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</si>
  <si>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</si>
  <si>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</si>
  <si>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</si>
  <si>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</si>
  <si>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</si>
  <si>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</si>
  <si>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</si>
  <si>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</si>
  <si>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</si>
  <si>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</si>
  <si>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</si>
  <si>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</si>
  <si>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</si>
  <si>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</si>
  <si>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</si>
  <si>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</si>
  <si>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</si>
  <si>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</si>
  <si>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</si>
  <si>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</si>
  <si>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</si>
  <si>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</si>
  <si>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</si>
  <si>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</si>
  <si>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</si>
  <si>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</si>
  <si>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</si>
  <si>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</si>
  <si>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</si>
  <si>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</si>
  <si>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</si>
  <si>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</si>
  <si>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</si>
  <si>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</si>
  <si>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</si>
  <si>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</si>
  <si>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</si>
  <si>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</si>
  <si>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</si>
  <si>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</si>
  <si>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</si>
  <si>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</si>
  <si>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</si>
  <si>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</si>
  <si>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</si>
  <si>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</si>
  <si>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</si>
  <si>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</si>
  <si>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</si>
  <si>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</si>
  <si>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</si>
  <si>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</si>
  <si>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</si>
  <si>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</si>
  <si>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</si>
  <si>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</si>
  <si>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</si>
  <si>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</si>
  <si>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</si>
  <si>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</si>
  <si>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</si>
  <si>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</si>
  <si>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</si>
  <si>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</si>
  <si>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</si>
  <si>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</si>
  <si>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</si>
  <si>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</si>
  <si>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</si>
  <si>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</si>
  <si>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</si>
  <si>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</si>
  <si>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</si>
  <si>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</si>
  <si>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</si>
  <si>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</si>
  <si>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</si>
  <si>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</si>
  <si>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</si>
  <si>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</si>
  <si>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</si>
  <si>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</si>
  <si>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</si>
  <si>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</si>
  <si>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</si>
  <si>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</si>
  <si>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</si>
  <si>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</si>
  <si>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</si>
  <si>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</si>
  <si>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</si>
  <si>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</si>
  <si>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</si>
  <si>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</si>
  <si>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</si>
  <si>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</si>
  <si>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</si>
  <si>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</si>
  <si>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</si>
  <si>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</si>
  <si>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</si>
  <si>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</si>
  <si>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</si>
  <si>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</si>
  <si>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</si>
  <si>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</si>
  <si>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</si>
  <si>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</si>
  <si>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</si>
  <si>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</si>
  <si>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</si>
  <si>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</si>
  <si>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</si>
  <si>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</si>
  <si>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</si>
  <si>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</si>
  <si>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</si>
  <si>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</si>
  <si>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</si>
  <si>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</si>
  <si>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</si>
  <si>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</si>
  <si>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</si>
  <si>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</si>
  <si>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</si>
  <si>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</si>
  <si>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</si>
  <si>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</si>
  <si>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</si>
  <si>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</si>
  <si>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</si>
  <si>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</si>
  <si>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</si>
  <si>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</si>
  <si>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</si>
  <si>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</si>
  <si>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</si>
  <si>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</si>
  <si>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</si>
  <si>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</si>
  <si>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</si>
  <si>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</si>
  <si>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</si>
  <si>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</si>
  <si>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</si>
  <si>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</si>
  <si>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</si>
  <si>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</si>
  <si>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</si>
  <si>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</si>
  <si>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</si>
  <si>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</si>
  <si>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</si>
  <si>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</si>
  <si>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</si>
  <si>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</si>
  <si>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</si>
  <si>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</si>
  <si>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</si>
  <si>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</si>
  <si>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</si>
  <si>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</si>
  <si>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</si>
  <si>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</si>
  <si>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</si>
  <si>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</si>
  <si>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</si>
  <si>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</si>
  <si>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</si>
  <si>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</si>
  <si>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</si>
  <si>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</si>
  <si>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</si>
  <si>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</si>
  <si>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</si>
  <si>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</si>
  <si>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</si>
  <si>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</si>
  <si>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</si>
  <si>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</si>
  <si>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</si>
  <si>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</si>
  <si>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</si>
  <si>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</si>
  <si>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</si>
  <si>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</si>
  <si>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</si>
  <si>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</si>
  <si>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</si>
  <si>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</si>
  <si>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</si>
  <si>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</si>
  <si>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</si>
  <si>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</si>
  <si>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</si>
  <si>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</si>
  <si>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</si>
  <si>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</si>
  <si>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</si>
  <si>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</si>
  <si>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</si>
  <si>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</si>
  <si>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</si>
  <si>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</si>
  <si>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</si>
  <si>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</si>
  <si>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</si>
  <si>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</si>
  <si>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</si>
  <si>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</si>
  <si>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</si>
  <si>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</si>
  <si>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</si>
  <si>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</si>
  <si>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</si>
  <si>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</si>
  <si>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</si>
  <si>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</si>
  <si>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</si>
  <si>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</si>
  <si>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</si>
  <si>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</si>
  <si>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</si>
  <si>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</si>
  <si>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</si>
  <si>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</si>
  <si>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</si>
  <si>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</si>
  <si>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</si>
  <si>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</si>
  <si>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</si>
  <si>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</si>
  <si>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</si>
  <si>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</si>
  <si>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</si>
  <si>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</si>
  <si>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</si>
  <si>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</si>
  <si>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</si>
  <si>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</si>
  <si>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</si>
  <si>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</si>
  <si>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</si>
  <si>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</si>
  <si>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</si>
  <si>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</si>
  <si>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</si>
  <si>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</si>
  <si>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</si>
  <si>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</si>
  <si>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</si>
  <si>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</si>
  <si>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</si>
  <si>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</si>
  <si>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</si>
  <si>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</si>
  <si>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</si>
  <si>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</si>
  <si>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</si>
  <si>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</si>
  <si>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</si>
  <si>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</si>
  <si>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</si>
  <si>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</si>
  <si>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</si>
  <si>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</si>
  <si>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</si>
  <si>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</si>
  <si>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</si>
  <si>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</si>
  <si>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</si>
  <si>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</si>
  <si>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</si>
  <si>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</si>
  <si>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</si>
  <si>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</si>
  <si>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</si>
  <si>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</si>
  <si>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</si>
  <si>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</si>
  <si>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</si>
  <si>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</si>
  <si>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</si>
  <si>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</si>
  <si>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</si>
  <si>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</si>
  <si>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</si>
  <si>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</si>
  <si>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</si>
  <si>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</si>
  <si>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</si>
  <si>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</si>
  <si>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</si>
  <si>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</si>
  <si>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</si>
  <si>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</si>
  <si>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</si>
  <si>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</si>
  <si>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</si>
  <si>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</si>
  <si>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</si>
  <si>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</si>
  <si>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</si>
  <si>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</si>
  <si>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</si>
  <si>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</si>
  <si>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</si>
  <si>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</si>
  <si>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</si>
  <si>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</si>
  <si>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</si>
  <si>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</si>
  <si>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</si>
  <si>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</si>
  <si>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</si>
  <si>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</si>
  <si>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</si>
  <si>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</si>
  <si>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</si>
  <si>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</si>
  <si>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</si>
  <si>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</si>
  <si>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</si>
  <si>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</si>
  <si>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</si>
  <si>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</si>
  <si>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</si>
  <si>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</si>
  <si>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</si>
  <si>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</si>
  <si>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</si>
  <si>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</si>
  <si>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</si>
  <si>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</si>
  <si>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</si>
  <si>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</si>
  <si>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</si>
  <si>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</si>
  <si>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</si>
  <si>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</si>
  <si>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</si>
  <si>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</si>
  <si>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</si>
  <si>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</si>
  <si>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</si>
  <si>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</si>
  <si>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</si>
  <si>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</si>
  <si>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</si>
  <si>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</si>
  <si>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</si>
  <si>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</si>
  <si>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</si>
  <si>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</si>
  <si>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</si>
  <si>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</si>
  <si>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</si>
  <si>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</si>
  <si>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</si>
  <si>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</si>
  <si>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</si>
  <si>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</si>
  <si>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</si>
  <si>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</si>
  <si>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</si>
  <si>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</si>
  <si>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</si>
  <si>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</si>
  <si>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</si>
  <si>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</si>
  <si>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</si>
  <si>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</si>
  <si>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</si>
  <si>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</si>
  <si>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</si>
  <si>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</si>
  <si>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</si>
  <si>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</si>
  <si>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</si>
  <si>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</si>
  <si>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</si>
  <si>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</si>
  <si>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</si>
  <si>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</si>
  <si>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</si>
  <si>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</si>
  <si>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</si>
  <si>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</si>
  <si>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</si>
  <si>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</si>
  <si>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</si>
  <si>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</si>
  <si>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</si>
  <si>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</si>
  <si>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</si>
  <si>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</si>
  <si>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</si>
  <si>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</si>
  <si>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</si>
  <si>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</si>
  <si>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</si>
  <si>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</si>
  <si>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</si>
  <si>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</si>
  <si>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</si>
  <si>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</si>
  <si>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</si>
  <si>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</si>
  <si>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</si>
  <si>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</si>
  <si>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</si>
  <si>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</si>
  <si>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</si>
  <si>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</si>
  <si>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</si>
  <si>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</si>
  <si>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</si>
  <si>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</si>
  <si>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</si>
  <si>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</si>
  <si>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</si>
  <si>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</si>
  <si>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</si>
  <si>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</si>
  <si>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</si>
  <si>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</si>
  <si>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</si>
  <si>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</si>
  <si>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</si>
  <si>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</si>
  <si>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</si>
  <si>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</si>
  <si>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</si>
  <si>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</si>
  <si>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</si>
  <si>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</si>
  <si>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</si>
  <si>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</si>
  <si>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</si>
  <si>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</si>
  <si>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</si>
  <si>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</si>
  <si>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</si>
  <si>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</si>
  <si>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</si>
  <si>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</si>
  <si>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</si>
  <si>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</si>
  <si>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</si>
  <si>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</si>
  <si>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</si>
  <si>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</si>
  <si>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</si>
  <si>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</si>
  <si>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</si>
  <si>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</si>
  <si>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</si>
  <si>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</si>
  <si>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</si>
  <si>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</si>
  <si>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</si>
  <si>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</si>
  <si>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</si>
  <si>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</si>
  <si>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</si>
  <si>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</si>
  <si>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</si>
  <si>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</si>
  <si>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</si>
  <si>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</si>
  <si>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</si>
  <si>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</si>
  <si>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</si>
  <si>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</si>
  <si>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</si>
  <si>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</si>
  <si>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</si>
  <si>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</si>
  <si>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</si>
  <si>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</si>
  <si>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</si>
  <si>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</si>
  <si>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</si>
  <si>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</si>
  <si>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</si>
  <si>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</si>
  <si>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</si>
  <si>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</si>
  <si>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</si>
  <si>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</si>
  <si>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</si>
  <si>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</si>
  <si>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</si>
  <si>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</si>
  <si>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</si>
  <si>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</si>
  <si>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</si>
  <si>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</si>
  <si>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</si>
  <si>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</si>
  <si>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</si>
  <si>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</si>
  <si>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</si>
  <si>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</si>
  <si>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</si>
  <si>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</si>
  <si>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</si>
  <si>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</si>
  <si>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</si>
  <si>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</si>
  <si>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</si>
  <si>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</si>
  <si>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</si>
  <si>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</si>
  <si>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</si>
  <si>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</si>
  <si>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</si>
  <si>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</si>
  <si>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</si>
  <si>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</si>
  <si>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</si>
  <si>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</si>
  <si>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</si>
  <si>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</si>
  <si>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</si>
  <si>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</si>
  <si>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</si>
  <si>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</si>
  <si>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</si>
  <si>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</si>
  <si>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</si>
  <si>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</si>
  <si>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</si>
  <si>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</si>
  <si>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</si>
  <si>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</si>
  <si>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</si>
  <si>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</si>
  <si>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</si>
  <si>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</si>
  <si>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</si>
  <si>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</si>
  <si>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</si>
  <si>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</si>
  <si>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</si>
  <si>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</si>
  <si>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</si>
  <si>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</si>
  <si>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</si>
  <si>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</si>
  <si>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</si>
  <si>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</si>
  <si>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</si>
  <si>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</si>
  <si>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</si>
  <si>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</si>
  <si>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</si>
  <si>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</si>
  <si>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</si>
  <si>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</si>
  <si>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</si>
  <si>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</si>
  <si>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</si>
  <si>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</si>
  <si>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</si>
  <si>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</si>
  <si>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</si>
  <si>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</si>
  <si>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</si>
  <si>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</si>
  <si>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</si>
  <si>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</si>
  <si>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</si>
  <si>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</si>
  <si>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</si>
  <si>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</si>
  <si>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</si>
  <si>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</si>
  <si>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</si>
  <si>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</si>
  <si>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</si>
  <si>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</si>
  <si>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</si>
  <si>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</si>
  <si>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</si>
  <si>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</si>
  <si>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</si>
  <si>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</si>
  <si>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</si>
  <si>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</si>
  <si>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</si>
  <si>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</si>
  <si>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</si>
  <si>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</si>
  <si>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</si>
  <si>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</si>
  <si>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</si>
  <si>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</si>
  <si>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</si>
  <si>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</si>
  <si>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</si>
  <si>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</si>
  <si>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</si>
  <si>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</si>
  <si>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</si>
  <si>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</si>
  <si>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</si>
  <si>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</si>
  <si>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</si>
  <si>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</si>
  <si>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</si>
  <si>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</si>
  <si>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</si>
  <si>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</si>
  <si>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</si>
  <si>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</si>
  <si>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</si>
  <si>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</si>
  <si>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</si>
  <si>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</si>
  <si>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</si>
  <si>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</si>
  <si>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</si>
  <si>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</si>
  <si>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</si>
  <si>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</si>
  <si>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</si>
  <si>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</si>
  <si>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</si>
  <si>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</si>
  <si>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</si>
  <si>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</si>
  <si>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</si>
  <si>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</si>
  <si>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</si>
  <si>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</si>
  <si>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</si>
  <si>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</si>
  <si>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</si>
  <si>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</si>
  <si>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</si>
  <si>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</si>
  <si>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</si>
  <si>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</si>
  <si>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</si>
  <si>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</si>
  <si>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</si>
  <si>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</si>
  <si>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</si>
  <si>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</si>
  <si>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</si>
  <si>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</si>
  <si>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</si>
  <si>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</si>
  <si>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</si>
  <si>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</si>
  <si>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</si>
  <si>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</si>
  <si>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</si>
  <si>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</si>
  <si>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</si>
  <si>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</si>
  <si>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</si>
  <si>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</si>
  <si>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</si>
  <si>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</si>
  <si>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</si>
  <si>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</si>
  <si>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</si>
  <si>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</si>
  <si>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</si>
  <si>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</si>
  <si>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</si>
  <si>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</si>
  <si>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</si>
  <si>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</si>
  <si>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</si>
  <si>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</si>
  <si>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</si>
  <si>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</si>
  <si>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</si>
  <si>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</si>
  <si>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</si>
  <si>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</si>
  <si>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</si>
  <si>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</si>
  <si>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</si>
  <si>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</si>
  <si>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</si>
  <si>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</si>
  <si>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</si>
  <si>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</si>
  <si>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</si>
  <si>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</si>
  <si>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</si>
  <si>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</si>
  <si>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</si>
  <si>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</si>
  <si>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</si>
  <si>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</si>
  <si>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</si>
  <si>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</si>
  <si>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</si>
  <si>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</si>
  <si>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</si>
  <si>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</si>
  <si>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</si>
  <si>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</si>
  <si>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</si>
  <si>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</si>
  <si>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</si>
  <si>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</si>
  <si>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</si>
  <si>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</si>
  <si>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</si>
  <si>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</si>
  <si>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</si>
  <si>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</si>
  <si>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</si>
  <si>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</si>
  <si>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</si>
  <si>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</si>
  <si>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</si>
  <si>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</si>
  <si>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</si>
  <si>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</si>
  <si>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</si>
  <si>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</si>
  <si>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</si>
  <si>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</si>
  <si>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</si>
  <si>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</si>
  <si>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</si>
  <si>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</si>
  <si>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</si>
  <si>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</si>
  <si>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</si>
  <si>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</si>
  <si>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</si>
  <si>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</si>
  <si>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</si>
  <si>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</si>
  <si>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</si>
  <si>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</si>
  <si>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</si>
  <si>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</si>
  <si>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</si>
  <si>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</si>
  <si>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</si>
  <si>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</si>
  <si>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</si>
  <si>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</si>
  <si>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</si>
  <si>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</si>
  <si>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</si>
  <si>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</si>
  <si>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</si>
  <si>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</si>
  <si>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</si>
  <si>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</si>
  <si>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</si>
  <si>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</si>
  <si>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</si>
  <si>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</si>
  <si>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</si>
  <si>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</si>
  <si>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</si>
  <si>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</si>
  <si>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</si>
  <si>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</si>
  <si>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</si>
  <si>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</si>
  <si>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</si>
  <si>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</si>
  <si>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</si>
  <si>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</si>
  <si>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</si>
  <si>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</si>
  <si>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</si>
  <si>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</si>
  <si>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</si>
  <si>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</si>
  <si>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</si>
  <si>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</si>
  <si>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</si>
  <si>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</si>
  <si>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</si>
  <si>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</si>
  <si>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</si>
  <si>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</si>
  <si>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</si>
  <si>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</si>
  <si>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</si>
  <si>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</si>
  <si>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</si>
  <si>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</si>
  <si>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</si>
  <si>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</si>
  <si>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</si>
  <si>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</si>
  <si>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</si>
  <si>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</si>
  <si>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</si>
  <si>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</si>
  <si>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</si>
  <si>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</si>
  <si>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</si>
  <si>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</si>
  <si>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</si>
  <si>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</si>
  <si>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</si>
  <si>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</si>
  <si>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</si>
  <si>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</si>
  <si>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</si>
  <si>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</si>
  <si>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</si>
  <si>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</si>
  <si>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</si>
  <si>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</si>
  <si>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</si>
  <si>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</si>
  <si>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</si>
  <si>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</si>
  <si>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</si>
  <si>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</si>
  <si>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</si>
  <si>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</si>
  <si>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</si>
  <si>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</si>
  <si>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</si>
  <si>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</si>
  <si>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</si>
  <si>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</si>
  <si>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</si>
  <si>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</si>
  <si>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</si>
  <si>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</si>
  <si>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</si>
  <si>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</si>
  <si>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</si>
  <si>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</si>
  <si>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</si>
  <si>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</si>
  <si>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</si>
  <si>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</si>
  <si>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</si>
  <si>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</si>
  <si>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</si>
  <si>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</si>
  <si>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</si>
  <si>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</si>
  <si>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</si>
  <si>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</si>
  <si>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</si>
  <si>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</si>
  <si>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</si>
  <si>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</si>
  <si>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</si>
  <si>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</si>
  <si>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</si>
  <si>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</si>
  <si>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</si>
  <si>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</si>
  <si>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</si>
  <si>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</si>
  <si>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</si>
  <si>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</si>
  <si>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</si>
  <si>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</si>
  <si>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</si>
  <si>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</si>
  <si>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</si>
  <si>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</si>
  <si>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</si>
  <si>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</si>
  <si>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</si>
  <si>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</si>
  <si>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</si>
  <si>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</si>
  <si>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</si>
  <si>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</si>
  <si>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</si>
  <si>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</si>
  <si>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</si>
  <si>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</si>
  <si>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</si>
  <si>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</si>
  <si>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</si>
  <si>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</si>
  <si>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</si>
  <si>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</si>
  <si>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</si>
  <si>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</si>
  <si>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</si>
  <si>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</si>
  <si>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</si>
  <si>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</si>
  <si>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</si>
  <si>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</si>
  <si>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</si>
  <si>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</si>
  <si>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</si>
  <si>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</si>
  <si>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</si>
  <si>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</si>
  <si>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</si>
  <si>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</si>
  <si>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</si>
  <si>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</si>
  <si>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</si>
  <si>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</si>
  <si>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</si>
  <si>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</si>
  <si>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</si>
  <si>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</si>
  <si>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</si>
  <si>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</si>
  <si>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</si>
  <si>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</si>
  <si>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</si>
  <si>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</si>
  <si>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</si>
  <si>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</si>
  <si>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</si>
  <si>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</si>
  <si>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</si>
  <si>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</si>
  <si>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</si>
  <si>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</si>
  <si>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</si>
  <si>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</si>
  <si>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</si>
  <si>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</si>
  <si>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</si>
  <si>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</si>
  <si>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</si>
  <si>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</si>
  <si>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</si>
  <si>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</si>
  <si>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</si>
  <si>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</si>
  <si>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</si>
  <si>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</si>
  <si>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</si>
  <si>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</si>
  <si>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</si>
  <si>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</si>
  <si>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</si>
  <si>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</si>
  <si>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</si>
  <si>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</si>
  <si>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</si>
  <si>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</si>
  <si>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</si>
  <si>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</si>
  <si>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</si>
  <si>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</si>
  <si>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</si>
  <si>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</si>
  <si>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</si>
  <si>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</si>
  <si>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</si>
  <si>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</si>
  <si>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</si>
  <si>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</si>
  <si>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</si>
  <si>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</si>
  <si>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</si>
  <si>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</si>
  <si>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</si>
  <si>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</si>
  <si>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</si>
  <si>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</si>
  <si>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</si>
  <si>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</si>
  <si>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</si>
  <si>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</si>
  <si>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</si>
  <si>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</si>
  <si>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</si>
  <si>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</si>
  <si>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</si>
  <si>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</si>
  <si>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</si>
  <si>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</si>
  <si>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</si>
  <si>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</si>
  <si>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</si>
  <si>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</si>
  <si>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</si>
  <si>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</si>
  <si>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</si>
  <si>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</si>
  <si>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</si>
  <si>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</si>
  <si>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</si>
  <si>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</si>
  <si>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</si>
  <si>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</si>
  <si>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</si>
  <si>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</si>
  <si>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</si>
  <si>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</si>
  <si>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</si>
  <si>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</si>
  <si>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</si>
  <si>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</si>
  <si>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</si>
  <si>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</si>
  <si>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</si>
  <si>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</si>
  <si>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</si>
  <si>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</si>
  <si>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</si>
  <si>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</si>
  <si>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</si>
  <si>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</si>
  <si>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</si>
  <si>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</si>
  <si>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</si>
  <si>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</si>
  <si>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</si>
  <si>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</si>
  <si>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</si>
  <si>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</si>
  <si>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</si>
  <si>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</si>
  <si>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</si>
  <si>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</si>
  <si>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</si>
  <si>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</si>
  <si>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</si>
  <si>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</si>
  <si>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</si>
  <si>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</si>
  <si>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</si>
  <si>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</si>
  <si>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</si>
  <si>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</si>
  <si>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</si>
  <si>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</si>
  <si>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</si>
  <si>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</si>
  <si>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</si>
  <si>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</si>
  <si>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</si>
  <si>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</si>
  <si>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</si>
  <si>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</si>
  <si>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</si>
  <si>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</si>
  <si>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</si>
  <si>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</si>
  <si>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</si>
  <si>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</si>
  <si>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</si>
  <si>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</si>
  <si>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</si>
  <si>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</si>
  <si>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</si>
  <si>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</si>
  <si>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</si>
  <si>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</si>
  <si>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</si>
  <si>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</si>
  <si>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</si>
  <si>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</si>
  <si>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</si>
  <si>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</si>
  <si>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</si>
  <si>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</si>
  <si>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</si>
  <si>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</si>
  <si>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</si>
  <si>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</si>
  <si>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</si>
  <si>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</si>
  <si>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</si>
  <si>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</si>
  <si>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</si>
  <si>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</si>
  <si>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</si>
  <si>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</si>
  <si>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</si>
  <si>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</si>
  <si>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</si>
  <si>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</si>
  <si>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</si>
  <si>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</si>
  <si>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</si>
  <si>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</si>
  <si>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</si>
  <si>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</si>
  <si>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</si>
  <si>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</si>
  <si>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</si>
  <si>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</si>
  <si>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</si>
  <si>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</si>
  <si>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</si>
  <si>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</si>
  <si>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</si>
  <si>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</si>
  <si>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</si>
  <si>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</si>
  <si>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</si>
  <si>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</si>
  <si>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</si>
  <si>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</si>
  <si>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</si>
  <si>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</si>
  <si>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</si>
  <si>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</si>
  <si>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</si>
  <si>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</si>
  <si>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</si>
  <si>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</si>
  <si>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</si>
  <si>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</si>
  <si>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</si>
  <si>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</si>
  <si>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</si>
  <si>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</si>
  <si>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</si>
  <si>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</si>
  <si>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</si>
  <si>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</si>
  <si>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</si>
  <si>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</si>
  <si>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</si>
  <si>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</si>
  <si>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</si>
  <si>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</si>
  <si>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</si>
  <si>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</si>
  <si>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</si>
  <si>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</si>
  <si>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</si>
  <si>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</si>
  <si>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</si>
  <si>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</si>
  <si>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</si>
  <si>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</si>
  <si>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</si>
  <si>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</si>
  <si>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</si>
  <si>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</si>
  <si>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</si>
  <si>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</si>
  <si>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</si>
  <si>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</si>
  <si>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</si>
  <si>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</si>
  <si>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</si>
  <si>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</si>
  <si>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</si>
  <si>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</si>
  <si>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</si>
  <si>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</si>
  <si>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</si>
  <si>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</si>
  <si>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</si>
  <si>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</si>
  <si>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</si>
  <si>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</si>
  <si>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</si>
  <si>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</si>
  <si>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</si>
  <si>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</si>
  <si>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</si>
  <si>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</si>
  <si>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</si>
  <si>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</si>
  <si>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</si>
  <si>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</si>
  <si>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</si>
  <si>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</si>
  <si>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</si>
  <si>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</si>
  <si>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</si>
  <si>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</si>
  <si>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</si>
  <si>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</si>
  <si>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</si>
  <si>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</si>
  <si>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</si>
  <si>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</si>
  <si>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</si>
  <si>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</si>
  <si>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</si>
  <si>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</si>
  <si>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</si>
  <si>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</si>
  <si>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</si>
  <si>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</si>
  <si>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</si>
  <si>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</si>
  <si>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</si>
  <si>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</si>
  <si>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</si>
  <si>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</si>
  <si>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</si>
  <si>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</si>
  <si>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</si>
  <si>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</si>
  <si>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</si>
  <si>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</si>
  <si>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</si>
  <si>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</si>
  <si>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</si>
  <si>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</si>
  <si>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</si>
  <si>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</si>
  <si>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</si>
  <si>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</si>
  <si>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</si>
  <si>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</si>
  <si>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</si>
  <si>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</si>
  <si>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</si>
  <si>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</si>
  <si>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</si>
  <si>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</si>
  <si>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</si>
  <si>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</si>
  <si>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</si>
  <si>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</si>
  <si>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</si>
  <si>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</si>
  <si>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</si>
  <si>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</si>
  <si>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</si>
  <si>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</si>
  <si>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</si>
  <si>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</si>
  <si>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</si>
  <si>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</si>
  <si>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</si>
  <si>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</si>
  <si>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</si>
  <si>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</si>
  <si>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</si>
  <si>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</si>
  <si>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</si>
  <si>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</si>
  <si>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</si>
  <si>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</si>
  <si>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</si>
  <si>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</si>
  <si>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</si>
  <si>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</si>
  <si>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</si>
  <si>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</si>
  <si>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</si>
  <si>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</si>
  <si>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</si>
  <si>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</si>
  <si>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</si>
  <si>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</si>
  <si>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</si>
  <si>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</si>
  <si>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</si>
  <si>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</si>
  <si>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</si>
  <si>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</si>
  <si>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</si>
  <si>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</si>
  <si>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</si>
  <si>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</si>
  <si>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</si>
  <si>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</si>
  <si>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</si>
  <si>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</si>
  <si>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</si>
  <si>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</si>
  <si>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</si>
  <si>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</si>
  <si>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</si>
  <si>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</si>
  <si>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</si>
  <si>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</si>
  <si>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</si>
  <si>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</si>
  <si>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</si>
  <si>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</si>
  <si>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</si>
  <si>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</si>
  <si>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</si>
  <si>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</si>
  <si>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</si>
  <si>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</si>
  <si>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</si>
  <si>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</si>
  <si>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</si>
  <si>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</si>
  <si>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</si>
  <si>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</si>
  <si>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</si>
  <si>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</si>
  <si>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</si>
  <si>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</si>
  <si>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</si>
  <si>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</si>
  <si>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</si>
  <si>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</si>
  <si>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</si>
  <si>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</si>
  <si>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</si>
  <si>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</si>
  <si>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</si>
  <si>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</si>
  <si>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</si>
  <si>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</si>
  <si>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</si>
  <si>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</si>
  <si>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</si>
  <si>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</si>
  <si>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</si>
  <si>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</si>
  <si>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</si>
  <si>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</si>
  <si>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</si>
  <si>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</si>
  <si>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</si>
  <si>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</si>
  <si>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</si>
  <si>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</si>
  <si>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</si>
  <si>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</si>
  <si>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</si>
  <si>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</si>
  <si>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</si>
  <si>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</si>
  <si>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</si>
  <si>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</si>
  <si>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</si>
  <si>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</si>
  <si>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</si>
  <si>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</si>
  <si>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</si>
  <si>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</si>
  <si>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</si>
  <si>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</si>
  <si>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</si>
  <si>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</si>
  <si>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</si>
  <si>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</si>
  <si>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</si>
  <si>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</si>
  <si>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</si>
  <si>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</si>
  <si>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</si>
  <si>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</si>
  <si>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</si>
  <si>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</si>
  <si>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</si>
  <si>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</si>
  <si>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</si>
  <si>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</si>
  <si>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</si>
  <si>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</si>
  <si>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</si>
  <si>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</si>
  <si>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</si>
  <si>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</si>
  <si>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</si>
  <si>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</si>
  <si>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</si>
  <si>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</si>
  <si>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</si>
  <si>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</si>
  <si>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</si>
  <si>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</si>
  <si>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</si>
  <si>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</si>
  <si>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</si>
  <si>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</si>
  <si>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</si>
  <si>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</si>
  <si>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</si>
  <si>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</si>
  <si>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</si>
  <si>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</si>
  <si>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</si>
  <si>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</si>
  <si>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</si>
  <si>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</si>
  <si>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</si>
  <si>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</si>
  <si>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</si>
  <si>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</si>
  <si>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</si>
  <si>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</si>
  <si>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</si>
  <si>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</si>
  <si>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</si>
  <si>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</si>
  <si>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</si>
  <si>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</si>
  <si>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</si>
  <si>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</si>
  <si>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</si>
  <si>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</si>
  <si>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</si>
  <si>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</si>
  <si>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</si>
  <si>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</si>
  <si>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</si>
  <si>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</si>
  <si>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</si>
  <si>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</si>
  <si>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</si>
  <si>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</si>
  <si>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</si>
  <si>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</si>
  <si>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</si>
  <si>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</si>
  <si>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</si>
  <si>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</si>
  <si>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</si>
  <si>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</si>
  <si>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</si>
  <si>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</si>
  <si>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</si>
  <si>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</si>
  <si>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</si>
  <si>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</si>
  <si>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</si>
  <si>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</si>
  <si>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</si>
  <si>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</si>
  <si>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</si>
  <si>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</si>
  <si>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</si>
  <si>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</si>
  <si>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</si>
  <si>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</si>
  <si>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</si>
  <si>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</si>
  <si>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</si>
  <si>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</si>
  <si>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</si>
  <si>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</si>
  <si>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</si>
  <si>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</si>
  <si>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</si>
  <si>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</si>
  <si>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</si>
  <si>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</si>
  <si>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</si>
  <si>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</si>
  <si>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</si>
  <si>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</si>
  <si>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</si>
  <si>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</si>
  <si>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</si>
  <si>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</si>
  <si>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</si>
  <si>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</si>
  <si>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</si>
  <si>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</si>
  <si>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</si>
  <si>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</si>
  <si>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</si>
  <si>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</si>
  <si>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</si>
  <si>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</si>
  <si>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</si>
  <si>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</si>
  <si>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</si>
  <si>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</si>
  <si>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</si>
  <si>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</si>
  <si>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</si>
  <si>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</si>
  <si>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</si>
  <si>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</si>
  <si>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</si>
  <si>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</si>
  <si>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</si>
  <si>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</si>
  <si>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</si>
  <si>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</si>
  <si>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</si>
  <si>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</si>
  <si>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</si>
  <si>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</si>
  <si>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</si>
  <si>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</si>
  <si>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</si>
  <si>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</si>
  <si>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</si>
  <si>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</si>
  <si>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</si>
  <si>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</si>
  <si>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</si>
  <si>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</si>
  <si>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</si>
  <si>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</si>
  <si>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</si>
  <si>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</si>
  <si>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</si>
  <si>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</si>
  <si>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</si>
  <si>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</si>
  <si>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</si>
  <si>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</si>
  <si>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</si>
  <si>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</si>
  <si>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</si>
  <si>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</si>
  <si>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</si>
  <si>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</si>
  <si>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</si>
  <si>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</si>
  <si>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</si>
  <si>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</si>
  <si>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</si>
  <si>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</si>
  <si>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</si>
  <si>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</si>
  <si>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</si>
  <si>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</si>
  <si>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</si>
  <si>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</si>
  <si>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</si>
  <si>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</si>
  <si>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</si>
  <si>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</si>
  <si>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</si>
  <si>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</si>
  <si>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</si>
  <si>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</si>
  <si>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</si>
  <si>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</si>
  <si>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</si>
  <si>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</si>
  <si>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</si>
  <si>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</si>
  <si>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</si>
  <si>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</si>
  <si>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</si>
  <si>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</si>
  <si>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</si>
  <si>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</si>
  <si>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</si>
  <si>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</si>
  <si>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</si>
  <si>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</si>
  <si>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</si>
  <si>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</si>
  <si>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</si>
  <si>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</si>
  <si>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</si>
  <si>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</si>
  <si>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</si>
  <si>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</si>
  <si>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</si>
  <si>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</si>
  <si>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</si>
  <si>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</si>
  <si>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</si>
  <si>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</si>
  <si>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</si>
  <si>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</si>
  <si>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</si>
  <si>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</si>
  <si>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</si>
  <si>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</si>
  <si>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</si>
  <si>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</si>
  <si>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</si>
  <si>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</si>
  <si>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</si>
  <si>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</si>
  <si>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</si>
  <si>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</si>
  <si>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</si>
  <si>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</si>
  <si>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</si>
  <si>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</si>
  <si>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</si>
  <si>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</si>
  <si>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</si>
  <si>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</si>
  <si>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</si>
  <si>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</si>
  <si>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</si>
  <si>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</si>
  <si>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</si>
  <si>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</si>
  <si>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</si>
  <si>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</si>
  <si>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</si>
  <si>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</si>
  <si>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</si>
  <si>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</si>
  <si>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</si>
  <si>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</si>
  <si>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</si>
  <si>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</si>
  <si>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</si>
  <si>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</si>
  <si>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</si>
  <si>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</si>
  <si>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</si>
  <si>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</si>
  <si>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</si>
  <si>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</si>
  <si>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</si>
  <si>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</si>
  <si>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</si>
  <si>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</si>
  <si>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</si>
  <si>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</si>
  <si>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</si>
  <si>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</si>
  <si>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</si>
  <si>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</si>
  <si>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</si>
  <si>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</si>
  <si>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</si>
  <si>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</si>
  <si>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</si>
  <si>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</si>
  <si>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</si>
  <si>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</si>
  <si>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</si>
  <si>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</si>
  <si>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</si>
  <si>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</si>
  <si>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</si>
  <si>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</si>
  <si>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</si>
  <si>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</si>
  <si>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</si>
  <si>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</si>
  <si>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</si>
  <si>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</si>
  <si>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</si>
  <si>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</si>
  <si>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</si>
  <si>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</si>
  <si>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</si>
  <si>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</si>
  <si>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</si>
  <si>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</si>
  <si>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</si>
  <si>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</si>
  <si>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</si>
  <si>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</si>
  <si>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</si>
  <si>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</si>
  <si>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</si>
  <si>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</si>
  <si>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</si>
  <si>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</si>
  <si>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</si>
  <si>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</si>
  <si>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</si>
  <si>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</si>
  <si>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</si>
  <si>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</si>
  <si>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</si>
  <si>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</si>
  <si>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</si>
  <si>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</si>
  <si>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</si>
  <si>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</si>
  <si>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</si>
  <si>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</si>
  <si>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</si>
  <si>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</si>
  <si>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</si>
  <si>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</si>
  <si>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</si>
  <si>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</si>
  <si>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</si>
  <si>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</si>
  <si>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</si>
  <si>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</si>
  <si>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</si>
  <si>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</si>
  <si>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</si>
  <si>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</si>
  <si>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</si>
  <si>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</si>
  <si>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</si>
  <si>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</si>
  <si>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</si>
  <si>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</si>
  <si>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</si>
  <si>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</si>
  <si>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</si>
  <si>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</si>
  <si>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</si>
  <si>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</si>
  <si>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</si>
  <si>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</si>
  <si>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</si>
  <si>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</si>
  <si>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</si>
  <si>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</si>
  <si>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</si>
  <si>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</si>
  <si>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</si>
  <si>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</si>
  <si>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</si>
  <si>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</si>
  <si>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</si>
  <si>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</si>
  <si>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</si>
  <si>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</si>
  <si>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</si>
  <si>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</si>
  <si>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</si>
  <si>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</si>
  <si>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</si>
  <si>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</si>
  <si>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</si>
  <si>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</si>
  <si>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</si>
  <si>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</si>
  <si>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</si>
  <si>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</si>
  <si>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</si>
  <si>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</si>
  <si>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</si>
  <si>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</si>
  <si>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</si>
  <si>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</si>
  <si>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</si>
  <si>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</si>
  <si>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</si>
  <si>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</si>
  <si>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</si>
  <si>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</si>
  <si>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</si>
  <si>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</si>
  <si>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</si>
  <si>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</si>
  <si>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</si>
  <si>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</si>
  <si>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</si>
  <si>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</si>
  <si>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</si>
  <si>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</si>
  <si>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</si>
  <si>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</si>
  <si>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</si>
  <si>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</si>
  <si>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</si>
  <si>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</si>
  <si>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</si>
  <si>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</si>
  <si>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</si>
  <si>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</si>
  <si>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</si>
  <si>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</si>
  <si>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</si>
  <si>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</si>
  <si>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</si>
  <si>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</si>
  <si>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</si>
  <si>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</si>
  <si>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</si>
  <si>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</si>
  <si>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</si>
  <si>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</si>
  <si>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</si>
  <si>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</si>
  <si>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</si>
  <si>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</si>
  <si>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</si>
  <si>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</si>
  <si>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</si>
  <si>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</si>
  <si>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</si>
  <si>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</si>
  <si>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</si>
  <si>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</si>
  <si>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</si>
  <si>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</si>
  <si>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</si>
  <si>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</si>
  <si>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</si>
  <si>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</si>
  <si>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</si>
  <si>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</si>
  <si>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</si>
  <si>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</si>
  <si>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</si>
  <si>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</si>
  <si>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</si>
  <si>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</si>
  <si>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</si>
  <si>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</si>
  <si>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</si>
  <si>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</si>
  <si>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</si>
  <si>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</si>
  <si>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</si>
  <si>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</si>
  <si>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</si>
  <si>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</si>
  <si>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</si>
  <si>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</si>
  <si>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</si>
  <si>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</si>
  <si>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</si>
  <si>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</si>
  <si>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</si>
  <si>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</si>
  <si>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</si>
  <si>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</si>
  <si>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</si>
  <si>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</si>
  <si>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</si>
  <si>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</si>
  <si>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</si>
  <si>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</si>
  <si>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</si>
  <si>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</si>
  <si>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</si>
  <si>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</si>
  <si>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</si>
  <si>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</si>
  <si>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</si>
  <si>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</si>
  <si>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</si>
  <si>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</si>
  <si>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</si>
  <si>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</si>
  <si>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</si>
  <si>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</si>
  <si>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</si>
  <si>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</si>
  <si>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</si>
  <si>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</si>
  <si>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</si>
  <si>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</si>
  <si>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</si>
  <si>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</si>
  <si>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</si>
  <si>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</si>
  <si>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</si>
  <si>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</si>
  <si>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</si>
  <si>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</si>
  <si>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</si>
  <si>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</si>
  <si>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</si>
  <si>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</si>
  <si>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</si>
  <si>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</si>
  <si>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</si>
  <si>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</si>
  <si>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</si>
  <si>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</si>
  <si>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</si>
  <si>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</si>
  <si>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</si>
  <si>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</si>
  <si>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</si>
  <si>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</si>
  <si>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</si>
  <si>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</si>
  <si>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</si>
  <si>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</si>
  <si>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</si>
  <si>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</si>
  <si>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</si>
  <si>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</si>
  <si>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</si>
  <si>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</si>
  <si>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</si>
  <si>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</si>
  <si>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</si>
  <si>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</si>
  <si>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</si>
  <si>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</si>
  <si>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</si>
  <si>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</si>
  <si>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</si>
  <si>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</si>
  <si>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</si>
  <si>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</si>
  <si>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</si>
  <si>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</si>
  <si>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</si>
  <si>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</si>
  <si>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</si>
  <si>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</si>
  <si>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</si>
  <si>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</si>
  <si>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</si>
  <si>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</si>
  <si>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</si>
  <si>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</si>
  <si>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</si>
  <si>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</si>
  <si>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</si>
  <si>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</si>
  <si>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</si>
  <si>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</si>
  <si>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</si>
  <si>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</si>
  <si>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</si>
  <si>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</si>
  <si>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</si>
  <si>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</si>
  <si>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</si>
  <si>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</si>
  <si>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</si>
  <si>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</si>
  <si>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</si>
  <si>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</si>
  <si>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</si>
  <si>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</si>
  <si>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</si>
  <si>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</si>
  <si>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</si>
  <si>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</si>
  <si>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</si>
  <si>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</si>
  <si>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</si>
  <si>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</si>
  <si>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</si>
  <si>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</si>
  <si>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</si>
  <si>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</si>
  <si>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</si>
  <si>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</si>
  <si>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</si>
  <si>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</si>
  <si>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</si>
  <si>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</si>
  <si>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</si>
  <si>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</si>
  <si>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</si>
  <si>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</si>
  <si>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</si>
  <si>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</si>
  <si>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</si>
  <si>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</si>
  <si>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</si>
  <si>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</si>
  <si>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</si>
  <si>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</si>
  <si>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</si>
  <si>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</si>
  <si>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</si>
  <si>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</si>
  <si>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</si>
  <si>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</si>
  <si>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</si>
  <si>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</si>
  <si>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</si>
  <si>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</si>
  <si>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</si>
  <si>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</si>
  <si>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</si>
  <si>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</si>
  <si>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</si>
  <si>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</si>
  <si>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</si>
  <si>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</si>
  <si>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</si>
  <si>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</si>
  <si>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</si>
  <si>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</si>
  <si>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</si>
  <si>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</si>
  <si>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</si>
  <si>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</si>
  <si>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</si>
  <si>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</si>
  <si>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</si>
  <si>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</si>
  <si>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</si>
  <si>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</si>
  <si>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</si>
  <si>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</si>
  <si>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</si>
  <si>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</si>
  <si>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</si>
  <si>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</si>
  <si>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</si>
  <si>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</si>
  <si>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</si>
  <si>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</si>
  <si>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</si>
  <si>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</si>
  <si>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</si>
  <si>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</si>
  <si>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</si>
  <si>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</si>
  <si>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</si>
  <si>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</si>
  <si>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</si>
  <si>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</si>
  <si>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</si>
  <si>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</si>
  <si>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</si>
  <si>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</si>
  <si>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</si>
  <si>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</si>
  <si>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</si>
  <si>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</si>
  <si>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</si>
  <si>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</si>
  <si>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</si>
  <si>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</si>
  <si>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</si>
  <si>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</si>
  <si>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</si>
  <si>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</si>
  <si>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</si>
  <si>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</si>
  <si>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</si>
  <si>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</si>
  <si>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</si>
  <si>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</si>
  <si>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</si>
  <si>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</si>
  <si>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</si>
  <si>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</si>
  <si>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</si>
  <si>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</si>
  <si>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</si>
  <si>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</si>
  <si>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</si>
  <si>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</si>
  <si>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</si>
  <si>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</si>
  <si>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</si>
  <si>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</si>
  <si>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</si>
  <si>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</si>
  <si>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</si>
  <si>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</si>
  <si>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</si>
  <si>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</si>
  <si>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</si>
  <si>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</si>
  <si>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</si>
  <si>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</si>
  <si>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</si>
  <si>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</si>
  <si>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</si>
  <si>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</si>
  <si>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</si>
  <si>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</si>
  <si>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</si>
  <si>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</si>
  <si>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</si>
  <si>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</si>
  <si>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</si>
  <si>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</si>
  <si>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</si>
  <si>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</si>
  <si>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</si>
  <si>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</si>
  <si>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</si>
  <si>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</si>
  <si>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</si>
  <si>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</si>
  <si>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</si>
  <si>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</si>
  <si>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</si>
  <si>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</si>
  <si>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</si>
  <si>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</si>
  <si>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</si>
  <si>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</si>
  <si>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</si>
  <si>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</si>
  <si>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</si>
  <si>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</si>
  <si>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</si>
  <si>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</si>
  <si>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</si>
  <si>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</si>
  <si>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</si>
  <si>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</si>
  <si>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</si>
  <si>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</si>
  <si>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</si>
  <si>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</si>
  <si>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</si>
  <si>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</si>
  <si>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</si>
  <si>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</si>
  <si>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</si>
  <si>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</si>
  <si>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</si>
  <si>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</si>
  <si>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</si>
  <si>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</si>
  <si>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</si>
  <si>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</si>
  <si>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</si>
  <si>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</si>
  <si>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</si>
  <si>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</si>
  <si>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</si>
  <si>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</si>
  <si>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</si>
  <si>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</si>
  <si>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</si>
  <si>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</si>
  <si>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</si>
  <si>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</si>
  <si>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</si>
  <si>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</si>
  <si>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</si>
  <si>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</si>
  <si>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</si>
  <si>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</si>
  <si>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</si>
  <si>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</si>
  <si>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</si>
  <si>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</si>
  <si>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</si>
  <si>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</si>
  <si>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</si>
  <si>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</si>
  <si>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</si>
  <si>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</si>
  <si>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</si>
  <si>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</si>
  <si>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</si>
  <si>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</si>
  <si>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</si>
  <si>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</si>
  <si>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</si>
  <si>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</si>
  <si>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</si>
  <si>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</si>
  <si>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</si>
  <si>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</si>
  <si>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</si>
  <si>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</si>
  <si>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</si>
  <si>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</si>
  <si>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</si>
  <si>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</si>
  <si>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</si>
  <si>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</si>
  <si>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</si>
  <si>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</si>
  <si>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</si>
  <si>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</si>
  <si>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</si>
  <si>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</si>
  <si>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</si>
  <si>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</si>
  <si>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</si>
  <si>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</si>
  <si>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</si>
  <si>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</si>
  <si>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</si>
  <si>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</si>
  <si>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</si>
  <si>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</si>
  <si>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</si>
  <si>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</si>
  <si>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</si>
  <si>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</si>
  <si>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</si>
  <si>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</si>
  <si>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</si>
  <si>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</si>
  <si>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</si>
  <si>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</si>
  <si>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</si>
  <si>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</si>
  <si>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</si>
  <si>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</si>
  <si>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</si>
  <si>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</si>
  <si>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</si>
  <si>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</si>
  <si>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</si>
  <si>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</si>
  <si>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</si>
  <si>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</si>
  <si>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</si>
  <si>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</si>
  <si>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</si>
  <si>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</si>
  <si>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</si>
  <si>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</si>
  <si>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</si>
  <si>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</si>
  <si>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</si>
  <si>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</si>
  <si>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</si>
  <si>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</si>
  <si>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</si>
  <si>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</si>
  <si>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</si>
  <si>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</si>
  <si>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</si>
  <si>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</si>
  <si>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</si>
  <si>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</si>
  <si>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</si>
  <si>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</si>
  <si>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</si>
  <si>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</si>
  <si>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</si>
  <si>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</si>
  <si>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</si>
  <si>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</si>
  <si>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</si>
  <si>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</si>
  <si>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</si>
  <si>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</si>
  <si>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</si>
  <si>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</si>
  <si>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</si>
  <si>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</si>
  <si>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</si>
  <si>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</si>
  <si>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</si>
  <si>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</si>
  <si>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</si>
  <si>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</si>
  <si>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</si>
  <si>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</si>
  <si>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</si>
  <si>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</si>
  <si>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</si>
  <si>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</si>
  <si>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</si>
  <si>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</si>
  <si>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</si>
  <si>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</si>
  <si>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</si>
  <si>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</si>
  <si>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</si>
  <si>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</si>
  <si>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</si>
  <si>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</si>
  <si>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</si>
  <si>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</si>
  <si>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</si>
  <si>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</si>
  <si>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</si>
  <si>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</si>
  <si>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</si>
  <si>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</si>
  <si>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</si>
  <si>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</si>
  <si>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</si>
  <si>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</si>
  <si>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</si>
  <si>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</si>
  <si>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</si>
  <si>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</si>
  <si>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</si>
  <si>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</si>
  <si>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</si>
  <si>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</si>
  <si>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</si>
  <si>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</si>
  <si>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</si>
  <si>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</si>
  <si>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</si>
  <si>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</si>
  <si>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</si>
  <si>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</si>
  <si>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</si>
  <si>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</si>
  <si>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</si>
  <si>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</si>
  <si>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</si>
  <si>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</si>
  <si>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</si>
  <si>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</si>
  <si>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</si>
  <si>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</si>
  <si>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</si>
  <si>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</si>
  <si>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</si>
  <si>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</si>
  <si>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</si>
  <si>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</si>
  <si>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</si>
  <si>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</si>
  <si>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</si>
  <si>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</si>
  <si>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</si>
  <si>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</si>
  <si>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</si>
  <si>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</si>
  <si>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</si>
  <si>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</si>
  <si>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</si>
  <si>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</si>
  <si>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</si>
  <si>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</si>
  <si>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</si>
  <si>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</si>
  <si>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</si>
  <si>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</si>
  <si>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</si>
  <si>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</si>
  <si>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</si>
  <si>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</si>
  <si>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</si>
  <si>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</si>
  <si>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</si>
  <si>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</si>
  <si>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</si>
  <si>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</si>
  <si>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</si>
  <si>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</si>
  <si>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</si>
  <si>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</si>
  <si>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</si>
  <si>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</si>
  <si>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</si>
  <si>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</si>
  <si>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</si>
  <si>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</si>
  <si>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</si>
  <si>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</si>
  <si>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</si>
  <si>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</si>
  <si>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</si>
  <si>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</si>
  <si>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</si>
  <si>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</si>
  <si>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</si>
  <si>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</si>
  <si>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</si>
  <si>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</si>
  <si>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</si>
  <si>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</si>
  <si>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</si>
  <si>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</si>
  <si>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</si>
  <si>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</si>
  <si>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</si>
  <si>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</si>
  <si>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</si>
  <si>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</si>
  <si>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</si>
  <si>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</si>
  <si>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</si>
  <si>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</si>
  <si>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</si>
  <si>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</si>
  <si>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</si>
  <si>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</si>
  <si>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</si>
  <si>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</si>
  <si>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</si>
  <si>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</si>
  <si>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</si>
  <si>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</si>
  <si>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</si>
  <si>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</si>
  <si>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</si>
  <si>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</si>
  <si>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</si>
  <si>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</si>
  <si>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</si>
  <si>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</si>
  <si>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</si>
  <si>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</si>
  <si>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</si>
  <si>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</si>
  <si>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</si>
  <si>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</si>
  <si>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</si>
  <si>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</si>
  <si>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</si>
  <si>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</si>
  <si>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</si>
  <si>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</si>
  <si>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</si>
  <si>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</si>
  <si>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</si>
  <si>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</si>
  <si>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</si>
  <si>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</si>
  <si>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</si>
  <si>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</si>
  <si>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</si>
  <si>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</si>
  <si>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</si>
  <si>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</si>
  <si>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</si>
  <si>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</si>
  <si>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</si>
  <si>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</si>
  <si>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</si>
  <si>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</si>
  <si>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</si>
  <si>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</si>
  <si>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</si>
  <si>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</si>
  <si>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</si>
  <si>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</si>
  <si>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</si>
  <si>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</si>
  <si>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</si>
  <si>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</si>
  <si>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</si>
  <si>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</si>
  <si>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</si>
  <si>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</si>
  <si>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</si>
  <si>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</si>
  <si>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</si>
  <si>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</si>
  <si>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</si>
  <si>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</si>
  <si>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</si>
  <si>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</si>
  <si>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</si>
  <si>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</si>
  <si>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</si>
  <si>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</si>
  <si>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</si>
  <si>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</si>
  <si>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</si>
  <si>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</si>
  <si>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</si>
  <si>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</si>
  <si>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</si>
  <si>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</si>
  <si>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</si>
  <si>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</si>
  <si>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</si>
  <si>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</si>
  <si>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</si>
  <si>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</si>
  <si>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</si>
  <si>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</si>
  <si>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</si>
  <si>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</si>
  <si>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</si>
  <si>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</si>
  <si>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</si>
  <si>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</si>
  <si>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</si>
  <si>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</si>
  <si>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</si>
  <si>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</si>
  <si>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</si>
  <si>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</si>
  <si>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</si>
  <si>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</si>
  <si>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</si>
  <si>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</si>
  <si>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</si>
  <si>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</si>
  <si>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</si>
  <si>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</si>
  <si>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</si>
  <si>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</si>
  <si>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</si>
  <si>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</si>
  <si>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</si>
  <si>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</si>
  <si>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</si>
  <si>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</si>
  <si>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</si>
  <si>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</si>
  <si>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</si>
  <si>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</si>
  <si>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</si>
  <si>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</si>
  <si>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</si>
  <si>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</si>
  <si>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</si>
  <si>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</si>
  <si>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</si>
  <si>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</si>
  <si>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</si>
  <si>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</si>
  <si>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</si>
  <si>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</si>
  <si>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</si>
  <si>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</si>
  <si>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</si>
  <si>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</si>
  <si>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</si>
  <si>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</si>
  <si>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</si>
  <si>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</si>
  <si>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</si>
  <si>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</si>
  <si>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</si>
  <si>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</si>
  <si>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</si>
  <si>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</si>
  <si>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</si>
  <si>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</si>
  <si>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</si>
  <si>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</si>
  <si>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</si>
  <si>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</si>
  <si>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</si>
  <si>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</si>
  <si>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</si>
  <si>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</si>
  <si>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</si>
  <si>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</si>
  <si>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</si>
  <si>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</si>
  <si>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</si>
  <si>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</si>
  <si>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</si>
  <si>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</si>
  <si>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</si>
  <si>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</si>
  <si>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</si>
  <si>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</si>
  <si>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</si>
  <si>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</si>
  <si>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</si>
  <si>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</si>
  <si>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</si>
  <si>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</si>
  <si>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</si>
  <si>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</si>
  <si>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</si>
  <si>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</si>
  <si>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</si>
  <si>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</si>
  <si>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</si>
  <si>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</si>
  <si>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</si>
  <si>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</si>
  <si>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</si>
  <si>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</si>
  <si>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</si>
  <si>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</si>
  <si>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</si>
  <si>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</si>
  <si>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</si>
  <si>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</si>
  <si>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</si>
  <si>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</si>
  <si>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</si>
  <si>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</si>
  <si>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</si>
  <si>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</si>
  <si>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</si>
  <si>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</si>
  <si>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</si>
  <si>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</si>
  <si>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</si>
  <si>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</si>
  <si>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</si>
  <si>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</si>
  <si>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</si>
  <si>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</si>
  <si>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</si>
  <si>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</si>
  <si>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</si>
  <si>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</si>
  <si>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</si>
  <si>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</si>
  <si>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</si>
  <si>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</si>
  <si>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</si>
  <si>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</si>
  <si>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</si>
  <si>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</si>
  <si>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</si>
  <si>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</si>
  <si>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</si>
  <si>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</si>
  <si>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</si>
  <si>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</si>
  <si>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</si>
  <si>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</si>
  <si>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</si>
  <si>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</si>
  <si>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</si>
  <si>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</si>
  <si>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</si>
  <si>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</si>
  <si>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</si>
  <si>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</si>
  <si>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</si>
  <si>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</si>
  <si>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</si>
  <si>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</si>
  <si>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</si>
  <si>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</si>
  <si>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</si>
  <si>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</si>
  <si>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</si>
  <si>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</si>
  <si>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</si>
  <si>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</si>
  <si>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</si>
  <si>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</si>
  <si>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</si>
  <si>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</si>
  <si>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</si>
  <si>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</si>
  <si>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</si>
  <si>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</si>
  <si>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</si>
  <si>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</si>
  <si>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</si>
  <si>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</si>
  <si>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</si>
  <si>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</si>
  <si>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</si>
  <si>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</si>
  <si>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</si>
  <si>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</si>
  <si>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</si>
  <si>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</si>
  <si>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</si>
  <si>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</si>
  <si>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</si>
  <si>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</si>
  <si>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</si>
  <si>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</si>
  <si>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</si>
  <si>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</si>
  <si>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</si>
  <si>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</si>
  <si>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</si>
  <si>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</si>
  <si>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</si>
  <si>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</si>
  <si>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</si>
  <si>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</si>
  <si>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</si>
  <si>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</si>
  <si>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</si>
  <si>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</si>
  <si>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</si>
  <si>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</si>
  <si>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</si>
  <si>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</si>
  <si>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</si>
  <si>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</si>
  <si>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</si>
  <si>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</si>
  <si>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</si>
  <si>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</si>
  <si>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</si>
  <si>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</si>
  <si>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</si>
  <si>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</si>
  <si>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</si>
  <si>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</si>
  <si>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</si>
  <si>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</si>
  <si>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</si>
  <si>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</si>
  <si>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</si>
  <si>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</si>
  <si>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</si>
  <si>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</si>
  <si>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</si>
  <si>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</si>
  <si>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</si>
  <si>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</si>
  <si>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</si>
  <si>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</si>
  <si>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</si>
  <si>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</si>
  <si>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</si>
  <si>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</si>
  <si>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</si>
  <si>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</si>
  <si>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</si>
  <si>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</si>
  <si>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</si>
  <si>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</si>
  <si>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</si>
  <si>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</si>
  <si>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</si>
  <si>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</si>
  <si>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</si>
  <si>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</si>
  <si>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</si>
  <si>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</si>
  <si>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</si>
  <si>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</si>
  <si>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</si>
  <si>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</si>
  <si>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</si>
  <si>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</si>
  <si>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</si>
  <si>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</si>
  <si>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</si>
  <si>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</si>
  <si>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</si>
  <si>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</si>
  <si>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</si>
  <si>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</si>
  <si>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</si>
  <si>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</si>
  <si>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</si>
  <si>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</si>
  <si>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</si>
  <si>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</si>
  <si>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</si>
  <si>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</si>
  <si>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</si>
  <si>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</si>
  <si>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</si>
  <si>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</si>
  <si>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</si>
  <si>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</si>
  <si>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</si>
  <si>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</si>
  <si>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</si>
  <si>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</si>
  <si>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</si>
  <si>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</si>
  <si>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</si>
  <si>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</si>
  <si>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</si>
  <si>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</si>
  <si>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</si>
  <si>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</si>
  <si>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</si>
  <si>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</si>
  <si>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</si>
  <si>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</si>
  <si>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</si>
  <si>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</si>
  <si>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</si>
  <si>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</si>
  <si>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</si>
  <si>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</si>
  <si>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</si>
  <si>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</si>
  <si>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</si>
  <si>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</si>
  <si>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</si>
  <si>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</si>
  <si>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</si>
  <si>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</si>
  <si>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</si>
  <si>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</si>
  <si>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</si>
  <si>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</si>
  <si>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</si>
  <si>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</si>
  <si>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</si>
  <si>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</si>
  <si>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</si>
  <si>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</si>
  <si>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</si>
  <si>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</si>
  <si>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</si>
  <si>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</si>
  <si>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</si>
  <si>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</si>
  <si>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</si>
  <si>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</si>
  <si>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</si>
  <si>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</si>
  <si>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</si>
  <si>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</si>
  <si>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</si>
  <si>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</si>
  <si>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</si>
  <si>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</si>
  <si>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</si>
  <si>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</si>
  <si>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</si>
  <si>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</si>
  <si>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</si>
  <si>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</si>
  <si>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</si>
  <si>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</si>
  <si>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</si>
  <si>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</si>
  <si>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</si>
  <si>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</si>
  <si>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</si>
  <si>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</si>
  <si>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</si>
  <si>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</si>
  <si>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</si>
  <si>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</si>
  <si>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</si>
  <si>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</si>
  <si>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</si>
  <si>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</si>
  <si>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</si>
  <si>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</si>
  <si>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</si>
  <si>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</si>
  <si>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</si>
  <si>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</si>
  <si>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</si>
  <si>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</si>
  <si>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</si>
  <si>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</si>
  <si>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</si>
  <si>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</si>
  <si>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</si>
  <si>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</si>
  <si>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</si>
  <si>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</si>
  <si>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</si>
  <si>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</si>
  <si>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</si>
  <si>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</si>
  <si>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</si>
  <si>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</si>
  <si>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</si>
  <si>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</si>
  <si>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</si>
  <si>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</si>
  <si>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</si>
  <si>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</si>
  <si>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</si>
  <si>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</si>
  <si>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</si>
  <si>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</si>
  <si>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</si>
  <si>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</si>
  <si>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</si>
  <si>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</si>
  <si>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</si>
  <si>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</si>
  <si>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</si>
  <si>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</si>
  <si>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</si>
  <si>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</si>
  <si>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</si>
  <si>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</si>
  <si>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</si>
  <si>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</si>
  <si>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</si>
  <si>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</si>
  <si>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</si>
  <si>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</si>
  <si>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</si>
  <si>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</si>
  <si>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</si>
  <si>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</si>
  <si>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</si>
  <si>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</si>
  <si>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</si>
  <si>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</si>
  <si>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</si>
  <si>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</si>
  <si>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</si>
  <si>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</si>
  <si>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</si>
  <si>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</si>
  <si>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</si>
  <si>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</si>
  <si>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</si>
  <si>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</si>
  <si>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</si>
  <si>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</si>
  <si>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</si>
  <si>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</si>
  <si>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</si>
  <si>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</si>
  <si>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</si>
  <si>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</si>
  <si>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</si>
  <si>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</si>
  <si>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</si>
  <si>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</si>
  <si>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</si>
  <si>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</si>
  <si>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</si>
  <si>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</si>
  <si>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</si>
  <si>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</si>
  <si>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</si>
  <si>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</si>
  <si>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</si>
  <si>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</si>
  <si>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</si>
  <si>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</si>
  <si>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</si>
  <si>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</si>
  <si>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</si>
  <si>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</si>
  <si>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</si>
  <si>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</si>
  <si>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</si>
  <si>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</si>
  <si>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</si>
  <si>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</si>
  <si>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</si>
  <si>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</si>
  <si>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</si>
  <si>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</si>
  <si>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</si>
  <si>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</si>
  <si>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</si>
  <si>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</si>
  <si>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</si>
  <si>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</si>
  <si>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</si>
  <si>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</si>
  <si>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</si>
  <si>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</si>
  <si>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</si>
  <si>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</si>
  <si>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</si>
  <si>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</si>
  <si>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</si>
  <si>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</si>
  <si>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</si>
  <si>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</si>
  <si>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</si>
  <si>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</si>
  <si>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</si>
  <si>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</si>
  <si>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</si>
  <si>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</si>
  <si>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</si>
  <si>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</si>
  <si>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</si>
  <si>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</si>
  <si>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</si>
  <si>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</si>
  <si>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</si>
  <si>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</si>
  <si>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</si>
  <si>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</si>
  <si>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</si>
  <si>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</si>
  <si>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</si>
  <si>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</si>
  <si>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</si>
  <si>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</si>
  <si>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</si>
  <si>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</si>
  <si>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</si>
  <si>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</si>
  <si>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</si>
  <si>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</si>
  <si>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</si>
  <si>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</si>
  <si>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</si>
  <si>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</si>
  <si>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</si>
  <si>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</si>
  <si>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</si>
  <si>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</si>
  <si>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</si>
  <si>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</si>
  <si>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</si>
  <si>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</si>
  <si>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</si>
  <si>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</si>
  <si>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</si>
  <si>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</si>
  <si>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</si>
  <si>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</si>
  <si>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</si>
  <si>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</si>
  <si>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</si>
  <si>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</si>
  <si>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</si>
  <si>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</si>
  <si>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</si>
  <si>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</si>
  <si>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</si>
  <si>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</si>
  <si>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</si>
  <si>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</si>
  <si>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</si>
  <si>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</si>
  <si>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</si>
  <si>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</si>
  <si>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</si>
  <si>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</si>
  <si>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</si>
  <si>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</si>
  <si>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</si>
  <si>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</si>
  <si>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</si>
  <si>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</si>
  <si>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</si>
  <si>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</si>
  <si>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</si>
  <si>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</si>
  <si>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</si>
  <si>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</si>
  <si>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</si>
  <si>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</si>
  <si>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</si>
  <si>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</si>
  <si>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</si>
  <si>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</si>
  <si>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</si>
  <si>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</si>
  <si>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</si>
  <si>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</si>
  <si>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</si>
  <si>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</si>
  <si>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</si>
  <si>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</si>
  <si>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</si>
  <si>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</si>
  <si>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</si>
  <si>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</si>
  <si>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</si>
  <si>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</si>
  <si>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</si>
  <si>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</si>
  <si>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</si>
  <si>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</si>
  <si>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</si>
  <si>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</si>
  <si>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</si>
  <si>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</si>
  <si>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</si>
  <si>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</si>
  <si>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</si>
  <si>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</si>
  <si>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</si>
  <si>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</si>
  <si>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</si>
  <si>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</si>
  <si>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</si>
  <si>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</si>
  <si>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</si>
  <si>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</si>
  <si>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</si>
  <si>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</si>
  <si>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</si>
  <si>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</si>
  <si>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</si>
  <si>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</si>
  <si>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</si>
  <si>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</si>
  <si>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</si>
  <si>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</si>
  <si>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</si>
  <si>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</si>
  <si>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</si>
  <si>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</si>
  <si>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</si>
  <si>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</si>
  <si>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</si>
  <si>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</si>
  <si>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</si>
  <si>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</si>
  <si>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</si>
  <si>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</si>
  <si>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</si>
  <si>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</si>
  <si>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</si>
  <si>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</si>
  <si>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</si>
  <si>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</si>
  <si>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</si>
  <si>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</si>
  <si>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</si>
  <si>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</si>
  <si>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</si>
  <si>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</si>
  <si>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</si>
  <si>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</si>
  <si>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</si>
  <si>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</si>
  <si>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</si>
  <si>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</si>
  <si>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</si>
  <si>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</si>
  <si>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</si>
  <si>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</si>
  <si>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</si>
  <si>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</si>
  <si>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</si>
  <si>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</si>
  <si>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</si>
  <si>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</si>
  <si>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</si>
  <si>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</si>
  <si>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</si>
  <si>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</si>
  <si>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</si>
  <si>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</si>
  <si>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</si>
  <si>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</si>
  <si>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</si>
  <si>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</si>
  <si>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</si>
  <si>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</si>
  <si>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</si>
  <si>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</si>
  <si>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</si>
  <si>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</si>
  <si>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</si>
  <si>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</si>
  <si>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</si>
  <si>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</si>
  <si>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</si>
  <si>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</si>
  <si>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</si>
  <si>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</si>
  <si>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</si>
  <si>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</si>
  <si>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</si>
  <si>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</si>
  <si>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</si>
  <si>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</si>
  <si>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</si>
  <si>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</si>
  <si>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</si>
  <si>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</si>
  <si>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</si>
  <si>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</si>
  <si>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</si>
  <si>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</si>
  <si>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</si>
  <si>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</si>
  <si>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</si>
  <si>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</si>
  <si>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</si>
  <si>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</si>
  <si>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</si>
  <si>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</si>
  <si>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</si>
  <si>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</si>
  <si>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</si>
  <si>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</si>
  <si>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</si>
  <si>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</si>
  <si>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</si>
  <si>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</si>
  <si>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</si>
  <si>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</si>
  <si>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</si>
  <si>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</si>
  <si>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</si>
  <si>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</si>
  <si>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</si>
  <si>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</si>
  <si>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</si>
  <si>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</si>
  <si>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</si>
  <si>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</si>
  <si>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</si>
  <si>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</si>
  <si>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</si>
  <si>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</si>
  <si>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</si>
  <si>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</si>
  <si>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</si>
  <si>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</si>
  <si>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</si>
  <si>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</si>
  <si>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</si>
  <si>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</si>
  <si>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</si>
  <si>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</si>
  <si>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</si>
  <si>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</si>
  <si>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</si>
  <si>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</si>
  <si>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</si>
  <si>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</si>
  <si>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</si>
  <si>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</si>
  <si>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</si>
  <si>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</si>
  <si>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</si>
  <si>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</si>
  <si>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</si>
  <si>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</si>
  <si>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</si>
  <si>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</si>
  <si>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</si>
  <si>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</si>
  <si>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</si>
  <si>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</si>
  <si>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</si>
  <si>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</si>
  <si>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</si>
  <si>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</si>
  <si>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</si>
  <si>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</si>
  <si>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</si>
  <si>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</si>
  <si>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</si>
  <si>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</si>
  <si>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</si>
  <si>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</si>
  <si>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</si>
  <si>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</si>
  <si>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</si>
  <si>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</si>
  <si>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</si>
  <si>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</si>
  <si>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</si>
  <si>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</si>
  <si>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</si>
  <si>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</si>
  <si>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</si>
  <si>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</si>
  <si>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</si>
  <si>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</si>
  <si>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</si>
  <si>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</si>
  <si>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</si>
  <si>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</si>
  <si>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</si>
  <si>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</si>
  <si>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</si>
  <si>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</si>
  <si>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</si>
  <si>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</si>
  <si>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</si>
  <si>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</si>
  <si>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</si>
  <si>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</si>
  <si>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</si>
  <si>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</si>
  <si>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</si>
  <si>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</si>
  <si>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</si>
  <si>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</si>
  <si>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</si>
  <si>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</si>
  <si>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</si>
  <si>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</si>
  <si>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</si>
  <si>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</si>
  <si>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</si>
  <si>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</si>
  <si>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</si>
  <si>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</si>
  <si>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</si>
  <si>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</si>
  <si>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</si>
  <si>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</si>
  <si>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</si>
  <si>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</si>
  <si>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</si>
  <si>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</si>
  <si>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</si>
  <si>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</si>
  <si>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</si>
  <si>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</si>
  <si>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</si>
  <si>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</si>
  <si>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</si>
  <si>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</si>
  <si>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</si>
  <si>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</si>
  <si>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</si>
  <si>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</si>
  <si>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</si>
  <si>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</si>
  <si>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</si>
  <si>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</si>
  <si>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</si>
  <si>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</si>
  <si>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</si>
  <si>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</si>
  <si>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</si>
  <si>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</si>
  <si>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</si>
  <si>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</si>
  <si>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</si>
  <si>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</si>
  <si>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</si>
  <si>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</si>
  <si>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</si>
  <si>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</si>
  <si>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</si>
  <si>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</si>
  <si>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</si>
  <si>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</si>
  <si>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</si>
  <si>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</si>
  <si>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</si>
  <si>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</si>
  <si>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</si>
  <si>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</si>
  <si>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</si>
  <si>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</si>
  <si>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</si>
  <si>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</si>
  <si>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</si>
  <si>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</si>
  <si>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</si>
  <si>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</si>
  <si>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</si>
  <si>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</si>
  <si>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</si>
  <si>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</si>
  <si>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</si>
  <si>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</si>
  <si>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</si>
  <si>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</si>
  <si>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</si>
  <si>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</si>
  <si>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</si>
  <si>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</si>
  <si>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</si>
  <si>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</si>
  <si>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</si>
  <si>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</si>
  <si>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</si>
  <si>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</si>
  <si>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</si>
  <si>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</si>
  <si>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</si>
  <si>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</si>
  <si>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</si>
  <si>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</si>
  <si>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</si>
  <si>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</si>
  <si>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</si>
  <si>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</si>
  <si>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</si>
  <si>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</si>
  <si>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</si>
  <si>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</si>
  <si>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</si>
  <si>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</si>
  <si>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</si>
  <si>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</si>
  <si>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</si>
  <si>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</si>
  <si>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</si>
  <si>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</si>
  <si>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</si>
  <si>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</si>
  <si>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</si>
  <si>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</si>
  <si>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</si>
  <si>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</si>
  <si>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</si>
  <si>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</si>
  <si>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</si>
  <si>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</si>
  <si>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</si>
  <si>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</si>
  <si>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</si>
  <si>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</si>
  <si>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</si>
  <si>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</si>
  <si>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</si>
  <si>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</si>
  <si>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</si>
  <si>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</si>
  <si>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</si>
  <si>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</si>
  <si>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</si>
  <si>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</si>
  <si>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</si>
  <si>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</si>
  <si>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</si>
  <si>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</si>
  <si>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</si>
  <si>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</si>
  <si>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</si>
  <si>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</si>
  <si>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</si>
  <si>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</si>
  <si>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</si>
  <si>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</si>
  <si>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</si>
  <si>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</si>
  <si>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</si>
  <si>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</si>
  <si>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</si>
  <si>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</si>
  <si>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</si>
  <si>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</si>
  <si>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</si>
  <si>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</si>
  <si>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</si>
  <si>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</si>
  <si>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</si>
  <si>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</si>
  <si>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</si>
  <si>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</si>
  <si>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</si>
  <si>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</si>
  <si>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</si>
  <si>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</si>
  <si>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</si>
  <si>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</si>
  <si>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</si>
  <si>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</si>
  <si>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</si>
  <si>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</si>
  <si>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</si>
  <si>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</si>
  <si>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</si>
  <si>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</si>
  <si>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</si>
  <si>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</si>
  <si>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</si>
  <si>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</si>
  <si>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</si>
  <si>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</si>
  <si>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</si>
  <si>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</si>
  <si>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</si>
  <si>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</si>
  <si>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</si>
  <si>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</si>
  <si>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</si>
  <si>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</si>
  <si>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</si>
  <si>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</si>
  <si>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</si>
  <si>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</si>
  <si>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</si>
  <si>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</si>
  <si>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</si>
  <si>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</si>
  <si>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</si>
  <si>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</si>
  <si>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</si>
  <si>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</si>
  <si>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</si>
  <si>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</si>
  <si>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</si>
  <si>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</si>
  <si>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</si>
  <si>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</si>
  <si>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</si>
  <si>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</si>
  <si>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</si>
  <si>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</si>
  <si>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</si>
  <si>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</si>
  <si>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</si>
  <si>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</si>
  <si>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</si>
  <si>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</si>
  <si>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</si>
  <si>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</si>
  <si>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</si>
  <si>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</si>
  <si>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</si>
  <si>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</si>
  <si>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</si>
  <si>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</si>
  <si>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</si>
  <si>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</si>
  <si>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</si>
  <si>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</si>
  <si>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</si>
  <si>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</si>
  <si>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</si>
  <si>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</si>
  <si>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</si>
  <si>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</si>
  <si>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</si>
  <si>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</si>
  <si>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</si>
  <si>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</si>
  <si>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</si>
  <si>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</si>
  <si>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</si>
  <si>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</si>
  <si>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</si>
  <si>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</si>
  <si>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</si>
  <si>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</si>
  <si>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</si>
  <si>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</si>
  <si>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</si>
  <si>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</si>
  <si>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</si>
  <si>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</si>
  <si>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</si>
  <si>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</si>
  <si>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</si>
  <si>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</si>
  <si>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</si>
  <si>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</si>
  <si>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</si>
  <si>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</si>
  <si>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</si>
  <si>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</si>
  <si>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</si>
  <si>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</si>
  <si>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</si>
  <si>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</si>
  <si>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</si>
  <si>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</si>
  <si>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</si>
  <si>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</si>
  <si>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</si>
  <si>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</si>
  <si>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</si>
  <si>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</si>
  <si>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</si>
  <si>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</si>
  <si>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</si>
  <si>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</si>
  <si>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</si>
  <si>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</si>
  <si>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</si>
  <si>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</si>
  <si>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</si>
  <si>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</si>
  <si>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</si>
  <si>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</si>
  <si>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</si>
  <si>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</si>
  <si>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</si>
  <si>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</si>
  <si>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</si>
  <si>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</si>
  <si>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</si>
  <si>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</si>
  <si>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</si>
  <si>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</si>
  <si>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</si>
  <si>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</si>
  <si>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</si>
  <si>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</si>
  <si>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</si>
  <si>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</si>
  <si>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</si>
  <si>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</si>
  <si>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</si>
  <si>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</si>
  <si>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</si>
  <si>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</si>
  <si>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</si>
  <si>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</si>
  <si>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</si>
  <si>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</si>
  <si>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</si>
  <si>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</si>
  <si>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</si>
  <si>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</si>
  <si>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</si>
  <si>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</si>
  <si>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</si>
  <si>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</si>
  <si>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</si>
  <si>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</si>
  <si>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</si>
  <si>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</si>
  <si>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</si>
  <si>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</si>
  <si>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</si>
  <si>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</si>
  <si>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</si>
  <si>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</si>
  <si>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</si>
  <si>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</si>
  <si>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</si>
  <si>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</si>
  <si>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</si>
  <si>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</si>
  <si>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</si>
  <si>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</si>
  <si>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</si>
  <si>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</si>
  <si>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</si>
  <si>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</si>
  <si>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</si>
  <si>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</si>
  <si>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</si>
  <si>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</si>
  <si>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</si>
  <si>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</si>
  <si>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</si>
  <si>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</si>
  <si>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</si>
  <si>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</si>
  <si>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</si>
  <si>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</si>
  <si>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</si>
  <si>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</si>
  <si>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</si>
  <si>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</si>
  <si>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</si>
  <si>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</si>
  <si>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</si>
  <si>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</si>
  <si>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</si>
  <si>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</si>
  <si>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</si>
  <si>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</si>
  <si>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</si>
  <si>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</si>
  <si>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</si>
  <si>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</si>
  <si>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</si>
  <si>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</si>
  <si>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</si>
  <si>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</si>
  <si>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</si>
  <si>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</si>
  <si>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</si>
  <si>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</si>
  <si>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</si>
  <si>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</si>
  <si>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</si>
  <si>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</si>
  <si>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</si>
  <si>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</si>
  <si>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</si>
  <si>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</si>
  <si>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</si>
  <si>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</si>
  <si>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</si>
  <si>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</si>
  <si>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</si>
  <si>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</si>
  <si>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</si>
  <si>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</si>
  <si>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</si>
  <si>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</si>
  <si>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</si>
  <si>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</si>
  <si>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</si>
  <si>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</si>
  <si>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</si>
  <si>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</si>
  <si>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</si>
  <si>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</si>
  <si>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</si>
  <si>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</si>
  <si>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</si>
  <si>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</si>
  <si>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</si>
  <si>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</si>
  <si>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</si>
  <si>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</si>
  <si>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</si>
  <si>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</si>
  <si>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</si>
  <si>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</si>
  <si>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</si>
  <si>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</si>
  <si>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</si>
  <si>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</si>
  <si>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</si>
  <si>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</si>
  <si>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</si>
  <si>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</si>
  <si>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</si>
  <si>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</si>
  <si>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</si>
  <si>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</si>
  <si>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</si>
  <si>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</si>
  <si>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</si>
  <si>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</si>
  <si>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</si>
  <si>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</si>
  <si>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</si>
  <si>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</si>
  <si>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</si>
  <si>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</si>
  <si>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</si>
  <si>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</si>
  <si>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</si>
  <si>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</si>
  <si>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</si>
  <si>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</si>
  <si>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</si>
  <si>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</si>
  <si>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</si>
  <si>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</si>
  <si>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</si>
  <si>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</si>
  <si>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</si>
  <si>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</si>
  <si>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</si>
  <si>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</si>
  <si>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</si>
  <si>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</si>
  <si>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</si>
  <si>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</si>
  <si>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</si>
  <si>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</si>
  <si>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</si>
  <si>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</si>
  <si>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</si>
  <si>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</si>
  <si>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</si>
  <si>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</si>
  <si>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</si>
  <si>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</si>
  <si>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</si>
  <si>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</si>
  <si>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</si>
  <si>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</si>
  <si>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</si>
  <si>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</si>
  <si>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</si>
  <si>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</si>
  <si>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</si>
  <si>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</si>
  <si>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</si>
  <si>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</si>
  <si>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</si>
  <si>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</si>
  <si>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</si>
  <si>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</si>
  <si>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</si>
  <si>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</si>
  <si>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</si>
  <si>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</si>
  <si>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</si>
  <si>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</si>
  <si>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</si>
  <si>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</si>
  <si>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</si>
  <si>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</si>
  <si>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</si>
  <si>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</si>
  <si>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</si>
  <si>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</si>
  <si>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</si>
  <si>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</si>
  <si>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</si>
  <si>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</si>
  <si>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</si>
  <si>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</si>
  <si>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</si>
  <si>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</si>
  <si>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</si>
  <si>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</si>
  <si>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</si>
  <si>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</si>
  <si>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</si>
  <si>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</si>
  <si>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</si>
  <si>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</si>
  <si>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</si>
  <si>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</si>
  <si>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</si>
  <si>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</si>
  <si>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</si>
  <si>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</si>
  <si>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</si>
  <si>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</si>
  <si>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</si>
  <si>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</si>
  <si>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</si>
  <si>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</si>
  <si>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</si>
  <si>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</si>
  <si>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</si>
  <si>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</si>
  <si>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</si>
  <si>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</si>
  <si>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</si>
  <si>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</si>
  <si>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</si>
  <si>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</si>
  <si>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</si>
  <si>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</si>
  <si>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</si>
  <si>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</si>
  <si>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</si>
  <si>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</si>
  <si>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</si>
  <si>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</si>
  <si>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</si>
  <si>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</si>
  <si>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</si>
  <si>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</si>
  <si>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</si>
  <si>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</si>
  <si>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</si>
  <si>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</si>
  <si>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</si>
  <si>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</si>
  <si>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</si>
  <si>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</si>
  <si>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</si>
  <si>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</si>
  <si>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</si>
  <si>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</si>
  <si>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</si>
  <si>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</si>
  <si>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</si>
  <si>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</si>
  <si>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</si>
  <si>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</si>
  <si>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</si>
  <si>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</si>
  <si>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</si>
  <si>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</si>
  <si>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</si>
  <si>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</si>
  <si>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</si>
  <si>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</si>
  <si>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</si>
  <si>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</si>
  <si>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</si>
  <si>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</si>
  <si>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</si>
  <si>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</si>
  <si>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</si>
  <si>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</si>
  <si>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</si>
  <si>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</si>
  <si>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</si>
  <si>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</si>
  <si>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</si>
  <si>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</si>
  <si>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</si>
  <si>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</si>
  <si>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</si>
  <si>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</si>
  <si>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</si>
  <si>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</si>
  <si>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</si>
  <si>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</si>
  <si>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</si>
  <si>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</si>
  <si>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</si>
  <si>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</si>
  <si>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</si>
  <si>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</si>
  <si>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</si>
  <si>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</si>
  <si>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</si>
  <si>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</si>
  <si>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</si>
  <si>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</si>
  <si>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</si>
  <si>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</si>
  <si>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</si>
  <si>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</si>
  <si>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</si>
  <si>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</si>
  <si>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</si>
  <si>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</si>
  <si>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</si>
  <si>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</si>
  <si>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</si>
  <si>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</si>
  <si>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</si>
  <si>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</si>
  <si>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</si>
  <si>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</si>
  <si>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</si>
  <si>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</si>
  <si>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</si>
  <si>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</si>
  <si>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</si>
  <si>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</si>
  <si>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</si>
  <si>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</si>
  <si>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</si>
  <si>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</si>
  <si>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</si>
  <si>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</si>
  <si>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</si>
  <si>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</si>
  <si>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</si>
  <si>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</si>
  <si>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</si>
  <si>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</si>
  <si>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</si>
  <si>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</si>
  <si>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</si>
  <si>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</si>
  <si>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</si>
  <si>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</si>
  <si>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</si>
  <si>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</si>
  <si>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</si>
  <si>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</si>
  <si>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</si>
  <si>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</si>
  <si>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</si>
  <si>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</si>
  <si>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</si>
  <si>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</si>
  <si>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</si>
  <si>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</si>
  <si>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</si>
  <si>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</si>
  <si>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</si>
  <si>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</si>
  <si>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</si>
  <si>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</si>
  <si>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</si>
  <si>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</si>
  <si>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</si>
  <si>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</si>
  <si>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</si>
  <si>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</si>
  <si>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</si>
  <si>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</si>
  <si>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</si>
  <si>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</si>
  <si>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</si>
  <si>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</si>
  <si>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</si>
  <si>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</si>
  <si>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</si>
  <si>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</si>
  <si>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</si>
  <si>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</si>
  <si>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</si>
  <si>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</si>
  <si>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</si>
  <si>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</si>
  <si>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</si>
  <si>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</si>
  <si>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</si>
  <si>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</si>
  <si>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</si>
  <si>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</si>
  <si>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</si>
  <si>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</si>
  <si>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</si>
  <si>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</si>
  <si>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</si>
  <si>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</si>
  <si>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</si>
  <si>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</si>
  <si>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</si>
  <si>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</si>
  <si>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</si>
  <si>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</si>
  <si>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</si>
  <si>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</si>
  <si>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</si>
  <si>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</si>
  <si>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</si>
  <si>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</si>
  <si>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</si>
  <si>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</si>
  <si>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</si>
  <si>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</si>
  <si>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</si>
  <si>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</si>
  <si>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</si>
  <si>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</si>
  <si>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</si>
  <si>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</si>
  <si>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</si>
  <si>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</si>
  <si>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</si>
  <si>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</si>
  <si>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</si>
  <si>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</si>
  <si>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</si>
  <si>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</si>
  <si>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</si>
  <si>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</si>
  <si>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</si>
  <si>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</si>
  <si>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</si>
  <si>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</si>
  <si>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</si>
  <si>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</si>
  <si>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</si>
  <si>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</si>
  <si>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</si>
  <si>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</si>
  <si>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</si>
  <si>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</si>
  <si>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</si>
  <si>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</si>
  <si>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</si>
  <si>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</si>
  <si>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</si>
  <si>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</si>
  <si>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</si>
  <si>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</si>
  <si>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</si>
  <si>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</si>
  <si>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</si>
  <si>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</si>
  <si>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</si>
  <si>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</si>
  <si>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</si>
  <si>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</si>
  <si>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</si>
  <si>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</si>
  <si>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</si>
  <si>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</si>
  <si>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</si>
  <si>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</si>
  <si>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</si>
  <si>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</si>
  <si>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</si>
  <si>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</si>
  <si>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</si>
  <si>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</si>
  <si>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</si>
  <si>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</si>
  <si>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</si>
  <si>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</si>
  <si>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</si>
  <si>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</si>
  <si>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</si>
  <si>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</si>
  <si>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</si>
  <si>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</si>
  <si>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</si>
  <si>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</si>
  <si>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</si>
  <si>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</si>
  <si>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</si>
  <si>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</si>
  <si>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</si>
  <si>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</si>
  <si>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</si>
  <si>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</si>
  <si>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</si>
  <si>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</si>
  <si>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</si>
  <si>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</si>
  <si>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</si>
  <si>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</si>
  <si>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</si>
  <si>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</si>
  <si>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</si>
  <si>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</si>
  <si>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</si>
  <si>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</si>
  <si>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</si>
  <si>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</si>
  <si>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</si>
  <si>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</si>
  <si>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</si>
  <si>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</si>
  <si>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</si>
  <si>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</si>
  <si>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</si>
  <si>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</si>
  <si>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</si>
  <si>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</si>
  <si>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</si>
  <si>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</si>
  <si>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</si>
  <si>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</si>
  <si>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</si>
  <si>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</si>
  <si>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</si>
  <si>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</si>
  <si>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</si>
  <si>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</si>
  <si>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</si>
  <si>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</si>
  <si>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</si>
  <si>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</si>
  <si>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</si>
  <si>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</si>
  <si>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</si>
  <si>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</si>
  <si>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</si>
  <si>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</si>
  <si>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</si>
  <si>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</si>
  <si>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</si>
  <si>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</si>
  <si>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</si>
  <si>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</si>
  <si>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</si>
  <si>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</si>
  <si>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</si>
  <si>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</si>
  <si>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</si>
  <si>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</si>
  <si>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</si>
  <si>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</si>
  <si>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</si>
  <si>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</si>
  <si>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</si>
  <si>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</si>
  <si>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</si>
  <si>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</si>
  <si>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</si>
  <si>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</si>
  <si>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</si>
  <si>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</si>
  <si>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</si>
  <si>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</si>
  <si>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</si>
  <si>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</si>
  <si>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</si>
  <si>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</si>
  <si>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</si>
  <si>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</si>
  <si>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</si>
  <si>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</si>
  <si>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</si>
  <si>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</si>
  <si>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</si>
  <si>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</si>
  <si>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</si>
  <si>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</si>
  <si>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</si>
  <si>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</si>
  <si>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</si>
  <si>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</si>
  <si>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</si>
  <si>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</si>
  <si>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</si>
  <si>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</si>
  <si>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</si>
  <si>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</si>
  <si>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</si>
  <si>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</si>
  <si>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</si>
  <si>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</si>
  <si>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</si>
  <si>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</si>
  <si>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</si>
  <si>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</si>
  <si>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</si>
  <si>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</si>
  <si>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</si>
  <si>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</si>
  <si>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</si>
  <si>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</si>
  <si>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</si>
  <si>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</si>
  <si>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</si>
  <si>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</si>
  <si>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</si>
  <si>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</si>
  <si>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</si>
  <si>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</si>
  <si>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</si>
  <si>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</si>
  <si>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</si>
  <si>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</si>
  <si>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</si>
  <si>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</si>
  <si>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</si>
  <si>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</si>
  <si>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</si>
  <si>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</si>
  <si>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</si>
  <si>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</si>
  <si>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</si>
  <si>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</si>
  <si>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</si>
  <si>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</si>
  <si>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</si>
  <si>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</si>
  <si>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</si>
  <si>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</si>
  <si>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</si>
  <si>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</si>
  <si>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</si>
  <si>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</si>
  <si>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</si>
  <si>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</si>
  <si>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</si>
  <si>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</si>
  <si>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</si>
  <si>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</si>
  <si>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</si>
  <si>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</si>
  <si>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</si>
  <si>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</si>
  <si>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</si>
  <si>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</si>
  <si>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</si>
  <si>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</si>
  <si>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</si>
  <si>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</si>
  <si>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</si>
  <si>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</si>
  <si>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</si>
  <si>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</si>
  <si>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</si>
  <si>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</si>
  <si>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</si>
  <si>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</si>
  <si>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</si>
  <si>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</si>
  <si>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</si>
  <si>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</si>
  <si>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</si>
  <si>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</si>
  <si>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</si>
  <si>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</si>
  <si>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</si>
  <si>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</si>
  <si>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</si>
  <si>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</si>
  <si>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</si>
  <si>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</si>
  <si>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</si>
  <si>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</si>
  <si>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</si>
  <si>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</si>
  <si>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</si>
  <si>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</si>
  <si>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</si>
  <si>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</si>
  <si>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</si>
  <si>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</si>
  <si>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</si>
  <si>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</si>
  <si>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</si>
  <si>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</si>
  <si>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</si>
  <si>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</si>
  <si>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</si>
  <si>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</si>
  <si>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</si>
  <si>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</si>
  <si>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</si>
  <si>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</si>
  <si>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</si>
  <si>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</si>
  <si>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</si>
  <si>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</si>
  <si>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</si>
  <si>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</si>
  <si>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</si>
  <si>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</si>
  <si>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</si>
  <si>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</si>
  <si>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</si>
  <si>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</si>
  <si>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</si>
  <si>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</si>
  <si>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</si>
  <si>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</si>
  <si>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</si>
  <si>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</si>
  <si>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</si>
  <si>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</si>
  <si>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</si>
  <si>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</si>
  <si>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</si>
  <si>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</si>
  <si>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</si>
  <si>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</si>
  <si>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</si>
  <si>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</si>
  <si>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</si>
  <si>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</si>
  <si>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</si>
  <si>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</si>
  <si>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</si>
  <si>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</si>
  <si>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</si>
  <si>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</si>
  <si>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</si>
  <si>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</si>
  <si>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</si>
  <si>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</si>
  <si>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</si>
  <si>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</si>
  <si>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</si>
  <si>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</si>
  <si>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</si>
  <si>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</si>
  <si>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</si>
  <si>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</si>
  <si>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</si>
  <si>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</si>
  <si>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</si>
  <si>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</si>
  <si>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</si>
  <si>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</si>
  <si>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</si>
  <si>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</si>
  <si>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</si>
  <si>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</si>
  <si>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</si>
  <si>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</si>
  <si>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</si>
  <si>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</si>
  <si>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</si>
  <si>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</si>
  <si>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</si>
  <si>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</si>
  <si>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</si>
  <si>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</si>
  <si>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</si>
  <si>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</si>
  <si>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</si>
  <si>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</si>
  <si>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</si>
  <si>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</si>
  <si>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</si>
  <si>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</si>
  <si>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</si>
  <si>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</si>
  <si>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</si>
  <si>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</si>
  <si>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</si>
  <si>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</si>
  <si>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</si>
  <si>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</si>
  <si>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</si>
  <si>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</si>
  <si>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</si>
  <si>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</si>
  <si>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</si>
  <si>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</si>
  <si>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</si>
  <si>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</si>
  <si>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</si>
  <si>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</si>
  <si>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</si>
  <si>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</si>
  <si>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</si>
  <si>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</si>
  <si>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</si>
  <si>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</si>
  <si>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</si>
  <si>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</si>
  <si>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</si>
  <si>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</si>
  <si>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</si>
  <si>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</si>
  <si>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</si>
  <si>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</si>
  <si>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</si>
  <si>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</si>
  <si>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</si>
  <si>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</si>
  <si>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</si>
  <si>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</si>
  <si>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</si>
  <si>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</si>
  <si>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</si>
  <si>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</si>
  <si>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</si>
  <si>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</si>
  <si>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</si>
  <si>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</si>
  <si>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</si>
  <si>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</si>
  <si>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</si>
  <si>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</si>
  <si>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</si>
  <si>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</si>
  <si>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</si>
  <si>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</si>
  <si>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</si>
  <si>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</si>
  <si>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</si>
  <si>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</si>
  <si>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</si>
  <si>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</si>
  <si>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</si>
  <si>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</si>
  <si>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</si>
  <si>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</si>
  <si>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</si>
  <si>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</si>
  <si>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</si>
  <si>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</si>
  <si>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</si>
  <si>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</si>
  <si>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</si>
  <si>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</si>
  <si>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</si>
  <si>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</si>
  <si>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</si>
  <si>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</si>
  <si>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</si>
  <si>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</si>
  <si>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</si>
  <si>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</si>
  <si>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</si>
  <si>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</si>
  <si>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</si>
  <si>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</si>
  <si>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</si>
  <si>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</si>
  <si>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</si>
  <si>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</si>
  <si>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</si>
  <si>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</si>
  <si>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</si>
  <si>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</si>
  <si>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</si>
  <si>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</si>
  <si>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</si>
  <si>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</si>
  <si>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</si>
  <si>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</si>
  <si>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</si>
  <si>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</si>
  <si>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</si>
  <si>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</si>
  <si>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</si>
  <si>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</si>
  <si>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</si>
  <si>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</si>
  <si>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</si>
  <si>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</si>
  <si>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</si>
  <si>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</si>
  <si>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</si>
  <si>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</si>
  <si>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</si>
  <si>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</si>
  <si>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</si>
  <si>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</si>
  <si>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</si>
  <si>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</si>
  <si>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</si>
  <si>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</si>
  <si>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</si>
  <si>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</si>
  <si>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</si>
  <si>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</si>
  <si>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</si>
  <si>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</si>
  <si>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</si>
  <si>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</si>
  <si>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</si>
  <si>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</si>
  <si>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</si>
  <si>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</si>
  <si>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</si>
  <si>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</si>
  <si>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</si>
  <si>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</si>
  <si>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</si>
  <si>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</si>
  <si>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</si>
  <si>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</si>
  <si>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</si>
  <si>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</si>
  <si>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</si>
  <si>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</si>
  <si>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</si>
  <si>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</si>
  <si>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</si>
  <si>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</si>
  <si>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</si>
  <si>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</si>
  <si>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</si>
  <si>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</si>
  <si>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</si>
  <si>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</si>
  <si>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</si>
  <si>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</si>
  <si>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</si>
  <si>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</si>
  <si>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</si>
  <si>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</si>
  <si>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</si>
  <si>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</si>
  <si>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</si>
  <si>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</si>
  <si>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</si>
  <si>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</si>
  <si>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</si>
  <si>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</si>
  <si>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</si>
  <si>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</si>
  <si>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</si>
  <si>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</si>
  <si>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</si>
  <si>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</si>
  <si>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</si>
  <si>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</si>
  <si>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</si>
  <si>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</si>
  <si>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</si>
  <si>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</si>
  <si>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</si>
  <si>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</si>
  <si>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</si>
  <si>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</si>
  <si>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</si>
  <si>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</si>
  <si>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</si>
  <si>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</si>
  <si>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</si>
  <si>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</si>
  <si>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</si>
  <si>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</si>
  <si>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</si>
  <si>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</si>
  <si>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</si>
  <si>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</si>
  <si>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</si>
  <si>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</si>
  <si>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</si>
  <si>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</si>
  <si>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</si>
  <si>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</si>
  <si>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</si>
  <si>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</si>
  <si>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</si>
  <si>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</si>
  <si>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</si>
  <si>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</si>
  <si>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</si>
  <si>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</si>
  <si>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</si>
  <si>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</si>
  <si>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</si>
  <si>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</si>
  <si>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</si>
  <si>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</si>
  <si>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</si>
  <si>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</si>
  <si>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</si>
  <si>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</si>
  <si>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</si>
  <si>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</si>
  <si>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</si>
  <si>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</si>
  <si>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</si>
  <si>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</si>
  <si>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</si>
  <si>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</si>
  <si>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</si>
  <si>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</si>
  <si>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</si>
  <si>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</si>
  <si>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</si>
  <si>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</si>
  <si>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</si>
  <si>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</si>
  <si>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</si>
  <si>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</si>
  <si>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</si>
  <si>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</si>
  <si>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</si>
  <si>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</si>
  <si>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</si>
  <si>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</si>
  <si>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</si>
  <si>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</si>
  <si>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</si>
  <si>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</si>
  <si>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</si>
  <si>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</si>
  <si>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</si>
  <si>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</si>
  <si>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</si>
  <si>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</si>
  <si>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</si>
  <si>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</si>
  <si>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</si>
  <si>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</si>
  <si>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</si>
  <si>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</si>
  <si>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</si>
  <si>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</si>
  <si>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</si>
  <si>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</si>
  <si>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</si>
  <si>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</si>
  <si>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</si>
  <si>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</si>
  <si>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</si>
  <si>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</si>
  <si>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</si>
  <si>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</si>
  <si>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</si>
  <si>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</si>
  <si>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</si>
  <si>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</si>
  <si>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</si>
  <si>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</si>
  <si>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</si>
  <si>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</si>
  <si>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</si>
  <si>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</si>
  <si>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</si>
  <si>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</si>
  <si>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</si>
  <si>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</si>
  <si>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</si>
  <si>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</si>
  <si>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</si>
  <si>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</si>
  <si>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</si>
  <si>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</si>
  <si>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</si>
  <si>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</si>
  <si>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</si>
  <si>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</si>
  <si>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</si>
  <si>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</si>
  <si>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</si>
  <si>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</si>
  <si>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</si>
  <si>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</si>
  <si>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</si>
  <si>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</si>
  <si>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</si>
  <si>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</si>
  <si>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</si>
  <si>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</si>
  <si>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</si>
  <si>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</si>
  <si>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</si>
  <si>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</si>
  <si>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</si>
  <si>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</si>
  <si>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</si>
  <si>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</si>
  <si>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</si>
  <si>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</si>
  <si>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</si>
  <si>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</si>
  <si>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</si>
  <si>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</si>
  <si>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</si>
  <si>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</si>
  <si>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</si>
  <si>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</si>
  <si>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</si>
  <si>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</si>
  <si>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</si>
  <si>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</si>
  <si>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</si>
  <si>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</si>
  <si>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</si>
  <si>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</si>
  <si>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</si>
  <si>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</si>
  <si>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</si>
  <si>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</si>
  <si>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</si>
  <si>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</si>
  <si>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</si>
  <si>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</si>
  <si>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</si>
  <si>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</si>
  <si>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</si>
  <si>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</si>
  <si>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</si>
  <si>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</si>
  <si>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</si>
  <si>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</si>
  <si>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</si>
  <si>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</si>
  <si>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</si>
  <si>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</si>
  <si>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</si>
  <si>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</si>
  <si>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</si>
  <si>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</si>
  <si>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</si>
  <si>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</si>
  <si>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</si>
  <si>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</si>
  <si>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</si>
  <si>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</si>
  <si>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</si>
  <si>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</si>
  <si>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</si>
  <si>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</si>
  <si>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</si>
  <si>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</si>
  <si>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</si>
  <si>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</si>
  <si>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</si>
  <si>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</si>
  <si>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</si>
  <si>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</si>
  <si>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</si>
  <si>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</si>
  <si>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</si>
  <si>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</si>
  <si>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</si>
  <si>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</si>
  <si>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</si>
  <si>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</si>
  <si>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</si>
  <si>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</si>
  <si>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</si>
  <si>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</si>
  <si>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</si>
  <si>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</si>
  <si>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</si>
  <si>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</si>
  <si>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</si>
  <si>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</si>
  <si>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</si>
  <si>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</si>
  <si>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</si>
  <si>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</si>
  <si>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</si>
  <si>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</si>
  <si>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</si>
  <si>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</si>
  <si>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</si>
  <si>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</si>
  <si>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</si>
  <si>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</si>
  <si>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</si>
  <si>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</si>
  <si>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</si>
  <si>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</si>
  <si>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</si>
  <si>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</si>
  <si>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</si>
  <si>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</si>
  <si>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</si>
  <si>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</si>
  <si>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</si>
  <si>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</si>
  <si>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</si>
  <si>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</si>
  <si>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</si>
  <si>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</si>
  <si>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</si>
  <si>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</si>
  <si>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</si>
  <si>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</si>
  <si>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</si>
  <si>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</si>
  <si>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</si>
  <si>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</si>
  <si>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</si>
  <si>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</si>
  <si>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</si>
  <si>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</si>
  <si>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</si>
  <si>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</si>
  <si>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</si>
  <si>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</si>
  <si>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</si>
  <si>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</si>
  <si>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</si>
  <si>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</si>
  <si>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</si>
  <si>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</si>
  <si>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</si>
  <si>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</si>
  <si>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</si>
  <si>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</si>
  <si>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</si>
  <si>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</si>
  <si>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</si>
  <si>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</si>
  <si>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</si>
  <si>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</si>
  <si>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</si>
  <si>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</si>
  <si>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</si>
  <si>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</si>
  <si>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</si>
  <si>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</si>
  <si>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</si>
  <si>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</si>
  <si>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</si>
  <si>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</si>
  <si>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</si>
  <si>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</si>
  <si>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</si>
  <si>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</si>
  <si>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</si>
  <si>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</si>
  <si>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</si>
  <si>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</si>
  <si>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</si>
  <si>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</si>
  <si>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</si>
  <si>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</si>
  <si>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</si>
  <si>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</si>
  <si>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</si>
  <si>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</si>
  <si>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</si>
  <si>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</si>
  <si>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</si>
  <si>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</si>
  <si>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</si>
  <si>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</si>
  <si>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</si>
  <si>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</si>
  <si>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</si>
  <si>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</si>
  <si>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</si>
  <si>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</si>
  <si>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</si>
  <si>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</si>
  <si>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</si>
  <si>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</si>
  <si>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</si>
  <si>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</si>
  <si>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</si>
  <si>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</si>
  <si>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</si>
  <si>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</si>
  <si>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</si>
  <si>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</si>
  <si>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</si>
  <si>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</si>
  <si>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</si>
  <si>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</si>
  <si>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</si>
  <si>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</si>
  <si>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</si>
  <si>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</si>
  <si>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</si>
  <si>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</si>
  <si>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</si>
  <si>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</si>
  <si>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</si>
  <si>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</si>
  <si>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</si>
  <si>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</si>
  <si>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</si>
  <si>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</si>
  <si>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</si>
  <si>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</si>
  <si>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</si>
  <si>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</si>
  <si>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</si>
  <si>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</si>
  <si>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</si>
  <si>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</si>
  <si>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</si>
  <si>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</si>
  <si>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</si>
  <si>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</si>
  <si>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</si>
  <si>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</si>
  <si>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</si>
  <si>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</si>
  <si>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</si>
  <si>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</si>
  <si>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</si>
  <si>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</si>
  <si>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</si>
  <si>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</si>
  <si>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</si>
  <si>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</si>
  <si>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</si>
  <si>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</si>
  <si>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</si>
  <si>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</si>
  <si>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</si>
  <si>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</si>
  <si>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</si>
  <si>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</si>
  <si>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</si>
  <si>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</si>
  <si>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</si>
  <si>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</si>
  <si>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</si>
  <si>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</si>
  <si>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</si>
  <si>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</si>
  <si>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</si>
  <si>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</si>
  <si>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</si>
  <si>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</si>
  <si>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</si>
  <si>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</si>
  <si>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</si>
  <si>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</si>
  <si>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</si>
  <si>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</si>
  <si>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</si>
  <si>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</si>
  <si>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</si>
  <si>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</si>
  <si>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</si>
  <si>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</si>
  <si>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</si>
  <si>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</si>
  <si>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</si>
  <si>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</si>
  <si>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</si>
  <si>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</si>
  <si>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</si>
  <si>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</si>
  <si>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</si>
  <si>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</si>
  <si>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</si>
  <si>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</si>
  <si>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</si>
  <si>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</si>
  <si>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</si>
  <si>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</si>
  <si>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</si>
  <si>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</si>
  <si>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</si>
  <si>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</si>
  <si>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</si>
  <si>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</si>
  <si>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</si>
  <si>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</si>
  <si>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</si>
  <si>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</si>
  <si>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</si>
  <si>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</si>
  <si>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</si>
  <si>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</si>
  <si>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</si>
  <si>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</si>
  <si>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</si>
  <si>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</si>
  <si>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</si>
  <si>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</si>
  <si>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</si>
  <si>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</si>
  <si>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</si>
  <si>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</si>
  <si>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</si>
  <si>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</si>
  <si>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</si>
  <si>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</si>
  <si>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</si>
  <si>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</si>
  <si>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</si>
  <si>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</si>
  <si>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</si>
  <si>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</si>
  <si>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</si>
  <si>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</si>
  <si>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</si>
  <si>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</si>
  <si>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</si>
  <si>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</si>
  <si>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</si>
  <si>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</si>
  <si>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</si>
  <si>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</si>
  <si>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</si>
  <si>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</si>
  <si>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</si>
  <si>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</si>
  <si>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</si>
  <si>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</si>
  <si>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</si>
  <si>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</si>
  <si>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</si>
  <si>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</si>
  <si>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</si>
  <si>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</si>
  <si>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</si>
  <si>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</si>
  <si>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</si>
  <si>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</si>
  <si>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</si>
  <si>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</si>
  <si>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</si>
  <si>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</si>
  <si>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</si>
  <si>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</si>
  <si>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</si>
  <si>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</si>
  <si>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</si>
  <si>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</si>
  <si>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</si>
  <si>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</si>
  <si>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</si>
  <si>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</si>
  <si>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</si>
  <si>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</si>
  <si>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</si>
  <si>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</si>
  <si>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</si>
  <si>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</si>
  <si>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</si>
  <si>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</si>
  <si>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</si>
  <si>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</si>
  <si>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</si>
  <si>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</si>
  <si>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</si>
  <si>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</si>
  <si>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</si>
  <si>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</si>
  <si>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</si>
  <si>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</si>
  <si>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</si>
  <si>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</si>
  <si>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</si>
  <si>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</si>
  <si>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</si>
  <si>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</si>
  <si>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</si>
  <si>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</si>
  <si>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</si>
  <si>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</si>
  <si>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</si>
  <si>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</si>
  <si>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</si>
  <si>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</si>
  <si>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</si>
  <si>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</si>
  <si>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</si>
  <si>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</si>
  <si>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</si>
  <si>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</si>
  <si>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</si>
  <si>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</si>
  <si>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</si>
  <si>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</si>
  <si>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</si>
  <si>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</si>
  <si>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</si>
  <si>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</si>
  <si>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</si>
  <si>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</si>
  <si>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</si>
  <si>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</si>
  <si>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</si>
  <si>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</si>
  <si>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</si>
  <si>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</si>
  <si>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</si>
  <si>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</si>
  <si>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</si>
  <si>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</si>
  <si>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</si>
  <si>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</si>
  <si>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</si>
  <si>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</si>
  <si>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</si>
  <si>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</si>
  <si>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</si>
  <si>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</si>
  <si>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</si>
  <si>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</si>
  <si>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</si>
  <si>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</si>
  <si>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</si>
  <si>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</si>
  <si>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</si>
  <si>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</si>
  <si>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</si>
  <si>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</si>
  <si>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</si>
  <si>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</si>
  <si>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</si>
  <si>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</si>
  <si>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</si>
  <si>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</si>
  <si>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</si>
  <si>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</si>
  <si>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</si>
  <si>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</si>
  <si>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</si>
  <si>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</si>
  <si>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</si>
  <si>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</si>
  <si>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</si>
  <si>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</si>
  <si>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</si>
  <si>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</si>
  <si>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</si>
  <si>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</si>
  <si>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</si>
  <si>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</si>
  <si>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</si>
  <si>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</si>
  <si>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</si>
  <si>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</si>
  <si>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</si>
  <si>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</si>
  <si>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</si>
  <si>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</si>
  <si>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</si>
  <si>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</si>
  <si>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</si>
  <si>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</si>
  <si>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</si>
  <si>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</si>
  <si>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</si>
  <si>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</si>
  <si>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</si>
  <si>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</si>
  <si>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</si>
  <si>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</si>
  <si>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</si>
  <si>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</si>
  <si>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</si>
  <si>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</si>
  <si>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</si>
  <si>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</si>
  <si>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</si>
  <si>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</si>
  <si>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</si>
  <si>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</si>
  <si>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</si>
  <si>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</si>
  <si>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</si>
  <si>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</si>
  <si>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</si>
  <si>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</si>
  <si>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</si>
  <si>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</si>
  <si>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</si>
  <si>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</si>
  <si>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</si>
  <si>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</si>
  <si>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</si>
  <si>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</si>
  <si>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</si>
  <si>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</si>
  <si>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</si>
  <si>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</si>
  <si>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</si>
  <si>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</si>
  <si>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</si>
  <si>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</si>
  <si>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</si>
  <si>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</si>
  <si>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</si>
  <si>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</si>
  <si>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</si>
  <si>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</si>
  <si>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</si>
  <si>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</si>
  <si>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</si>
  <si>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</si>
  <si>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</si>
  <si>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</si>
  <si>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</si>
  <si>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</si>
  <si>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</si>
  <si>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</si>
  <si>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</si>
  <si>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</si>
  <si>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</si>
  <si>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</si>
  <si>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</si>
  <si>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</si>
  <si>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</si>
  <si>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</si>
  <si>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</si>
  <si>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</si>
  <si>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</si>
  <si>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</si>
  <si>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</si>
  <si>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</si>
  <si>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</si>
  <si>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</si>
  <si>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</si>
  <si>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</si>
  <si>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</si>
  <si>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</si>
  <si>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</si>
  <si>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</si>
  <si>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</si>
  <si>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</si>
  <si>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</si>
  <si>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</si>
  <si>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</si>
  <si>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</si>
  <si>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</si>
  <si>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</si>
  <si>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</si>
  <si>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</si>
  <si>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</si>
  <si>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</si>
  <si>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</si>
  <si>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</si>
  <si>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</si>
  <si>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</si>
  <si>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</si>
  <si>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</si>
  <si>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</si>
  <si>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</si>
  <si>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</si>
  <si>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</si>
  <si>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</si>
  <si>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</si>
  <si>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</si>
  <si>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</si>
  <si>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</si>
  <si>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</si>
  <si>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</si>
  <si>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</si>
  <si>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</si>
  <si>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</si>
  <si>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</si>
  <si>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</si>
  <si>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</si>
  <si>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</si>
  <si>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</si>
  <si>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</si>
  <si>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</si>
  <si>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</si>
  <si>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</si>
  <si>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</si>
  <si>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</si>
  <si>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</si>
  <si>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</si>
  <si>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</si>
  <si>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</si>
  <si>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</si>
  <si>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</si>
  <si>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</si>
  <si>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</si>
  <si>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</si>
  <si>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</si>
  <si>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</si>
  <si>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</si>
  <si>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</si>
  <si>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</si>
  <si>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</si>
  <si>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</si>
  <si>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</si>
  <si>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</si>
  <si>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</si>
  <si>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</si>
  <si>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</si>
  <si>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</si>
  <si>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</si>
  <si>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</si>
  <si>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</si>
  <si>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</si>
  <si>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</si>
  <si>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</si>
  <si>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</si>
  <si>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</si>
  <si>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</si>
  <si>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</si>
  <si>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</si>
  <si>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</si>
  <si>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</si>
  <si>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</si>
  <si>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</si>
  <si>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</si>
  <si>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</si>
  <si>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</si>
  <si>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</si>
  <si>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</si>
  <si>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</si>
  <si>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</si>
  <si>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</si>
  <si>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</si>
  <si>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</si>
  <si>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</si>
  <si>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</si>
  <si>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</si>
  <si>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</si>
  <si>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</si>
  <si>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</si>
  <si>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</si>
  <si>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</si>
  <si>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</si>
  <si>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</si>
  <si>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</si>
  <si>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</si>
  <si>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</si>
  <si>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</si>
  <si>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</si>
  <si>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</si>
  <si>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</si>
  <si>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</si>
  <si>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</si>
  <si>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</si>
  <si>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</si>
  <si>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</si>
  <si>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</si>
  <si>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</si>
  <si>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</si>
  <si>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</si>
  <si>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</si>
  <si>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</si>
  <si>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</si>
  <si>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</si>
  <si>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</si>
  <si>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</si>
  <si>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</si>
  <si>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</si>
  <si>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</si>
  <si>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</si>
  <si>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</si>
  <si>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</si>
  <si>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</si>
  <si>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</si>
  <si>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</si>
  <si>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</si>
  <si>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</si>
  <si>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</si>
  <si>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</si>
  <si>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</si>
  <si>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</si>
  <si>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</si>
  <si>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</si>
  <si>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</si>
  <si>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</si>
  <si>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</si>
  <si>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</si>
  <si>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</si>
  <si>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</si>
  <si>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</si>
  <si>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</si>
  <si>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</si>
  <si>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</si>
  <si>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</si>
  <si>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</si>
  <si>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</si>
  <si>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</si>
  <si>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</si>
  <si>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</si>
  <si>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</si>
  <si>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</si>
  <si>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</si>
  <si>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</si>
  <si>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</si>
  <si>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</si>
  <si>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</si>
  <si>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</si>
  <si>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</si>
  <si>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</si>
  <si>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</si>
  <si>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</si>
  <si>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</si>
  <si>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</si>
  <si>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</si>
  <si>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</si>
  <si>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</si>
  <si>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</si>
  <si>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</si>
  <si>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</si>
  <si>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</si>
  <si>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</si>
  <si>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</si>
  <si>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</si>
  <si>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</si>
  <si>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</si>
  <si>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</si>
  <si>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</si>
  <si>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</si>
  <si>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</si>
  <si>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</si>
  <si>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</si>
  <si>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</si>
  <si>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</si>
  <si>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</si>
  <si>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</si>
  <si>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</si>
  <si>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</si>
  <si>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</si>
  <si>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</si>
  <si>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</si>
  <si>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</si>
  <si>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</si>
  <si>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</si>
  <si>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</si>
  <si>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</si>
  <si>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</si>
  <si>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</si>
  <si>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</si>
  <si>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</si>
  <si>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</si>
  <si>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</si>
  <si>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</si>
  <si>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</si>
  <si>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</si>
  <si>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</si>
  <si>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</si>
  <si>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</si>
  <si>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</si>
  <si>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</si>
  <si>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</si>
  <si>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</si>
  <si>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</si>
  <si>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</si>
  <si>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</si>
  <si>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</si>
  <si>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</si>
  <si>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</si>
  <si>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</si>
  <si>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</si>
  <si>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</si>
  <si>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</si>
  <si>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</si>
  <si>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</si>
  <si>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</si>
  <si>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</si>
  <si>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</si>
  <si>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</si>
  <si>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</si>
  <si>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</si>
  <si>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</si>
  <si>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</si>
  <si>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</si>
  <si>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</si>
  <si>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</si>
  <si>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</si>
  <si>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</si>
  <si>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</si>
  <si>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</si>
  <si>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</si>
  <si>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</si>
  <si>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</si>
  <si>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</si>
  <si>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</si>
  <si>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</si>
  <si>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</si>
  <si>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</si>
  <si>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</si>
  <si>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</si>
  <si>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</si>
  <si>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</si>
  <si>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</si>
  <si>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</si>
  <si>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</si>
  <si>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</si>
  <si>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</si>
  <si>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</si>
  <si>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</si>
  <si>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</si>
  <si>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</si>
  <si>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</si>
  <si>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</si>
  <si>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</si>
  <si>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</si>
  <si>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</si>
  <si>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</si>
  <si>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</si>
  <si>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</si>
  <si>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</si>
  <si>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</si>
  <si>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</si>
  <si>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</si>
  <si>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</si>
  <si>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</si>
  <si>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</si>
  <si>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</si>
  <si>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</si>
  <si>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</si>
  <si>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</si>
  <si>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</si>
  <si>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</si>
  <si>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</si>
  <si>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</si>
  <si>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</si>
  <si>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</si>
  <si>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</si>
  <si>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</si>
  <si>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</si>
  <si>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</si>
  <si>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</si>
  <si>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</si>
  <si>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</si>
  <si>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</si>
  <si>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</si>
  <si>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</si>
  <si>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</si>
  <si>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</si>
  <si>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</si>
  <si>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</si>
  <si>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</si>
  <si>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</si>
  <si>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</si>
  <si>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</si>
  <si>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</si>
  <si>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</si>
  <si>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</si>
  <si>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</si>
  <si>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</si>
  <si>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</si>
  <si>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</si>
  <si>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</si>
  <si>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</si>
  <si>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</si>
  <si>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</si>
  <si>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</si>
  <si>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</si>
  <si>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</si>
  <si>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</si>
  <si>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</si>
  <si>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</si>
  <si>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</si>
  <si>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</si>
  <si>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</si>
  <si>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</si>
  <si>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</si>
  <si>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</si>
  <si>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</si>
  <si>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</si>
  <si>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</si>
  <si>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</si>
  <si>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</si>
  <si>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</si>
  <si>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</si>
  <si>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</si>
  <si>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</si>
  <si>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</si>
  <si>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</si>
  <si>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</si>
  <si>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</si>
  <si>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</si>
  <si>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</si>
  <si>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</si>
  <si>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</si>
  <si>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</si>
  <si>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</si>
  <si>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</si>
  <si>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</si>
  <si>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</si>
  <si>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</si>
  <si>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</si>
  <si>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</si>
  <si>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</si>
  <si>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</si>
  <si>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</si>
  <si>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</si>
  <si>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</si>
  <si>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</si>
  <si>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</si>
  <si>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</si>
  <si>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</si>
  <si>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</si>
  <si>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</si>
  <si>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</si>
  <si>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</si>
  <si>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</si>
  <si>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</si>
  <si>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</si>
  <si>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</si>
  <si>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</si>
  <si>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</si>
  <si>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</si>
  <si>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</si>
  <si>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</si>
  <si>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</si>
  <si>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</si>
  <si>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</si>
  <si>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</si>
  <si>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</si>
  <si>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</si>
  <si>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</si>
  <si>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</si>
  <si>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</si>
  <si>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</si>
  <si>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</si>
  <si>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</si>
  <si>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</si>
  <si>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</si>
  <si>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</si>
  <si>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</si>
  <si>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</si>
  <si>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</si>
  <si>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</si>
  <si>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</si>
  <si>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</si>
  <si>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</si>
  <si>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</si>
  <si>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</si>
  <si>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</si>
  <si>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</si>
  <si>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</si>
  <si>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</si>
  <si>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</si>
  <si>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</si>
  <si>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</si>
  <si>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</si>
  <si>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</si>
  <si>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</si>
  <si>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</si>
  <si>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</si>
  <si>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</si>
  <si>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</si>
  <si>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</si>
  <si>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</si>
  <si>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</si>
  <si>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</si>
  <si>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</si>
  <si>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</si>
  <si>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</si>
  <si>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</si>
  <si>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</si>
  <si>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</si>
  <si>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</si>
  <si>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</si>
  <si>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</si>
  <si>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</si>
  <si>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</si>
  <si>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</si>
  <si>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</si>
  <si>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</si>
  <si>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</si>
  <si>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</si>
  <si>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</si>
  <si>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</si>
  <si>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</si>
  <si>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</si>
  <si>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</si>
  <si>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</si>
  <si>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</si>
  <si>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</si>
  <si>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</si>
  <si>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</si>
  <si>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</si>
  <si>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</si>
  <si>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</si>
  <si>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</si>
  <si>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</si>
  <si>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</si>
  <si>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</si>
  <si>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</si>
  <si>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</si>
  <si>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</si>
  <si>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</si>
  <si>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</si>
  <si>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</si>
  <si>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</si>
  <si>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</si>
  <si>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</si>
  <si>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</si>
  <si>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</si>
  <si>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</si>
  <si>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</si>
  <si>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</si>
  <si>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</si>
  <si>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</si>
  <si>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</si>
  <si>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</si>
  <si>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</si>
  <si>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</si>
  <si>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</si>
  <si>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</si>
  <si>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</si>
  <si>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</si>
  <si>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</si>
  <si>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</si>
  <si>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</si>
  <si>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</si>
  <si>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</si>
  <si>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</si>
  <si>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</si>
  <si>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</si>
  <si>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</si>
  <si>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</si>
  <si>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</si>
  <si>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</si>
  <si>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</si>
  <si>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</si>
  <si>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</si>
  <si>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</si>
  <si>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</si>
  <si>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</si>
  <si>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</si>
  <si>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</si>
  <si>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</si>
  <si>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</si>
  <si>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</si>
  <si>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</si>
  <si>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</si>
  <si>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</si>
  <si>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</si>
  <si>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</si>
  <si>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</si>
  <si>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</si>
  <si>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</si>
  <si>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</si>
  <si>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</si>
  <si>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</si>
  <si>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</si>
  <si>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</si>
  <si>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</si>
  <si>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</si>
  <si>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</si>
  <si>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</si>
  <si>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</si>
  <si>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</si>
  <si>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</si>
  <si>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</si>
  <si>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</si>
  <si>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</si>
  <si>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</si>
  <si>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</si>
  <si>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</si>
  <si>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</si>
  <si>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</si>
  <si>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</si>
  <si>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</si>
  <si>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</si>
  <si>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</si>
  <si>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</si>
  <si>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</si>
  <si>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</si>
  <si>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</si>
  <si>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</si>
  <si>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</si>
  <si>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</si>
  <si>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</si>
  <si>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</si>
  <si>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</si>
  <si>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</si>
  <si>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</si>
  <si>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</si>
  <si>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</si>
  <si>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</si>
  <si>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</si>
  <si>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</si>
  <si>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</si>
  <si>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</si>
  <si>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</si>
  <si>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</si>
  <si>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</si>
  <si>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</si>
  <si>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</si>
  <si>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</si>
  <si>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</si>
  <si>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</si>
  <si>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</si>
  <si>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</si>
  <si>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</si>
  <si>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</si>
  <si>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</si>
  <si>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</si>
  <si>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</si>
  <si>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</si>
  <si>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</si>
  <si>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</si>
  <si>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</si>
  <si>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</si>
  <si>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</si>
  <si>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</si>
  <si>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</si>
  <si>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</si>
  <si>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</si>
  <si>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</si>
  <si>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</si>
  <si>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</si>
  <si>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</si>
  <si>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</si>
  <si>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</si>
  <si>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</si>
  <si>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</si>
  <si>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</si>
  <si>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</si>
  <si>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</si>
  <si>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</si>
  <si>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</si>
  <si>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</si>
  <si>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</si>
  <si>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</si>
  <si>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</si>
  <si>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</si>
  <si>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</si>
  <si>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</si>
  <si>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</si>
  <si>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</si>
  <si>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</si>
  <si>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</si>
  <si>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</si>
  <si>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</si>
  <si>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</si>
  <si>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</si>
  <si>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</si>
  <si>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</si>
  <si>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</si>
  <si>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</si>
  <si>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</si>
  <si>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</si>
  <si>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</si>
  <si>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</si>
  <si>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</si>
  <si>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</si>
  <si>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</si>
  <si>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</si>
  <si>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</si>
  <si>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States</t>
  </si>
  <si>
    <t>Successful</t>
  </si>
  <si>
    <t>Mean</t>
  </si>
  <si>
    <t>Median</t>
  </si>
  <si>
    <t>Min</t>
  </si>
  <si>
    <t>Max</t>
  </si>
  <si>
    <t>Var</t>
  </si>
  <si>
    <t>Std Dev</t>
  </si>
  <si>
    <t>Unsuccessful</t>
  </si>
  <si>
    <t>Q1</t>
  </si>
  <si>
    <t>Q3</t>
  </si>
  <si>
    <t>Inter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</si>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</sst>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5" formatCode="0.0%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898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2" borderId="0" xfId="1" applyNumberFormat="1" applyFont="1" applyFill="1"/>
    <xf numFmtId="166" fontId="0" fillId="0" borderId="0" xfId="0" applyNumberFormat="1"/>
    <xf numFmtId="0" fontId="0" fillId="2" borderId="0" xfId="0" applyFill="1"/>
    <xf numFmtId="0" fontId="0" fillId="3" borderId="0" xfId="0" applyFill="1"/>
    <xf numFmtId="166" fontId="0" fillId="3" borderId="0" xfId="0" applyNumberFormat="1" applyFill="1"/>
    <xf numFmtId="0" fontId="0" fillId="4" borderId="0" xfId="0" applyNumberFormat="1" applyFill="1"/>
    <xf numFmtId="0" fontId="0" fillId="2" borderId="0" xfId="0" applyNumberFormat="1" applyFill="1"/>
  </cellXfs>
  <cellStyles count="2">
    <cellStyle name="Normal" xfId="0" builtinId="0"/>
    <cellStyle name="Percent" xfId="1" builtinId="5"/>
  </cellStyles>
  <dxfs count="27">
    <dxf>
      <font>
        <color theme="9" tint="-0.499984740745262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2" tint="-0.499984740745262"/>
      </font>
      <fill>
        <patternFill>
          <bgColor theme="0" tint="-0.24994659260841701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2" tint="-0.499984740745262"/>
      </font>
      <fill>
        <patternFill>
          <bgColor theme="0" tint="-0.24994659260841701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2" tint="-0.499984740745262"/>
      </font>
      <fill>
        <patternFill>
          <bgColor theme="0" tint="-0.24994659260841701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2" tint="-0.499984740745262"/>
      </font>
      <fill>
        <patternFill>
          <bgColor theme="0" tint="-0.24994659260841701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2" tint="-0.499984740745262"/>
      </font>
      <fill>
        <patternFill>
          <bgColor theme="0" tint="-0.24994659260841701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  <dxf>
      <fill>
        <patternFill patternType="solid">
          <bgColor rgb="FFFF8989"/>
        </patternFill>
      </fill>
    </dxf>
    <dxf>
      <fill>
        <patternFill patternType="solid">
          <bgColor rgb="FFFF8989"/>
        </patternFill>
      </fill>
    </dxf>
    <dxf>
      <fill>
        <patternFill patternType="solid">
          <bgColor rgb="FFFF8989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rgb="FFFF8989"/>
        </patternFill>
      </fill>
    </dxf>
  </dxfs>
  <tableStyles count="0" defaultTableStyle="TableStyleMedium2" defaultPivotStyle="PivotStyleLight16"/>
  <colors>
    <mruColors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[Homework_starterbook_kickstarter.xlsx]Campaign States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States </a:t>
            </a:r>
            <a:r>
              <a:rPr lang="en-US"/>
              <a:t>by Category</a:t>
            </a:r>
          </a:p>
        </c:rich>
      </c:tx>
      <c:layout>
        <c:manualLayout>
          <c:xMode val="edge"/>
          <c:yMode val="edge"/>
          <c:x val="0.28767510451404316"/>
          <c:y val="2.67570720326625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81714785651792"/>
          <c:y val="0.17171296296296296"/>
          <c:w val="0.69971981627296576"/>
          <c:h val="0.511942986293379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 States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States by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A1-4203-ADDC-62C227F116F3}"/>
            </c:ext>
          </c:extLst>
        </c:ser>
        <c:ser>
          <c:idx val="1"/>
          <c:order val="1"/>
          <c:tx>
            <c:strRef>
              <c:f>'Campaign States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States by Category'!$C$5:$C$14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A1-4203-ADDC-62C227F116F3}"/>
            </c:ext>
          </c:extLst>
        </c:ser>
        <c:ser>
          <c:idx val="2"/>
          <c:order val="2"/>
          <c:tx>
            <c:strRef>
              <c:f>'Campaign States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States by Category'!$D$5:$D$14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A1-4203-ADDC-62C227F116F3}"/>
            </c:ext>
          </c:extLst>
        </c:ser>
        <c:ser>
          <c:idx val="3"/>
          <c:order val="3"/>
          <c:tx>
            <c:strRef>
              <c:f>'Campaign States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States by Category'!$E$5:$E$14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A1-4203-ADDC-62C227F11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7903856"/>
        <c:axId val="447904184"/>
      </c:barChart>
      <c:catAx>
        <c:axId val="44790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04184"/>
        <c:crosses val="autoZero"/>
        <c:auto val="1"/>
        <c:lblAlgn val="ctr"/>
        <c:lblOffset val="100"/>
        <c:noMultiLvlLbl val="0"/>
      </c:catAx>
      <c:valAx>
        <c:axId val="44790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 by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0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36737556004017"/>
          <c:y val="0.21946741032370953"/>
          <c:w val="0.13279636920384952"/>
          <c:h val="0.45139107611548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[Homework_starterbook_kickstarter.xlsx]Campaign States 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'Campaign States by 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1-446E-A7D6-58233A263A20}"/>
            </c:ext>
          </c:extLst>
        </c:ser>
        <c:ser>
          <c:idx val="1"/>
          <c:order val="1"/>
          <c:tx>
            <c:strRef>
              <c:f>'Campaign States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'Campaign States by Sub-Category'!$C$6:$C$47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1-446E-A7D6-58233A263A20}"/>
            </c:ext>
          </c:extLst>
        </c:ser>
        <c:ser>
          <c:idx val="2"/>
          <c:order val="2"/>
          <c:tx>
            <c:strRef>
              <c:f>'Campaign States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'Campaign States by Sub-Category'!$D$6:$D$47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1-446E-A7D6-58233A263A20}"/>
            </c:ext>
          </c:extLst>
        </c:ser>
        <c:ser>
          <c:idx val="3"/>
          <c:order val="3"/>
          <c:tx>
            <c:strRef>
              <c:f>'Campaign States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'Campaign States by Sub-Category'!$E$6:$E$47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31-446E-A7D6-58233A263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4690872"/>
        <c:axId val="444682344"/>
      </c:barChart>
      <c:catAx>
        <c:axId val="444690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82344"/>
        <c:crosses val="autoZero"/>
        <c:auto val="1"/>
        <c:lblAlgn val="ctr"/>
        <c:lblOffset val="100"/>
        <c:noMultiLvlLbl val="0"/>
      </c:catAx>
      <c:valAx>
        <c:axId val="44468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Campagin</a:t>
                </a:r>
                <a:r>
                  <a:rPr lang="en-US" baseline="0"/>
                  <a:t>s by State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5000000000000001E-2"/>
              <c:y val="0.306194225721784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9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[Homework_starterbook_kickstarter.xlsx]Campaign States by Created Mon.!PivotTable3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States by Created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0"/>
              <c:y val="2.30031948881789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4659167654211926E-16"/>
              <c:y val="2.04472843450479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4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9990004997501249E-3"/>
              <c:y val="-1.2779552715654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States by Created Mon.'!$B$4:$B$5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B87E-469C-9096-70F4FFD114DC}"/>
              </c:ext>
            </c:extLst>
          </c:dPt>
          <c:dLbls>
            <c:dLbl>
              <c:idx val="11"/>
              <c:layout>
                <c:manualLayout>
                  <c:x val="0"/>
                  <c:y val="2.300319488817891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87E-469C-9096-70F4FFD114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States by Created Mon.'!$A$6:$A$18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States by Created Mon.'!$B$6:$B$18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E-469C-9096-70F4FFD114DC}"/>
            </c:ext>
          </c:extLst>
        </c:ser>
        <c:ser>
          <c:idx val="1"/>
          <c:order val="1"/>
          <c:tx>
            <c:strRef>
              <c:f>'Campaign States by Created Mon.'!$C$4:$C$5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B87E-469C-9096-70F4FFD114DC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B87E-469C-9096-70F4FFD114DC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B87E-469C-9096-70F4FFD114DC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B87E-469C-9096-70F4FFD114DC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B87E-469C-9096-70F4FFD114DC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B87E-469C-9096-70F4FFD114DC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B87E-469C-9096-70F4FFD114DC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B87E-469C-9096-70F4FFD114DC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B87E-469C-9096-70F4FFD114DC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B87E-469C-9096-70F4FFD114DC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B87E-469C-9096-70F4FFD114DC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87E-469C-9096-70F4FFD114D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87E-469C-9096-70F4FFD114D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87E-469C-9096-70F4FFD114D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87E-469C-9096-70F4FFD114D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87E-469C-9096-70F4FFD114D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87E-469C-9096-70F4FFD114DC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87E-469C-9096-70F4FFD114D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87E-469C-9096-70F4FFD114DC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87E-469C-9096-70F4FFD114D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87E-469C-9096-70F4FFD114D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87E-469C-9096-70F4FFD114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States by Created Mon.'!$A$6:$A$18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States by Created Mon.'!$C$6:$C$18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7E-469C-9096-70F4FFD114DC}"/>
            </c:ext>
          </c:extLst>
        </c:ser>
        <c:ser>
          <c:idx val="2"/>
          <c:order val="2"/>
          <c:tx>
            <c:strRef>
              <c:f>'Campaign States by Created Mon.'!$D$4:$D$5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B87E-469C-9096-70F4FFD114DC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B87E-469C-9096-70F4FFD114DC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B87E-469C-9096-70F4FFD114DC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87E-469C-9096-70F4FFD114D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87E-469C-9096-70F4FFD114DC}"/>
                </c:ext>
              </c:extLst>
            </c:dLbl>
            <c:dLbl>
              <c:idx val="2"/>
              <c:layout>
                <c:manualLayout>
                  <c:x val="-1.9990004997501249E-3"/>
                  <c:y val="-1.277955271565495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87E-469C-9096-70F4FFD114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States by Created Mon.'!$A$6:$A$18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States by Created Mon.'!$D$6:$D$18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7E-469C-9096-70F4FFD114DC}"/>
            </c:ext>
          </c:extLst>
        </c:ser>
        <c:ser>
          <c:idx val="3"/>
          <c:order val="3"/>
          <c:tx>
            <c:strRef>
              <c:f>'Campaign States by Created Mon.'!$E$4:$E$5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B87E-469C-9096-70F4FFD114DC}"/>
              </c:ext>
            </c:extLst>
          </c:dPt>
          <c:dLbls>
            <c:dLbl>
              <c:idx val="11"/>
              <c:layout>
                <c:manualLayout>
                  <c:x val="-1.4659167654211926E-16"/>
                  <c:y val="2.044728434504792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4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87E-469C-9096-70F4FFD114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States by Created Mon.'!$A$6:$A$18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States by Created Mon.'!$E$6:$E$18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7E-469C-9096-70F4FFD11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646952"/>
        <c:axId val="573645312"/>
      </c:lineChart>
      <c:catAx>
        <c:axId val="573646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Created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45312"/>
        <c:crosses val="autoZero"/>
        <c:auto val="1"/>
        <c:lblAlgn val="ctr"/>
        <c:lblOffset val="100"/>
        <c:noMultiLvlLbl val="0"/>
      </c:catAx>
      <c:valAx>
        <c:axId val="5736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Campsign</a:t>
                </a:r>
                <a:r>
                  <a:rPr lang="en-US" baseline="0"/>
                  <a:t> States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46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'Campaign by % of State'!$F$1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A9C-4C6F-ADB6-F2E2D69855A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A9C-4C6F-ADB6-F2E2D69855A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A9C-4C6F-ADB6-F2E2D69855A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A9C-4C6F-ADB6-F2E2D69855A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A9C-4C6F-ADB6-F2E2D69855A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A9C-4C6F-ADB6-F2E2D69855A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A9C-4C6F-ADB6-F2E2D69855A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A9C-4C6F-ADB6-F2E2D69855A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A9C-4C6F-ADB6-F2E2D69855A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A9C-4C6F-ADB6-F2E2D69855A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A9C-4C6F-ADB6-F2E2D69855A7}"/>
                </c:ext>
              </c:extLst>
            </c:dLbl>
            <c:dLbl>
              <c:idx val="11"/>
              <c:layout>
                <c:manualLayout>
                  <c:x val="-1.0185067526415994E-16"/>
                  <c:y val="2.777777777777777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Successful</a:t>
                    </a:r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5822397200349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0-0A9C-4C6F-ADB6-F2E2D69855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'Campaign by %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'Campaign by % of State'!$F$2:$F$13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C-4C6F-ADB6-F2E2D69855A7}"/>
            </c:ext>
          </c:extLst>
        </c:ser>
        <c:ser>
          <c:idx val="1"/>
          <c:order val="1"/>
          <c:tx>
            <c:strRef>
              <c:f>'Campaign by % of State'!$G$1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9C-4C6F-ADB6-F2E2D69855A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9C-4C6F-ADB6-F2E2D69855A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A9C-4C6F-ADB6-F2E2D69855A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A9C-4C6F-ADB6-F2E2D69855A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A9C-4C6F-ADB6-F2E2D69855A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A9C-4C6F-ADB6-F2E2D69855A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A9C-4C6F-ADB6-F2E2D69855A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A9C-4C6F-ADB6-F2E2D69855A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A9C-4C6F-ADB6-F2E2D69855A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A9C-4C6F-ADB6-F2E2D69855A7}"/>
                </c:ext>
              </c:extLst>
            </c:dLbl>
            <c:dLbl>
              <c:idx val="10"/>
              <c:layout>
                <c:manualLayout>
                  <c:x val="2.2222222222222223E-2"/>
                  <c:y val="-6.944444444444440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accent2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chemeClr val="accent2"/>
                        </a:solidFill>
                      </a:rPr>
                      <a:t>Failed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A9C-4C6F-ADB6-F2E2D69855A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9C-4C6F-ADB6-F2E2D69855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'Campaign by %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'Campaign by % of State'!$G$2:$G$13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C-4C6F-ADB6-F2E2D69855A7}"/>
            </c:ext>
          </c:extLst>
        </c:ser>
        <c:ser>
          <c:idx val="2"/>
          <c:order val="2"/>
          <c:tx>
            <c:strRef>
              <c:f>'Campaign by % of State'!$H$1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0"/>
                  <c:y val="-3.70370370370370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Canceled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A9C-4C6F-ADB6-F2E2D69855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by % of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'Campaign by % of State'!$H$2:$H$13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C-4C6F-ADB6-F2E2D6985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39288"/>
        <c:axId val="107338632"/>
      </c:lineChart>
      <c:catAx>
        <c:axId val="107339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38632"/>
        <c:crosses val="autoZero"/>
        <c:auto val="1"/>
        <c:lblAlgn val="ctr"/>
        <c:lblOffset val="100"/>
        <c:noMultiLvlLbl val="0"/>
      </c:catAx>
      <c:valAx>
        <c:axId val="10733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39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Successful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Successful</a:t>
          </a:r>
        </a:p>
      </cx:txPr>
    </cx:title>
    <cx:plotArea>
      <cx:plotAreaRegion>
        <cx:series layoutId="boxWhisker" uniqueId="{10EBF879-FE02-46CB-9883-97C48CF72B27}">
          <cx:tx>
            <cx:txData>
              <cx:f>_xlchart.v1.2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Unsuccessful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Unsuccessful</a:t>
          </a:r>
        </a:p>
      </cx:txPr>
    </cx:title>
    <cx:plotArea>
      <cx:plotAreaRegion>
        <cx:series layoutId="boxWhisker" uniqueId="{896378E0-0F1F-42CC-987C-E9916D984DDA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422274</xdr:colOff>
      <xdr:row>1</xdr:row>
      <xdr:rowOff>168275</xdr:rowOff>
    </xdr:from>
    <xdr:to>
      <xdr:col>14</xdr:col>
      <xdr:colOff>215899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60325</xdr:rowOff>
    </xdr:from>
    <xdr:to>
      <xdr:col>14</xdr:col>
      <xdr:colOff>177800</xdr:colOff>
      <xdr:row>18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149224</xdr:colOff>
      <xdr:row>5</xdr:row>
      <xdr:rowOff>117474</xdr:rowOff>
    </xdr:from>
    <xdr:to>
      <xdr:col>17</xdr:col>
      <xdr:colOff>406399</xdr:colOff>
      <xdr:row>32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13</xdr:row>
      <xdr:rowOff>79375</xdr:rowOff>
    </xdr:from>
    <xdr:to>
      <xdr:col>8</xdr:col>
      <xdr:colOff>406400</xdr:colOff>
      <xdr:row>28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15</xdr:row>
      <xdr:rowOff>130175</xdr:rowOff>
    </xdr:from>
    <xdr:to>
      <xdr:col>12</xdr:col>
      <xdr:colOff>450850</xdr:colOff>
      <xdr:row>30</xdr:row>
      <xdr:rowOff>111125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52900" y="2987675"/>
              <a:ext cx="531495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596900</xdr:colOff>
      <xdr:row>15</xdr:row>
      <xdr:rowOff>149225</xdr:rowOff>
    </xdr:from>
    <xdr:to>
      <xdr:col>20</xdr:col>
      <xdr:colOff>292100</xdr:colOff>
      <xdr:row>30</xdr:row>
      <xdr:rowOff>130175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3900" y="3006725"/>
              <a:ext cx="508000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dy Meyer" refreshedDate="43862.664571064815" createdVersion="6" refreshedVersion="6" minRefreshableVersion="3" recordCount="4114" xr:uid="{00000000-000A-0000-FFFF-FFFF0600000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dy Meyer" refreshedDate="43862.674166666664" createdVersion="6" refreshedVersion="6" minRefreshableVersion="3" recordCount="4114" xr:uid="{00000000-000A-0000-FFFF-FFFF0B00000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26">
      <pivotArea collapsedLevelsAreSubtotals="1" fieldPosition="0">
        <references count="2">
          <reference field="5" count="1" selected="0">
            <x v="2"/>
          </reference>
          <reference field="16" count="5">
            <x v="1"/>
            <x v="2"/>
            <x v="5"/>
            <x v="6"/>
            <x v="7"/>
          </reference>
        </references>
      </pivotArea>
    </format>
    <format dxfId="25">
      <pivotArea collapsedLevelsAreSubtotals="1" fieldPosition="0">
        <references count="2">
          <reference field="5" count="1" selected="0">
            <x v="0"/>
          </reference>
          <reference field="16" count="3">
            <x v="0"/>
            <x v="4"/>
            <x v="8"/>
          </reference>
        </references>
      </pivotArea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24">
      <pivotArea collapsedLevelsAreSubtotals="1" fieldPosition="0">
        <references count="2">
          <reference field="5" count="1" selected="0">
            <x v="0"/>
          </reference>
          <reference field="17" count="17">
            <x v="4"/>
            <x v="5"/>
            <x v="7"/>
            <x v="12"/>
            <x v="13"/>
            <x v="18"/>
            <x v="20"/>
            <x v="22"/>
            <x v="24"/>
            <x v="25"/>
            <x v="28"/>
            <x v="30"/>
            <x v="31"/>
            <x v="32"/>
            <x v="33"/>
            <x v="34"/>
            <x v="35"/>
          </reference>
        </references>
      </pivotArea>
    </format>
    <format dxfId="23">
      <pivotArea collapsedLevelsAreSubtotals="1" fieldPosition="0">
        <references count="2">
          <reference field="5" count="1" selected="0">
            <x v="0"/>
          </reference>
          <reference field="17" count="2">
            <x v="16"/>
            <x v="26"/>
          </reference>
        </references>
      </pivotArea>
    </format>
    <format dxfId="22">
      <pivotArea collapsedLevelsAreSubtotals="1" fieldPosition="0">
        <references count="2">
          <reference field="5" count="1" selected="0">
            <x v="2"/>
          </reference>
          <reference field="17" count="4">
            <x v="0"/>
            <x v="15"/>
            <x v="21"/>
            <x v="37"/>
          </reference>
        </references>
      </pivotArea>
    </format>
    <format dxfId="21">
      <pivotArea collapsedLevelsAreSubtotals="1" fieldPosition="0">
        <references count="2">
          <reference field="5" count="1" selected="0">
            <x v="2"/>
          </reference>
          <reference field="17" count="8">
            <x v="6"/>
            <x v="9"/>
            <x v="10"/>
            <x v="11"/>
            <x v="14"/>
            <x v="17"/>
            <x v="23"/>
            <x v="39"/>
          </reference>
        </references>
      </pivotArea>
    </format>
    <format dxfId="20">
      <pivotArea collapsedLevelsAreSubtotals="1" fieldPosition="0">
        <references count="2">
          <reference field="5" count="1" selected="0">
            <x v="2"/>
          </reference>
          <reference field="17" count="4">
            <x v="3"/>
            <x v="19"/>
            <x v="27"/>
            <x v="36"/>
          </reference>
        </references>
      </pivotArea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1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4"/>
  <sheetViews>
    <sheetView workbookViewId="0">
      <selection activeCell="E13" sqref="E13"/>
    </sheetView>
  </sheetViews>
  <sheetFormatPr baseColWidth="10" defaultColWidth="8.83203125" defaultRowHeight="15" x14ac:dyDescent="0.2"/>
  <cols>
    <col min="1" max="1" width="12.83203125" bestFit="1" customWidth="1"/>
    <col min="2" max="2" width="15.33203125" bestFit="1" customWidth="1"/>
    <col min="3" max="3" width="3.6640625" customWidth="1"/>
    <col min="4" max="4" width="5.5" customWidth="1"/>
    <col min="5" max="5" width="8.1640625" customWidth="1"/>
    <col min="6" max="6" width="10.66406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8322</v>
      </c>
      <c r="B3" s="7" t="s">
        <v>8321</v>
      </c>
    </row>
    <row r="4" spans="1:6" x14ac:dyDescent="0.2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">
      <c r="A5" s="8" t="s">
        <v>8319</v>
      </c>
      <c r="B5" s="19">
        <v>839</v>
      </c>
      <c r="C5" s="9">
        <v>24</v>
      </c>
      <c r="D5" s="9">
        <v>493</v>
      </c>
      <c r="E5" s="9">
        <v>37</v>
      </c>
      <c r="F5" s="9">
        <v>1393</v>
      </c>
    </row>
    <row r="6" spans="1:6" x14ac:dyDescent="0.2">
      <c r="A6" s="8" t="s">
        <v>8315</v>
      </c>
      <c r="B6" s="19">
        <v>540</v>
      </c>
      <c r="C6" s="9">
        <v>20</v>
      </c>
      <c r="D6" s="9">
        <v>120</v>
      </c>
      <c r="E6" s="9">
        <v>20</v>
      </c>
      <c r="F6" s="9">
        <v>700</v>
      </c>
    </row>
    <row r="7" spans="1:6" x14ac:dyDescent="0.2">
      <c r="A7" s="8" t="s">
        <v>8311</v>
      </c>
      <c r="B7" s="19">
        <v>300</v>
      </c>
      <c r="C7" s="9"/>
      <c r="D7" s="9">
        <v>180</v>
      </c>
      <c r="E7" s="9">
        <v>40</v>
      </c>
      <c r="F7" s="9">
        <v>520</v>
      </c>
    </row>
    <row r="8" spans="1:6" x14ac:dyDescent="0.2">
      <c r="A8" s="8" t="s">
        <v>8318</v>
      </c>
      <c r="B8" s="9">
        <v>209</v>
      </c>
      <c r="C8" s="9"/>
      <c r="D8" s="18">
        <v>213</v>
      </c>
      <c r="E8" s="9">
        <v>178</v>
      </c>
      <c r="F8" s="9">
        <v>600</v>
      </c>
    </row>
    <row r="9" spans="1:6" x14ac:dyDescent="0.2">
      <c r="A9" s="8" t="s">
        <v>8316</v>
      </c>
      <c r="B9" s="9">
        <v>103</v>
      </c>
      <c r="C9" s="9"/>
      <c r="D9" s="18">
        <v>117</v>
      </c>
      <c r="E9" s="9"/>
      <c r="F9" s="9">
        <v>220</v>
      </c>
    </row>
    <row r="10" spans="1:6" x14ac:dyDescent="0.2">
      <c r="A10" s="8" t="s">
        <v>8313</v>
      </c>
      <c r="B10" s="9">
        <v>80</v>
      </c>
      <c r="C10" s="9"/>
      <c r="D10" s="18">
        <v>140</v>
      </c>
      <c r="E10" s="9"/>
      <c r="F10" s="9">
        <v>220</v>
      </c>
    </row>
    <row r="11" spans="1:6" x14ac:dyDescent="0.2">
      <c r="A11" s="8" t="s">
        <v>8317</v>
      </c>
      <c r="B11" s="9">
        <v>80</v>
      </c>
      <c r="C11" s="9"/>
      <c r="D11" s="18">
        <v>127</v>
      </c>
      <c r="E11" s="9">
        <v>30</v>
      </c>
      <c r="F11" s="9">
        <v>237</v>
      </c>
    </row>
    <row r="12" spans="1:6" x14ac:dyDescent="0.2">
      <c r="A12" s="8" t="s">
        <v>8312</v>
      </c>
      <c r="B12" s="9">
        <v>34</v>
      </c>
      <c r="C12" s="9">
        <v>6</v>
      </c>
      <c r="D12" s="18">
        <v>140</v>
      </c>
      <c r="E12" s="9">
        <v>20</v>
      </c>
      <c r="F12" s="9">
        <v>200</v>
      </c>
    </row>
    <row r="13" spans="1:6" x14ac:dyDescent="0.2">
      <c r="A13" s="8" t="s">
        <v>8314</v>
      </c>
      <c r="B13" s="9"/>
      <c r="C13" s="9"/>
      <c r="D13" s="9"/>
      <c r="E13" s="9">
        <v>24</v>
      </c>
      <c r="F13" s="9">
        <v>24</v>
      </c>
    </row>
    <row r="14" spans="1:6" x14ac:dyDescent="0.2">
      <c r="A14" s="8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7"/>
  <sheetViews>
    <sheetView topLeftCell="A4" workbookViewId="0">
      <selection activeCell="F44" sqref="F44"/>
    </sheetView>
  </sheetViews>
  <sheetFormatPr baseColWidth="10" defaultColWidth="8.83203125" defaultRowHeight="15" x14ac:dyDescent="0.2"/>
  <cols>
    <col min="1" max="1" width="15.6640625" bestFit="1" customWidth="1"/>
    <col min="2" max="2" width="15.33203125" bestFit="1" customWidth="1"/>
    <col min="3" max="3" width="3.6640625" bestFit="1" customWidth="1"/>
    <col min="4" max="4" width="5.5" bestFit="1" customWidth="1"/>
    <col min="5" max="5" width="8.1640625" bestFit="1" customWidth="1"/>
    <col min="6" max="6" width="10.6640625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">
      <c r="A6" s="8" t="s">
        <v>8347</v>
      </c>
      <c r="B6" s="19">
        <v>694</v>
      </c>
      <c r="C6" s="9">
        <v>19</v>
      </c>
      <c r="D6" s="9">
        <v>353</v>
      </c>
      <c r="E6" s="9"/>
      <c r="F6" s="9">
        <v>1066</v>
      </c>
    </row>
    <row r="7" spans="1:6" x14ac:dyDescent="0.2">
      <c r="A7" s="8" t="s">
        <v>8351</v>
      </c>
      <c r="B7" s="19">
        <v>260</v>
      </c>
      <c r="C7" s="9"/>
      <c r="D7" s="9"/>
      <c r="E7" s="9"/>
      <c r="F7" s="9">
        <v>260</v>
      </c>
    </row>
    <row r="8" spans="1:6" x14ac:dyDescent="0.2">
      <c r="A8" s="8" t="s">
        <v>8328</v>
      </c>
      <c r="B8" s="19">
        <v>180</v>
      </c>
      <c r="C8" s="9"/>
      <c r="D8" s="9"/>
      <c r="E8" s="9"/>
      <c r="F8" s="9">
        <v>180</v>
      </c>
    </row>
    <row r="9" spans="1:6" x14ac:dyDescent="0.2">
      <c r="A9" s="8" t="s">
        <v>8336</v>
      </c>
      <c r="B9" s="19">
        <v>140</v>
      </c>
      <c r="C9" s="9"/>
      <c r="D9" s="9">
        <v>20</v>
      </c>
      <c r="E9" s="9"/>
      <c r="F9" s="9">
        <v>160</v>
      </c>
    </row>
    <row r="10" spans="1:6" x14ac:dyDescent="0.2">
      <c r="A10" s="8" t="s">
        <v>8335</v>
      </c>
      <c r="B10" s="19">
        <v>140</v>
      </c>
      <c r="C10" s="9"/>
      <c r="D10" s="9"/>
      <c r="E10" s="9"/>
      <c r="F10" s="9">
        <v>140</v>
      </c>
    </row>
    <row r="11" spans="1:6" x14ac:dyDescent="0.2">
      <c r="A11" s="8" t="s">
        <v>8345</v>
      </c>
      <c r="B11" s="19">
        <v>103</v>
      </c>
      <c r="C11" s="9"/>
      <c r="D11" s="9">
        <v>57</v>
      </c>
      <c r="E11" s="9"/>
      <c r="F11" s="9">
        <v>160</v>
      </c>
    </row>
    <row r="12" spans="1:6" x14ac:dyDescent="0.2">
      <c r="A12" s="8" t="s">
        <v>8356</v>
      </c>
      <c r="B12" s="19">
        <v>85</v>
      </c>
      <c r="C12" s="9">
        <v>5</v>
      </c>
      <c r="D12" s="9">
        <v>80</v>
      </c>
      <c r="E12" s="9">
        <v>17</v>
      </c>
      <c r="F12" s="9">
        <v>187</v>
      </c>
    </row>
    <row r="13" spans="1:6" x14ac:dyDescent="0.2">
      <c r="A13" s="8" t="s">
        <v>8357</v>
      </c>
      <c r="B13" s="19">
        <v>80</v>
      </c>
      <c r="C13" s="9"/>
      <c r="D13" s="9"/>
      <c r="E13" s="9"/>
      <c r="F13" s="9">
        <v>80</v>
      </c>
    </row>
    <row r="14" spans="1:6" x14ac:dyDescent="0.2">
      <c r="A14" s="8" t="s">
        <v>8341</v>
      </c>
      <c r="B14" s="19">
        <v>60</v>
      </c>
      <c r="C14" s="9"/>
      <c r="D14" s="9">
        <v>60</v>
      </c>
      <c r="E14" s="9">
        <v>20</v>
      </c>
      <c r="F14" s="9">
        <v>140</v>
      </c>
    </row>
    <row r="15" spans="1:6" x14ac:dyDescent="0.2">
      <c r="A15" s="8" t="s">
        <v>8358</v>
      </c>
      <c r="B15" s="19">
        <v>60</v>
      </c>
      <c r="C15" s="9"/>
      <c r="D15" s="9"/>
      <c r="E15" s="9"/>
      <c r="F15" s="9">
        <v>60</v>
      </c>
    </row>
    <row r="16" spans="1:6" x14ac:dyDescent="0.2">
      <c r="A16" s="8" t="s">
        <v>8353</v>
      </c>
      <c r="B16" s="19">
        <v>60</v>
      </c>
      <c r="C16" s="9"/>
      <c r="D16" s="9"/>
      <c r="E16" s="9"/>
      <c r="F16" s="9">
        <v>60</v>
      </c>
    </row>
    <row r="17" spans="1:6" x14ac:dyDescent="0.2">
      <c r="A17" s="8" t="s">
        <v>8343</v>
      </c>
      <c r="B17" s="19">
        <v>60</v>
      </c>
      <c r="C17" s="9"/>
      <c r="D17" s="9"/>
      <c r="E17" s="9"/>
      <c r="F17" s="9">
        <v>60</v>
      </c>
    </row>
    <row r="18" spans="1:6" x14ac:dyDescent="0.2">
      <c r="A18" s="8" t="s">
        <v>8355</v>
      </c>
      <c r="B18" s="19">
        <v>40</v>
      </c>
      <c r="C18" s="9"/>
      <c r="D18" s="9">
        <v>2</v>
      </c>
      <c r="E18" s="9">
        <v>18</v>
      </c>
      <c r="F18" s="9">
        <v>60</v>
      </c>
    </row>
    <row r="19" spans="1:6" x14ac:dyDescent="0.2">
      <c r="A19" s="8" t="s">
        <v>8330</v>
      </c>
      <c r="B19" s="19">
        <v>40</v>
      </c>
      <c r="C19" s="9"/>
      <c r="D19" s="9"/>
      <c r="E19" s="9"/>
      <c r="F19" s="9">
        <v>40</v>
      </c>
    </row>
    <row r="20" spans="1:6" x14ac:dyDescent="0.2">
      <c r="A20" s="8" t="s">
        <v>8327</v>
      </c>
      <c r="B20" s="19">
        <v>40</v>
      </c>
      <c r="C20" s="9"/>
      <c r="D20" s="9"/>
      <c r="E20" s="9"/>
      <c r="F20" s="9">
        <v>40</v>
      </c>
    </row>
    <row r="21" spans="1:6" x14ac:dyDescent="0.2">
      <c r="A21" s="8" t="s">
        <v>8348</v>
      </c>
      <c r="B21" s="19">
        <v>40</v>
      </c>
      <c r="C21" s="9"/>
      <c r="D21" s="9"/>
      <c r="E21" s="9"/>
      <c r="F21" s="9">
        <v>40</v>
      </c>
    </row>
    <row r="22" spans="1:6" x14ac:dyDescent="0.2">
      <c r="A22" s="8" t="s">
        <v>8354</v>
      </c>
      <c r="B22" s="19">
        <v>34</v>
      </c>
      <c r="C22" s="9">
        <v>6</v>
      </c>
      <c r="D22" s="9"/>
      <c r="E22" s="9"/>
      <c r="F22" s="9">
        <v>40</v>
      </c>
    </row>
    <row r="23" spans="1:6" x14ac:dyDescent="0.2">
      <c r="A23" s="8" t="s">
        <v>8361</v>
      </c>
      <c r="B23" s="9">
        <v>20</v>
      </c>
      <c r="C23" s="9"/>
      <c r="D23" s="9">
        <v>120</v>
      </c>
      <c r="E23" s="9">
        <v>60</v>
      </c>
      <c r="F23" s="9">
        <v>200</v>
      </c>
    </row>
    <row r="24" spans="1:6" x14ac:dyDescent="0.2">
      <c r="A24" s="8" t="s">
        <v>8339</v>
      </c>
      <c r="B24" s="19">
        <v>20</v>
      </c>
      <c r="C24" s="9"/>
      <c r="D24" s="9"/>
      <c r="E24" s="9"/>
      <c r="F24" s="9">
        <v>20</v>
      </c>
    </row>
    <row r="25" spans="1:6" x14ac:dyDescent="0.2">
      <c r="A25" s="8" t="s">
        <v>8349</v>
      </c>
      <c r="B25" s="19">
        <v>20</v>
      </c>
      <c r="C25" s="9"/>
      <c r="D25" s="9"/>
      <c r="E25" s="9"/>
      <c r="F25" s="9">
        <v>20</v>
      </c>
    </row>
    <row r="26" spans="1:6" x14ac:dyDescent="0.2">
      <c r="A26" s="8" t="s">
        <v>8338</v>
      </c>
      <c r="B26" s="9">
        <v>9</v>
      </c>
      <c r="C26" s="9"/>
      <c r="D26" s="18">
        <v>11</v>
      </c>
      <c r="E26" s="9"/>
      <c r="F26" s="9">
        <v>20</v>
      </c>
    </row>
    <row r="27" spans="1:6" x14ac:dyDescent="0.2">
      <c r="A27" s="8" t="s">
        <v>8360</v>
      </c>
      <c r="B27" s="9"/>
      <c r="C27" s="9"/>
      <c r="D27" s="18">
        <v>100</v>
      </c>
      <c r="E27" s="9"/>
      <c r="F27" s="9">
        <v>100</v>
      </c>
    </row>
    <row r="28" spans="1:6" x14ac:dyDescent="0.2">
      <c r="A28" s="8" t="s">
        <v>8344</v>
      </c>
      <c r="B28" s="9"/>
      <c r="C28" s="9"/>
      <c r="D28" s="18">
        <v>20</v>
      </c>
      <c r="E28" s="9"/>
      <c r="F28" s="9">
        <v>20</v>
      </c>
    </row>
    <row r="29" spans="1:6" x14ac:dyDescent="0.2">
      <c r="A29" s="8" t="s">
        <v>8323</v>
      </c>
      <c r="B29" s="9"/>
      <c r="C29" s="9"/>
      <c r="D29" s="18">
        <v>100</v>
      </c>
      <c r="E29" s="9"/>
      <c r="F29" s="9">
        <v>100</v>
      </c>
    </row>
    <row r="30" spans="1:6" x14ac:dyDescent="0.2">
      <c r="A30" s="8" t="s">
        <v>8324</v>
      </c>
      <c r="B30" s="9"/>
      <c r="C30" s="9"/>
      <c r="D30" s="9"/>
      <c r="E30" s="9">
        <v>20</v>
      </c>
      <c r="F30" s="9">
        <v>20</v>
      </c>
    </row>
    <row r="31" spans="1:6" x14ac:dyDescent="0.2">
      <c r="A31" s="8" t="s">
        <v>8334</v>
      </c>
      <c r="B31" s="9"/>
      <c r="C31" s="9"/>
      <c r="D31" s="18">
        <v>20</v>
      </c>
      <c r="E31" s="9"/>
      <c r="F31" s="9">
        <v>20</v>
      </c>
    </row>
    <row r="32" spans="1:6" x14ac:dyDescent="0.2">
      <c r="A32" s="8" t="s">
        <v>8346</v>
      </c>
      <c r="B32" s="9"/>
      <c r="C32" s="9"/>
      <c r="D32" s="18">
        <v>20</v>
      </c>
      <c r="E32" s="9"/>
      <c r="F32" s="9">
        <v>20</v>
      </c>
    </row>
    <row r="33" spans="1:6" x14ac:dyDescent="0.2">
      <c r="A33" s="8" t="s">
        <v>8362</v>
      </c>
      <c r="B33" s="9"/>
      <c r="C33" s="9"/>
      <c r="D33" s="18">
        <v>60</v>
      </c>
      <c r="E33" s="9">
        <v>100</v>
      </c>
      <c r="F33" s="9">
        <v>160</v>
      </c>
    </row>
    <row r="34" spans="1:6" x14ac:dyDescent="0.2">
      <c r="A34" s="8" t="s">
        <v>8329</v>
      </c>
      <c r="B34" s="9"/>
      <c r="C34" s="9"/>
      <c r="D34" s="18">
        <v>80</v>
      </c>
      <c r="E34" s="9"/>
      <c r="F34" s="9">
        <v>80</v>
      </c>
    </row>
    <row r="35" spans="1:6" x14ac:dyDescent="0.2">
      <c r="A35" s="8" t="s">
        <v>8340</v>
      </c>
      <c r="B35" s="9"/>
      <c r="C35" s="9"/>
      <c r="D35" s="18">
        <v>40</v>
      </c>
      <c r="E35" s="9"/>
      <c r="F35" s="9">
        <v>40</v>
      </c>
    </row>
    <row r="36" spans="1:6" x14ac:dyDescent="0.2">
      <c r="A36" s="8" t="s">
        <v>8337</v>
      </c>
      <c r="B36" s="9"/>
      <c r="C36" s="9"/>
      <c r="D36" s="18">
        <v>60</v>
      </c>
      <c r="E36" s="9"/>
      <c r="F36" s="9">
        <v>60</v>
      </c>
    </row>
    <row r="37" spans="1:6" x14ac:dyDescent="0.2">
      <c r="A37" s="8" t="s">
        <v>8332</v>
      </c>
      <c r="B37" s="9"/>
      <c r="C37" s="9"/>
      <c r="D37" s="18">
        <v>40</v>
      </c>
      <c r="E37" s="9"/>
      <c r="F37" s="9">
        <v>40</v>
      </c>
    </row>
    <row r="38" spans="1:6" x14ac:dyDescent="0.2">
      <c r="A38" s="8" t="s">
        <v>8333</v>
      </c>
      <c r="B38" s="9"/>
      <c r="C38" s="9"/>
      <c r="D38" s="18">
        <v>120</v>
      </c>
      <c r="E38" s="9">
        <v>20</v>
      </c>
      <c r="F38" s="9">
        <v>140</v>
      </c>
    </row>
    <row r="39" spans="1:6" x14ac:dyDescent="0.2">
      <c r="A39" s="8" t="s">
        <v>8325</v>
      </c>
      <c r="B39" s="9"/>
      <c r="C39" s="9"/>
      <c r="D39" s="9"/>
      <c r="E39" s="9">
        <v>24</v>
      </c>
      <c r="F39" s="9">
        <v>24</v>
      </c>
    </row>
    <row r="40" spans="1:6" x14ac:dyDescent="0.2">
      <c r="A40" s="8" t="s">
        <v>8359</v>
      </c>
      <c r="B40" s="9"/>
      <c r="C40" s="9"/>
      <c r="D40" s="18">
        <v>47</v>
      </c>
      <c r="E40" s="9">
        <v>10</v>
      </c>
      <c r="F40" s="9">
        <v>57</v>
      </c>
    </row>
    <row r="41" spans="1:6" x14ac:dyDescent="0.2">
      <c r="A41" s="8" t="s">
        <v>8350</v>
      </c>
      <c r="B41" s="9"/>
      <c r="C41" s="9"/>
      <c r="D41" s="18">
        <v>20</v>
      </c>
      <c r="E41" s="9"/>
      <c r="F41" s="9">
        <v>20</v>
      </c>
    </row>
    <row r="42" spans="1:6" x14ac:dyDescent="0.2">
      <c r="A42" s="8" t="s">
        <v>8342</v>
      </c>
      <c r="B42" s="9"/>
      <c r="C42" s="9"/>
      <c r="D42" s="18">
        <v>20</v>
      </c>
      <c r="E42" s="9"/>
      <c r="F42" s="9">
        <v>20</v>
      </c>
    </row>
    <row r="43" spans="1:6" x14ac:dyDescent="0.2">
      <c r="A43" s="8" t="s">
        <v>8326</v>
      </c>
      <c r="B43" s="9"/>
      <c r="C43" s="9"/>
      <c r="D43" s="18">
        <v>40</v>
      </c>
      <c r="E43" s="9"/>
      <c r="F43" s="9">
        <v>40</v>
      </c>
    </row>
    <row r="44" spans="1:6" x14ac:dyDescent="0.2">
      <c r="A44" s="8" t="s">
        <v>8363</v>
      </c>
      <c r="B44" s="9"/>
      <c r="C44" s="9"/>
      <c r="D44" s="9"/>
      <c r="E44" s="9">
        <v>20</v>
      </c>
      <c r="F44" s="9">
        <v>20</v>
      </c>
    </row>
    <row r="45" spans="1:6" x14ac:dyDescent="0.2">
      <c r="A45" s="8" t="s">
        <v>8352</v>
      </c>
      <c r="B45" s="9"/>
      <c r="C45" s="9"/>
      <c r="D45" s="9"/>
      <c r="E45" s="9">
        <v>40</v>
      </c>
      <c r="F45" s="9">
        <v>40</v>
      </c>
    </row>
    <row r="46" spans="1:6" x14ac:dyDescent="0.2">
      <c r="A46" s="8" t="s">
        <v>8331</v>
      </c>
      <c r="B46" s="9"/>
      <c r="C46" s="9">
        <v>20</v>
      </c>
      <c r="D46" s="9">
        <v>40</v>
      </c>
      <c r="E46" s="9"/>
      <c r="F46" s="9">
        <v>60</v>
      </c>
    </row>
    <row r="47" spans="1:6" x14ac:dyDescent="0.2">
      <c r="A47" s="8" t="s">
        <v>8320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18"/>
  <sheetViews>
    <sheetView workbookViewId="0">
      <selection activeCell="K39" sqref="K39"/>
    </sheetView>
  </sheetViews>
  <sheetFormatPr baseColWidth="10" defaultColWidth="8.83203125" defaultRowHeight="15" x14ac:dyDescent="0.2"/>
  <cols>
    <col min="1" max="1" width="12.83203125" customWidth="1"/>
    <col min="2" max="2" width="15.33203125" bestFit="1" customWidth="1"/>
    <col min="3" max="3" width="5.5" bestFit="1" customWidth="1"/>
    <col min="4" max="4" width="3.6640625" bestFit="1" customWidth="1"/>
    <col min="5" max="5" width="9.1640625" bestFit="1" customWidth="1"/>
    <col min="6" max="6" width="10.6640625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K13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26.83203125" bestFit="1" customWidth="1"/>
    <col min="2" max="2" width="16.6640625" bestFit="1" customWidth="1"/>
    <col min="3" max="3" width="13.1640625" bestFit="1" customWidth="1"/>
    <col min="4" max="4" width="15.6640625" bestFit="1" customWidth="1"/>
    <col min="5" max="5" width="12" bestFit="1" customWidth="1"/>
    <col min="6" max="6" width="19.1640625" bestFit="1" customWidth="1"/>
    <col min="7" max="7" width="15.5" bestFit="1" customWidth="1"/>
    <col min="8" max="8" width="18.1640625" bestFit="1" customWidth="1"/>
  </cols>
  <sheetData>
    <row r="1" spans="1:11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K1" t="s">
        <v>8400</v>
      </c>
    </row>
    <row r="2" spans="1:11" x14ac:dyDescent="0.2">
      <c r="A2" t="s">
        <v>8388</v>
      </c>
      <c r="B2">
        <f>COUNTIFS(raw_states, 'Campaign by % of State'!$K$2, goal, "&lt;"&amp;"1000")</f>
        <v>322</v>
      </c>
      <c r="C2">
        <f>COUNTIFS(raw_states, 'Campaign by % of State'!$K$4, goal, "&lt;"&amp;"1000")</f>
        <v>113</v>
      </c>
      <c r="D2">
        <f>COUNTIFS(raw_states, 'Campaign by % of State'!$K$3, goal, "&lt;"&amp;"1000")</f>
        <v>18</v>
      </c>
      <c r="E2">
        <f>COUNTIFS(goal, "&lt;"&amp;"1000")</f>
        <v>461</v>
      </c>
      <c r="F2" s="13">
        <f>B2/E2</f>
        <v>0.69848156182212584</v>
      </c>
      <c r="G2" s="12">
        <f>C2/E2</f>
        <v>0.24511930585683298</v>
      </c>
      <c r="H2" s="12">
        <f>D2/E2</f>
        <v>3.9045553145336226E-2</v>
      </c>
      <c r="K2" t="s">
        <v>8219</v>
      </c>
    </row>
    <row r="3" spans="1:11" x14ac:dyDescent="0.2">
      <c r="A3" t="s">
        <v>8389</v>
      </c>
      <c r="B3">
        <f>COUNTIFS(raw_states, 'Campaign by % of State'!$K$2, goal, "&lt;"&amp;"5000", goal,"&gt;="&amp;"1000" )</f>
        <v>932</v>
      </c>
      <c r="C3">
        <f>COUNTIFS(raw_states, 'Campaign by % of State'!$K$4, goal, "&lt;"&amp;"5000", goal,"&gt;="&amp;"1000" )</f>
        <v>420</v>
      </c>
      <c r="D3">
        <f>COUNTIFS(raw_states, 'Campaign by % of State'!$K$3, goal, "&lt;"&amp;"5000", goal,"&gt;="&amp;"1000" )</f>
        <v>60</v>
      </c>
      <c r="E3">
        <f>COUNTIFS( goal, "&lt;"&amp;"5000", goal,"&gt;="&amp;"1000" )</f>
        <v>1425</v>
      </c>
      <c r="F3" s="13">
        <f t="shared" ref="F3:F13" si="0">B3/E3</f>
        <v>0.65403508771929819</v>
      </c>
      <c r="G3" s="12">
        <f t="shared" ref="G3:G13" si="1">C3/E3</f>
        <v>0.29473684210526313</v>
      </c>
      <c r="H3" s="12">
        <f t="shared" ref="H3:H13" si="2">D3/E3</f>
        <v>4.2105263157894736E-2</v>
      </c>
      <c r="K3" t="s">
        <v>8220</v>
      </c>
    </row>
    <row r="4" spans="1:11" x14ac:dyDescent="0.2">
      <c r="A4" t="s">
        <v>8390</v>
      </c>
      <c r="B4">
        <f>COUNTIFS(raw_states, 'Campaign by % of State'!$K$2, goal, "&lt;"&amp;"10000", goal,"&gt;="&amp;"5000" )</f>
        <v>381</v>
      </c>
      <c r="C4">
        <f>COUNTIFS(raw_states, 'Campaign by % of State'!$K$4, goal, "&lt;"&amp;"10000", goal,"&gt;="&amp;"5000" )</f>
        <v>283</v>
      </c>
      <c r="D4">
        <f>COUNTIFS(raw_states, 'Campaign by % of State'!$K$3, goal, "&lt;"&amp;"10000", goal,"&gt;="&amp;"5000" )</f>
        <v>52</v>
      </c>
      <c r="E4">
        <f>COUNTIFS( goal, "&lt;"&amp;"10000", goal,"&gt;="&amp;"5000" )</f>
        <v>722</v>
      </c>
      <c r="F4" s="13">
        <f t="shared" si="0"/>
        <v>0.52770083102493071</v>
      </c>
      <c r="G4" s="12">
        <f t="shared" si="1"/>
        <v>0.39196675900277006</v>
      </c>
      <c r="H4" s="12">
        <f t="shared" si="2"/>
        <v>7.2022160664819951E-2</v>
      </c>
      <c r="K4" t="s">
        <v>8221</v>
      </c>
    </row>
    <row r="5" spans="1:11" x14ac:dyDescent="0.2">
      <c r="A5" t="s">
        <v>8391</v>
      </c>
      <c r="B5">
        <f>COUNTIFS(raw_states, 'Campaign by % of State'!$K$2, goal, "&lt;"&amp;"15000", goal,"&gt;="&amp;"10000" )</f>
        <v>168</v>
      </c>
      <c r="C5">
        <f>COUNTIFS(raw_states, 'Campaign by % of State'!$K$4, goal, "&lt;"&amp;"15000", goal,"&gt;="&amp;"10000" )</f>
        <v>144</v>
      </c>
      <c r="D5">
        <f>COUNTIFS(raw_states, 'Campaign by % of State'!$K$3, goal, "&lt;"&amp;"15000", goal,"&gt;="&amp;"10000" )</f>
        <v>40</v>
      </c>
      <c r="E5">
        <f>COUNTIFS( goal, "&lt;"&amp;"15000", goal,"&gt;="&amp;"10000" )</f>
        <v>361</v>
      </c>
      <c r="F5" s="13">
        <f t="shared" si="0"/>
        <v>0.46537396121883656</v>
      </c>
      <c r="G5" s="12">
        <f t="shared" si="1"/>
        <v>0.39889196675900279</v>
      </c>
      <c r="H5" s="12">
        <f t="shared" si="2"/>
        <v>0.11080332409972299</v>
      </c>
      <c r="K5" t="s">
        <v>8222</v>
      </c>
    </row>
    <row r="6" spans="1:11" x14ac:dyDescent="0.2">
      <c r="A6" t="s">
        <v>8392</v>
      </c>
      <c r="B6">
        <f>COUNTIFS(raw_states, 'Campaign by % of State'!$K$2, goal, "&lt;"&amp;"20000", goal,"&gt;="&amp;"15000" )</f>
        <v>94</v>
      </c>
      <c r="C6">
        <f>COUNTIFS(raw_states, 'Campaign by % of State'!$K$4, goal, "&lt;"&amp;"20000", goal,"&gt;="&amp;"15000" )</f>
        <v>90</v>
      </c>
      <c r="D6">
        <f>COUNTIFS(raw_states, 'Campaign by % of State'!$K$3, goal, "&lt;"&amp;"20000", goal,"&gt;="&amp;"15000" )</f>
        <v>17</v>
      </c>
      <c r="E6">
        <f>COUNTIFS( goal, "&lt;"&amp;"20000", goal,"&gt;="&amp;"15000" )</f>
        <v>205</v>
      </c>
      <c r="F6" s="13">
        <f t="shared" si="0"/>
        <v>0.45853658536585368</v>
      </c>
      <c r="G6" s="12">
        <f t="shared" si="1"/>
        <v>0.43902439024390244</v>
      </c>
      <c r="H6" s="12">
        <f t="shared" si="2"/>
        <v>8.2926829268292687E-2</v>
      </c>
    </row>
    <row r="7" spans="1:11" x14ac:dyDescent="0.2">
      <c r="A7" t="s">
        <v>8393</v>
      </c>
      <c r="B7">
        <f>COUNTIFS(raw_states, 'Campaign by % of State'!$K$2, goal, "&lt;"&amp;"25000", goal,"&gt;="&amp;"20000" )</f>
        <v>62</v>
      </c>
      <c r="C7">
        <f>COUNTIFS(raw_states, 'Campaign by % of State'!$K$4, goal, "&lt;"&amp;"25000", goal,"&gt;="&amp;"20000" )</f>
        <v>72</v>
      </c>
      <c r="D7">
        <f>COUNTIFS(raw_states, 'Campaign by % of State'!$K$3, goal, "&lt;"&amp;"25000", goal,"&gt;="&amp;"20000" )</f>
        <v>14</v>
      </c>
      <c r="E7">
        <f>COUNTIFS( goal, "&lt;"&amp;"25000", goal,"&gt;="&amp;"20000" )</f>
        <v>149</v>
      </c>
      <c r="F7" s="12">
        <f t="shared" si="0"/>
        <v>0.41610738255033558</v>
      </c>
      <c r="G7" s="12">
        <f t="shared" si="1"/>
        <v>0.48322147651006714</v>
      </c>
      <c r="H7" s="12">
        <f t="shared" si="2"/>
        <v>9.3959731543624164E-2</v>
      </c>
    </row>
    <row r="8" spans="1:11" x14ac:dyDescent="0.2">
      <c r="A8" t="s">
        <v>8394</v>
      </c>
      <c r="B8">
        <f>COUNTIFS(raw_states, 'Campaign by % of State'!$K$2, goal, "&lt;"&amp;"30000", goal,"&gt;="&amp;"25000" )</f>
        <v>55</v>
      </c>
      <c r="C8">
        <f>COUNTIFS(raw_states, 'Campaign by % of State'!$K$4, goal, "&lt;"&amp;"30000", goal,"&gt;="&amp;"25000" )</f>
        <v>64</v>
      </c>
      <c r="D8">
        <f>COUNTIFS(raw_states, 'Campaign by % of State'!$K$3, goal, "&lt;"&amp;"30000", goal,"&gt;="&amp;"25000" )</f>
        <v>18</v>
      </c>
      <c r="E8">
        <f>COUNTIFS( goal, "&lt;"&amp;"30000", goal,"&gt;="&amp;"25000" )</f>
        <v>138</v>
      </c>
      <c r="F8" s="12">
        <f t="shared" si="0"/>
        <v>0.39855072463768115</v>
      </c>
      <c r="G8" s="12">
        <f t="shared" si="1"/>
        <v>0.46376811594202899</v>
      </c>
      <c r="H8" s="12">
        <f t="shared" si="2"/>
        <v>0.13043478260869565</v>
      </c>
    </row>
    <row r="9" spans="1:11" x14ac:dyDescent="0.2">
      <c r="A9" t="s">
        <v>8395</v>
      </c>
      <c r="B9">
        <f>COUNTIFS(raw_states, 'Campaign by % of State'!$K$2, goal, "&lt;"&amp;"35000", goal,"&gt;="&amp;"30000" )</f>
        <v>32</v>
      </c>
      <c r="C9">
        <f>COUNTIFS(raw_states, 'Campaign by % of State'!$K$4, goal, "&lt;"&amp;"35000", goal,"&gt;="&amp;"30000" )</f>
        <v>37</v>
      </c>
      <c r="D9">
        <f>COUNTIFS(raw_states, 'Campaign by % of State'!$K$3, goal, "&lt;"&amp;"35000", goal,"&gt;="&amp;"30000" )</f>
        <v>13</v>
      </c>
      <c r="E9">
        <f>COUNTIFS( goal, "&lt;"&amp;"35000", goal,"&gt;="&amp;"30000" )</f>
        <v>84</v>
      </c>
      <c r="F9" s="12">
        <f t="shared" si="0"/>
        <v>0.38095238095238093</v>
      </c>
      <c r="G9" s="12">
        <f t="shared" si="1"/>
        <v>0.44047619047619047</v>
      </c>
      <c r="H9" s="12">
        <f t="shared" si="2"/>
        <v>0.15476190476190477</v>
      </c>
    </row>
    <row r="10" spans="1:11" x14ac:dyDescent="0.2">
      <c r="A10" t="s">
        <v>8396</v>
      </c>
      <c r="B10">
        <f>COUNTIFS(raw_states, 'Campaign by % of State'!$K$2, goal, "&lt;"&amp;"40000", goal,"&gt;="&amp;"35000" )</f>
        <v>26</v>
      </c>
      <c r="C10">
        <f>COUNTIFS(raw_states, 'Campaign by % of State'!$K$4, goal, "&lt;"&amp;"40000", goal,"&gt;="&amp;"35000" )</f>
        <v>22</v>
      </c>
      <c r="D10">
        <f>COUNTIFS(raw_states, 'Campaign by % of State'!$K$3, goal, "&lt;"&amp;"40000", goal,"&gt;="&amp;"35000" )</f>
        <v>7</v>
      </c>
      <c r="E10">
        <f>COUNTIFS( goal, "&lt;"&amp;"40000", goal,"&gt;="&amp;"35000" )</f>
        <v>55</v>
      </c>
      <c r="F10" s="13">
        <f t="shared" si="0"/>
        <v>0.47272727272727272</v>
      </c>
      <c r="G10" s="12">
        <f t="shared" si="1"/>
        <v>0.4</v>
      </c>
      <c r="H10" s="12">
        <f t="shared" si="2"/>
        <v>0.12727272727272726</v>
      </c>
    </row>
    <row r="11" spans="1:11" x14ac:dyDescent="0.2">
      <c r="A11" t="s">
        <v>8397</v>
      </c>
      <c r="B11">
        <f>COUNTIFS(raw_states, 'Campaign by % of State'!$K$2, goal, "&lt;"&amp;"45000", goal,"&gt;="&amp;"40000" )</f>
        <v>21</v>
      </c>
      <c r="C11">
        <f>COUNTIFS(raw_states, 'Campaign by % of State'!$K$4, goal, "&lt;"&amp;"45000", goal,"&gt;="&amp;"40000" )</f>
        <v>16</v>
      </c>
      <c r="D11">
        <f>COUNTIFS(raw_states, 'Campaign by % of State'!$K$3, goal, "&lt;"&amp;"45000", goal,"&gt;="&amp;"40000" )</f>
        <v>6</v>
      </c>
      <c r="E11">
        <f>COUNTIFS( goal, "&lt;"&amp;"45000", goal,"&gt;="&amp;"40000" )</f>
        <v>44</v>
      </c>
      <c r="F11" s="13">
        <f t="shared" si="0"/>
        <v>0.47727272727272729</v>
      </c>
      <c r="G11" s="12">
        <f t="shared" si="1"/>
        <v>0.36363636363636365</v>
      </c>
      <c r="H11" s="12">
        <f t="shared" si="2"/>
        <v>0.13636363636363635</v>
      </c>
    </row>
    <row r="12" spans="1:11" x14ac:dyDescent="0.2">
      <c r="A12" t="s">
        <v>8398</v>
      </c>
      <c r="B12">
        <f>COUNTIFS(raw_states, 'Campaign by % of State'!$K$2, goal, "&lt;"&amp;"50000", goal,"&gt;="&amp;"45000" )</f>
        <v>6</v>
      </c>
      <c r="C12">
        <f>COUNTIFS(raw_states, 'Campaign by % of State'!$K$4, goal, "&lt;"&amp;"50000", goal,"&gt;="&amp;"45000" )</f>
        <v>11</v>
      </c>
      <c r="D12">
        <f>COUNTIFS(raw_states, 'Campaign by % of State'!$K$3, goal, "&lt;"&amp;"50000", goal,"&gt;="&amp;"45000" )</f>
        <v>4</v>
      </c>
      <c r="E12">
        <f>COUNTIFS( goal, "&lt;"&amp;"50000", goal,"&gt;="&amp;"45000" )</f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11" x14ac:dyDescent="0.2">
      <c r="A13" t="s">
        <v>8399</v>
      </c>
      <c r="B13">
        <f>COUNTIFS(raw_states, 'Campaign by % of State'!$K$2, goal, "&gt;"&amp;"50000")</f>
        <v>55</v>
      </c>
      <c r="C13">
        <f>COUNTIFS(raw_states, 'Campaign by % of State'!$K$4, goal, "&gt;"&amp;"50000")</f>
        <v>198</v>
      </c>
      <c r="D13">
        <f>COUNTIFS(raw_states, 'Campaign by % of State'!$K$3, goal, "&gt;"&amp;"50000")</f>
        <v>83</v>
      </c>
      <c r="E13">
        <f>COUNTIFS( goal, "&gt;"&amp;"50000")</f>
        <v>339</v>
      </c>
      <c r="F13" s="12">
        <f t="shared" si="0"/>
        <v>0.16224188790560473</v>
      </c>
      <c r="G13" s="12">
        <f t="shared" si="1"/>
        <v>0.58407079646017701</v>
      </c>
      <c r="H13" s="12">
        <f t="shared" si="2"/>
        <v>0.24483775811209441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2186"/>
  <sheetViews>
    <sheetView workbookViewId="0">
      <selection activeCell="O2" sqref="O2:R4"/>
    </sheetView>
  </sheetViews>
  <sheetFormatPr baseColWidth="10" defaultColWidth="8.83203125" defaultRowHeight="15" x14ac:dyDescent="0.2"/>
  <cols>
    <col min="8" max="8" width="14.33203125" customWidth="1"/>
    <col min="10" max="10" width="11.33203125" bestFit="1" customWidth="1"/>
    <col min="12" max="12" width="13.1640625" customWidth="1"/>
  </cols>
  <sheetData>
    <row r="1" spans="1:12" x14ac:dyDescent="0.2">
      <c r="A1" s="1" t="s">
        <v>8218</v>
      </c>
      <c r="B1" s="1" t="s">
        <v>8262</v>
      </c>
      <c r="D1" s="1" t="s">
        <v>8218</v>
      </c>
      <c r="E1" s="1" t="s">
        <v>8262</v>
      </c>
      <c r="H1" t="s">
        <v>8401</v>
      </c>
      <c r="K1" t="s">
        <v>8408</v>
      </c>
    </row>
    <row r="2" spans="1:12" x14ac:dyDescent="0.2">
      <c r="A2" t="s">
        <v>8219</v>
      </c>
      <c r="B2">
        <v>182</v>
      </c>
      <c r="D2" t="s">
        <v>8221</v>
      </c>
      <c r="E2">
        <v>0</v>
      </c>
      <c r="H2" t="s">
        <v>8402</v>
      </c>
      <c r="I2">
        <f>AVERAGE(B:B)</f>
        <v>194.42517162471395</v>
      </c>
      <c r="K2" t="s">
        <v>8402</v>
      </c>
      <c r="L2">
        <f>AVERAGE(E:E)</f>
        <v>17.709803921568628</v>
      </c>
    </row>
    <row r="3" spans="1:12" x14ac:dyDescent="0.2">
      <c r="A3" t="s">
        <v>8219</v>
      </c>
      <c r="B3">
        <v>79</v>
      </c>
      <c r="D3" t="s">
        <v>8221</v>
      </c>
      <c r="E3">
        <v>1</v>
      </c>
      <c r="H3" s="15" t="s">
        <v>8403</v>
      </c>
      <c r="I3" s="15">
        <f>MEDIAN(B:B)</f>
        <v>62</v>
      </c>
      <c r="K3" s="15" t="s">
        <v>8403</v>
      </c>
      <c r="L3" s="15">
        <f>MEDIAN(E:E)</f>
        <v>4</v>
      </c>
    </row>
    <row r="4" spans="1:12" x14ac:dyDescent="0.2">
      <c r="A4" t="s">
        <v>8219</v>
      </c>
      <c r="B4">
        <v>35</v>
      </c>
      <c r="D4" t="s">
        <v>8221</v>
      </c>
      <c r="E4">
        <v>10</v>
      </c>
      <c r="H4" t="s">
        <v>8404</v>
      </c>
      <c r="I4">
        <f>MIN(B:B)</f>
        <v>1</v>
      </c>
      <c r="K4" t="s">
        <v>8404</v>
      </c>
      <c r="L4">
        <f>MIN(E:E)</f>
        <v>0</v>
      </c>
    </row>
    <row r="5" spans="1:12" x14ac:dyDescent="0.2">
      <c r="A5" t="s">
        <v>8219</v>
      </c>
      <c r="B5">
        <v>150</v>
      </c>
      <c r="D5" t="s">
        <v>8221</v>
      </c>
      <c r="E5">
        <v>0</v>
      </c>
      <c r="H5" t="s">
        <v>8405</v>
      </c>
      <c r="I5">
        <f>MAX(B:B)</f>
        <v>26457</v>
      </c>
      <c r="K5" t="s">
        <v>8405</v>
      </c>
      <c r="L5">
        <f>MAX(E:E)</f>
        <v>1293</v>
      </c>
    </row>
    <row r="6" spans="1:12" x14ac:dyDescent="0.2">
      <c r="A6" t="s">
        <v>8219</v>
      </c>
      <c r="B6">
        <v>284</v>
      </c>
      <c r="D6" t="s">
        <v>8221</v>
      </c>
      <c r="E6">
        <v>7</v>
      </c>
      <c r="H6" s="16" t="s">
        <v>8406</v>
      </c>
      <c r="I6" s="17">
        <f>_xlfn.VAR.P(B:B)</f>
        <v>712840.9867348104</v>
      </c>
      <c r="J6" s="14"/>
      <c r="K6" t="s">
        <v>8406</v>
      </c>
      <c r="L6" s="14">
        <f>_xlfn.VAR.P(E:E)</f>
        <v>3773.2216685890044</v>
      </c>
    </row>
    <row r="7" spans="1:12" x14ac:dyDescent="0.2">
      <c r="A7" t="s">
        <v>8219</v>
      </c>
      <c r="B7">
        <v>47</v>
      </c>
      <c r="D7" t="s">
        <v>8221</v>
      </c>
      <c r="E7">
        <v>0</v>
      </c>
      <c r="H7" t="s">
        <v>8407</v>
      </c>
      <c r="I7">
        <f>_xlfn.STDEV.P(B:B)</f>
        <v>844.29910975602149</v>
      </c>
      <c r="K7" t="s">
        <v>8407</v>
      </c>
      <c r="L7">
        <f>_xlfn.STDEV.P(E:E)</f>
        <v>61.426555076684906</v>
      </c>
    </row>
    <row r="8" spans="1:12" x14ac:dyDescent="0.2">
      <c r="A8" t="s">
        <v>8219</v>
      </c>
      <c r="B8">
        <v>58</v>
      </c>
      <c r="D8" t="s">
        <v>8221</v>
      </c>
      <c r="E8">
        <v>1</v>
      </c>
      <c r="H8" t="s">
        <v>8409</v>
      </c>
      <c r="I8">
        <f>_xlfn.QUARTILE.EXC(B:B,1)</f>
        <v>29</v>
      </c>
      <c r="K8" t="s">
        <v>8409</v>
      </c>
      <c r="L8">
        <f>_xlfn.QUARTILE.EXC(E:E,1)</f>
        <v>1</v>
      </c>
    </row>
    <row r="9" spans="1:12" x14ac:dyDescent="0.2">
      <c r="A9" t="s">
        <v>8219</v>
      </c>
      <c r="B9">
        <v>57</v>
      </c>
      <c r="D9" t="s">
        <v>8221</v>
      </c>
      <c r="E9">
        <v>2</v>
      </c>
      <c r="H9" t="s">
        <v>8410</v>
      </c>
      <c r="I9">
        <f>_xlfn.QUARTILE.EXC(B:B,3)</f>
        <v>141</v>
      </c>
      <c r="K9" t="s">
        <v>8410</v>
      </c>
      <c r="L9">
        <f>_xlfn.QUARTILE.EXC(E:E,3)</f>
        <v>12</v>
      </c>
    </row>
    <row r="10" spans="1:12" x14ac:dyDescent="0.2">
      <c r="A10" t="s">
        <v>8219</v>
      </c>
      <c r="B10">
        <v>12</v>
      </c>
      <c r="D10" t="s">
        <v>8221</v>
      </c>
      <c r="E10">
        <v>3</v>
      </c>
      <c r="H10" t="s">
        <v>8411</v>
      </c>
      <c r="I10">
        <f>I9-I8</f>
        <v>112</v>
      </c>
      <c r="K10" t="s">
        <v>8411</v>
      </c>
      <c r="L10">
        <f>L9-L8</f>
        <v>11</v>
      </c>
    </row>
    <row r="11" spans="1:12" x14ac:dyDescent="0.2">
      <c r="A11" t="s">
        <v>8219</v>
      </c>
      <c r="B11">
        <v>20</v>
      </c>
      <c r="D11" t="s">
        <v>8221</v>
      </c>
      <c r="E11">
        <v>10</v>
      </c>
      <c r="H11" t="s">
        <v>8412</v>
      </c>
      <c r="I11">
        <f>I8-(1.5*$I$7)</f>
        <v>-1237.4486646340322</v>
      </c>
      <c r="K11" t="s">
        <v>8412</v>
      </c>
      <c r="L11">
        <f>L8-(1.5*$I$7)</f>
        <v>-1265.4486646340322</v>
      </c>
    </row>
    <row r="12" spans="1:12" x14ac:dyDescent="0.2">
      <c r="A12" t="s">
        <v>8219</v>
      </c>
      <c r="B12">
        <v>19</v>
      </c>
      <c r="D12" t="s">
        <v>8221</v>
      </c>
      <c r="E12">
        <v>10</v>
      </c>
      <c r="H12" t="s">
        <v>8413</v>
      </c>
      <c r="I12">
        <f>I9+(1.5*$I$7)</f>
        <v>1407.4486646340322</v>
      </c>
      <c r="K12" t="s">
        <v>8413</v>
      </c>
      <c r="L12">
        <f>L9+(1.5*$I$7)</f>
        <v>1278.4486646340322</v>
      </c>
    </row>
    <row r="13" spans="1:12" x14ac:dyDescent="0.2">
      <c r="A13" t="s">
        <v>8219</v>
      </c>
      <c r="B13">
        <v>75</v>
      </c>
      <c r="D13" t="s">
        <v>8221</v>
      </c>
      <c r="E13">
        <v>1</v>
      </c>
    </row>
    <row r="14" spans="1:12" x14ac:dyDescent="0.2">
      <c r="A14" t="s">
        <v>8219</v>
      </c>
      <c r="B14">
        <v>827</v>
      </c>
      <c r="D14" t="s">
        <v>8221</v>
      </c>
      <c r="E14">
        <v>0</v>
      </c>
    </row>
    <row r="15" spans="1:12" x14ac:dyDescent="0.2">
      <c r="A15" t="s">
        <v>8219</v>
      </c>
      <c r="B15">
        <v>51</v>
      </c>
      <c r="D15" t="s">
        <v>8221</v>
      </c>
      <c r="E15">
        <v>0</v>
      </c>
    </row>
    <row r="16" spans="1:12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19" priority="17" operator="containsText" text="live">
      <formula>NOT(ISERROR(SEARCH("live",A2)))</formula>
    </cfRule>
    <cfRule type="containsText" dxfId="18" priority="18" operator="containsText" text="canceled">
      <formula>NOT(ISERROR(SEARCH("canceled",A2)))</formula>
    </cfRule>
    <cfRule type="containsText" dxfId="17" priority="19" operator="containsText" text="failed">
      <formula>NOT(ISERROR(SEARCH("failed",A2)))</formula>
    </cfRule>
    <cfRule type="containsText" dxfId="16" priority="20" operator="containsText" text="successful">
      <formula>NOT(ISERROR(SEARCH("successful",A2)))</formula>
    </cfRule>
  </conditionalFormatting>
  <conditionalFormatting sqref="D2:D1531">
    <cfRule type="containsText" dxfId="15" priority="9" operator="containsText" text="live">
      <formula>NOT(ISERROR(SEARCH("live",D2)))</formula>
    </cfRule>
    <cfRule type="containsText" dxfId="14" priority="10" operator="containsText" text="canceled">
      <formula>NOT(ISERROR(SEARCH("canceled",D2)))</formula>
    </cfRule>
    <cfRule type="containsText" dxfId="13" priority="11" operator="containsText" text="failed">
      <formula>NOT(ISERROR(SEARCH("failed",D2)))</formula>
    </cfRule>
    <cfRule type="containsText" dxfId="12" priority="12" operator="containsText" text="successful">
      <formula>NOT(ISERROR(SEARCH("successful",D2)))</formula>
    </cfRule>
  </conditionalFormatting>
  <conditionalFormatting sqref="A1">
    <cfRule type="containsText" dxfId="11" priority="5" operator="containsText" text="live">
      <formula>NOT(ISERROR(SEARCH("live",A1)))</formula>
    </cfRule>
    <cfRule type="containsText" dxfId="10" priority="6" operator="containsText" text="canceled">
      <formula>NOT(ISERROR(SEARCH("canceled",A1)))</formula>
    </cfRule>
    <cfRule type="containsText" dxfId="9" priority="7" operator="containsText" text="failed">
      <formula>NOT(ISERROR(SEARCH("failed",A1)))</formula>
    </cfRule>
    <cfRule type="containsText" dxfId="8" priority="8" operator="containsText" text="successful">
      <formula>NOT(ISERROR(SEARCH("successful",A1)))</formula>
    </cfRule>
  </conditionalFormatting>
  <conditionalFormatting sqref="D1">
    <cfRule type="containsText" dxfId="7" priority="1" operator="containsText" text="live">
      <formula>NOT(ISERROR(SEARCH("live",D1)))</formula>
    </cfRule>
    <cfRule type="containsText" dxfId="6" priority="2" operator="containsText" text="canceled">
      <formula>NOT(ISERROR(SEARCH("canceled",D1)))</formula>
    </cfRule>
    <cfRule type="containsText" dxfId="5" priority="3" operator="containsText" text="failed">
      <formula>NOT(ISERROR(SEARCH("failed",D1)))</formula>
    </cfRule>
    <cfRule type="containsText" dxfId="4" priority="4" operator="containsText" text="successful">
      <formula>NOT(ISERROR(SEARCH("successful",D1)))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4115"/>
  <sheetViews>
    <sheetView zoomScale="55" zoomScaleNormal="55" workbookViewId="0">
      <selection activeCell="K10" sqref="K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0.33203125" customWidth="1"/>
    <col min="9" max="9" width="19.33203125" customWidth="1"/>
    <col min="10" max="10" width="17.83203125" customWidth="1"/>
    <col min="11" max="11" width="15.5" customWidth="1"/>
    <col min="12" max="12" width="18.33203125" customWidth="1"/>
    <col min="13" max="13" width="22.33203125" customWidth="1"/>
    <col min="14" max="14" width="41.1640625" customWidth="1"/>
    <col min="15" max="15" width="9.5" style="6" bestFit="1" customWidth="1"/>
    <col min="16" max="16" width="23.6640625" customWidth="1"/>
    <col min="17" max="17" width="19.5" customWidth="1"/>
    <col min="18" max="18" width="22.6640625" customWidth="1"/>
    <col min="19" max="19" width="28.33203125" customWidth="1"/>
    <col min="20" max="20" width="25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IFERROR(E2/L2,0)</f>
        <v>63.917582417582416</v>
      </c>
      <c r="Q2" t="str">
        <f>LEFT(N2, FIND("/",N2)-1)</f>
        <v>film &amp; video</v>
      </c>
      <c r="R2" t="str">
        <f>RIGHT(N2, 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IFERROR(E3/L3,0)</f>
        <v>185.48101265822785</v>
      </c>
      <c r="Q3" t="str">
        <f t="shared" ref="Q3:Q66" si="2">LEFT(N3, FIND("/",N3)-1)</f>
        <v>film &amp; video</v>
      </c>
      <c r="R3" t="str">
        <f t="shared" ref="R3:R66" si="3">RIGHT(N3, 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IFERROR(E67/L67,0)</f>
        <v>132.05263157894737</v>
      </c>
      <c r="Q67" t="str">
        <f t="shared" ref="Q67:Q130" si="8">LEFT(N67, FIND("/",N67)-1)</f>
        <v>film &amp; video</v>
      </c>
      <c r="R67" t="str">
        <f t="shared" ref="R67:R130" si="9">RIGHT(N67, 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>
        <f t="shared" ref="P131:P194" si="13">IFERROR(E131/L131,0)</f>
        <v>0</v>
      </c>
      <c r="Q131" t="str">
        <f t="shared" ref="Q131:Q194" si="14">LEFT(N131, FIND("/",N131)-1)</f>
        <v>film &amp; video</v>
      </c>
      <c r="R131" t="str">
        <f t="shared" ref="R131:R194" si="15">RIGHT(N131, 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>
        <f t="shared" ref="P195:P258" si="19">IFERROR(E195/L195,0)</f>
        <v>0</v>
      </c>
      <c r="Q195" t="str">
        <f t="shared" ref="Q195:Q258" si="20">LEFT(N195, FIND("/",N195)-1)</f>
        <v>film &amp; video</v>
      </c>
      <c r="R195" t="str">
        <f t="shared" ref="R195:R258" si="21">RIGHT(N195, 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IFERROR(E259/L259,0)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 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IFERROR(E323/L323,0)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 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IFERROR(E387/L387,0)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 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IFERROR(E451/L451,0)</f>
        <v>9</v>
      </c>
      <c r="Q451" t="str">
        <f t="shared" ref="Q451:Q514" si="44">LEFT(N451, FIND("/",N451)-1)</f>
        <v>film &amp; video</v>
      </c>
      <c r="R451" t="str">
        <f t="shared" ref="R451:R514" si="45">RIGHT(N451, 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IFERROR(E515/L515,0)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 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IFERROR(E579/L579,0)</f>
        <v>10</v>
      </c>
      <c r="Q579" t="str">
        <f t="shared" ref="Q579:Q642" si="56">LEFT(N579, FIND("/",N579)-1)</f>
        <v>technology</v>
      </c>
      <c r="R579" t="str">
        <f t="shared" ref="R579:R642" si="57">RIGHT(N579, 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IFERROR(E643/L643,0)</f>
        <v>151.31746031746033</v>
      </c>
      <c r="Q643" t="str">
        <f t="shared" ref="Q643:Q706" si="62">LEFT(N643, FIND("/",N643)-1)</f>
        <v>technology</v>
      </c>
      <c r="R643" t="str">
        <f t="shared" ref="R643:R706" si="63">RIGHT(N643, 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IFERROR(E707/L707,0)</f>
        <v>195.4</v>
      </c>
      <c r="Q707" t="str">
        <f t="shared" ref="Q707:Q770" si="68">LEFT(N707, FIND("/",N707)-1)</f>
        <v>technology</v>
      </c>
      <c r="R707" t="str">
        <f t="shared" ref="R707:R770" si="69">RIGHT(N707, 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IFERROR(E771/L771,0)</f>
        <v>31.846153846153847</v>
      </c>
      <c r="Q771" t="str">
        <f t="shared" ref="Q771:Q834" si="74">LEFT(N771, FIND("/",N771)-1)</f>
        <v>publishing</v>
      </c>
      <c r="R771" t="str">
        <f t="shared" ref="R771:R834" si="75">RIGHT(N771, 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IFERROR(E835/L835,0)</f>
        <v>148.78048780487805</v>
      </c>
      <c r="Q835" t="str">
        <f t="shared" ref="Q835:Q898" si="80">LEFT(N835, FIND("/",N835)-1)</f>
        <v>music</v>
      </c>
      <c r="R835" t="str">
        <f t="shared" ref="R835:R898" si="81">RIGHT(N835, 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>
        <f t="shared" ref="P899:P962" si="85">IFERROR(E899/L899,0)</f>
        <v>0</v>
      </c>
      <c r="Q899" t="str">
        <f t="shared" ref="Q899:Q962" si="86">LEFT(N899, FIND("/",N899)-1)</f>
        <v>music</v>
      </c>
      <c r="R899" t="str">
        <f t="shared" ref="R899:R962" si="87">RIGHT(N899, 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IFERROR(E963/L963,0)</f>
        <v>364.35454545454547</v>
      </c>
      <c r="Q963" t="str">
        <f t="shared" ref="Q963:Q1026" si="92">LEFT(N963, FIND("/",N963)-1)</f>
        <v>technology</v>
      </c>
      <c r="R963" t="str">
        <f t="shared" ref="R963:R1026" si="93">RIGHT(N963, 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IFERROR(E1027/L1027,0)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 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IFERROR(E1091/L1091,0)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 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IFERROR(E1155/L1155,0)</f>
        <v>50</v>
      </c>
      <c r="Q1155" t="str">
        <f t="shared" ref="Q1155:Q1218" si="110">LEFT(N1155, FIND("/",N1155)-1)</f>
        <v>food</v>
      </c>
      <c r="R1155" t="str">
        <f t="shared" ref="R1155:R1218" si="111">RIGHT(N1155, 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IFERROR(E1219/L1219,0)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 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IFERROR(E1283/L1283,0)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 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IFERROR(E1347/L1347,0)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 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>
        <f t="shared" ref="P1411:P1474" si="133">IFERROR(E1411/L1411,0)</f>
        <v>0</v>
      </c>
      <c r="Q1411" t="str">
        <f t="shared" ref="Q1411:Q1474" si="134">LEFT(N1411, FIND("/",N1411)-1)</f>
        <v>publishing</v>
      </c>
      <c r="R1411" t="str">
        <f t="shared" ref="R1411:R1474" si="135">RIGHT(N1411, 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IFERROR(E1475/L1475,0)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 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IFERROR(E1539/L1539,0)</f>
        <v>96.375</v>
      </c>
      <c r="Q1539" t="str">
        <f t="shared" ref="Q1539:Q1602" si="146">LEFT(N1539, FIND("/",N1539)-1)</f>
        <v>photography</v>
      </c>
      <c r="R1539" t="str">
        <f t="shared" ref="R1539:R1602" si="147">RIGHT(N1539, 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IFERROR(E1603/L1603,0)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 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IFERROR(E1667/L1667,0)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 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>
        <f t="shared" ref="P1731:P1794" si="163">IFERROR(E1731/L1731,0)</f>
        <v>0</v>
      </c>
      <c r="Q1731" t="str">
        <f t="shared" ref="Q1731:Q1794" si="164">LEFT(N1731, FIND("/",N1731)-1)</f>
        <v>music</v>
      </c>
      <c r="R1731" t="str">
        <f t="shared" ref="R1731:R1794" si="165">RIGHT(N1731, 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IFERROR(E1795/L1795,0)</f>
        <v>20</v>
      </c>
      <c r="Q1795" t="str">
        <f t="shared" ref="Q1795:Q1858" si="170">LEFT(N1795, FIND("/",N1795)-1)</f>
        <v>photography</v>
      </c>
      <c r="R1795" t="str">
        <f t="shared" ref="R1795:R1858" si="171">RIGHT(N1795, 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IFERROR(E1859/L1859,0)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 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IFERROR(E1923/L1923,0)</f>
        <v>54</v>
      </c>
      <c r="Q1923" t="str">
        <f t="shared" ref="Q1923:Q1986" si="182">LEFT(N1923, FIND("/",N1923)-1)</f>
        <v>music</v>
      </c>
      <c r="R1923" t="str">
        <f t="shared" ref="R1923:R1986" si="183">RIGHT(N1923, 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IFERROR(E1987/L1987,0)</f>
        <v>12.75</v>
      </c>
      <c r="Q1987" t="str">
        <f t="shared" ref="Q1987:Q2050" si="188">LEFT(N1987, FIND("/",N1987)-1)</f>
        <v>photography</v>
      </c>
      <c r="R1987" t="str">
        <f t="shared" ref="R1987:R2050" si="189">RIGHT(N1987, 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IFERROR(E2051/L2051,0)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 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IFERROR(E2115/L2115,0)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 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IFERROR(E2179/L2179,0)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 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IFERROR(E2243/L2243,0)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 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IFERROR(E2307/L2307,0)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 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>
        <f t="shared" ref="P2371:P2434" si="223">IFERROR(E2371/L2371,0)</f>
        <v>0</v>
      </c>
      <c r="Q2371" t="str">
        <f t="shared" ref="Q2371:Q2434" si="224">LEFT(N2371, FIND("/",N2371)-1)</f>
        <v>technology</v>
      </c>
      <c r="R2371" t="str">
        <f t="shared" ref="R2371:R2434" si="225">RIGHT(N2371, 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>
        <f t="shared" ref="P2435:P2498" si="229">IFERROR(E2435/L2435,0)</f>
        <v>0</v>
      </c>
      <c r="Q2435" t="str">
        <f t="shared" ref="Q2435:Q2498" si="230">LEFT(N2435, FIND("/",N2435)-1)</f>
        <v>food</v>
      </c>
      <c r="R2435" t="str">
        <f t="shared" ref="R2435:R2498" si="231">RIGHT(N2435, 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IFERROR(E2499/L2499,0)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 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>
        <f t="shared" ref="P2563:P2626" si="241">IFERROR(E2563/L2563,0)</f>
        <v>0</v>
      </c>
      <c r="Q2563" t="str">
        <f t="shared" ref="Q2563:Q2626" si="242">LEFT(N2563, FIND("/",N2563)-1)</f>
        <v>food</v>
      </c>
      <c r="R2563" t="str">
        <f t="shared" ref="R2563:R2626" si="243">RIGHT(N2563, 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IFERROR(E2627/L2627,0)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 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IFERROR(E2691/L2691,0)</f>
        <v>1</v>
      </c>
      <c r="Q2691" t="str">
        <f t="shared" ref="Q2691:Q2754" si="254">LEFT(N2691, FIND("/",N2691)-1)</f>
        <v>food</v>
      </c>
      <c r="R2691" t="str">
        <f t="shared" ref="R2691:R2754" si="255">RIGHT(N2691, 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IFERROR(E2755/L2755,0)</f>
        <v>47.5</v>
      </c>
      <c r="Q2755" t="str">
        <f t="shared" ref="Q2755:Q2818" si="260">LEFT(N2755, FIND("/",N2755)-1)</f>
        <v>publishing</v>
      </c>
      <c r="R2755" t="str">
        <f t="shared" ref="R2755:R2818" si="261">RIGHT(N2755, 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IFERROR(E2819/L2819,0)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 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>
        <f t="shared" ref="P2883:P2946" si="271">IFERROR(E2883/L2883,0)</f>
        <v>0</v>
      </c>
      <c r="Q2883" t="str">
        <f t="shared" ref="Q2883:Q2946" si="272">LEFT(N2883, FIND("/",N2883)-1)</f>
        <v>theater</v>
      </c>
      <c r="R2883" t="str">
        <f t="shared" ref="R2883:R2946" si="273">RIGHT(N2883, 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>
        <f t="shared" ref="P2947:P3010" si="277">IFERROR(E2947/L2947,0)</f>
        <v>0</v>
      </c>
      <c r="Q2947" t="str">
        <f t="shared" ref="Q2947:Q3010" si="278">LEFT(N2947, FIND("/",N2947)-1)</f>
        <v>theater</v>
      </c>
      <c r="R2947" t="str">
        <f t="shared" ref="R2947:R3010" si="279">RIGHT(N2947, 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IFERROR(E3011/L3011,0)</f>
        <v>233.8984375</v>
      </c>
      <c r="Q3011" t="str">
        <f t="shared" ref="Q3011:Q3074" si="284">LEFT(N3011, FIND("/",N3011)-1)</f>
        <v>theater</v>
      </c>
      <c r="R3011" t="str">
        <f t="shared" ref="R3011:R3074" si="285">RIGHT(N3011, 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IFERROR(E3075/L3075,0)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 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IFERROR(E3139/L3139,0)</f>
        <v>50</v>
      </c>
      <c r="Q3139" t="str">
        <f t="shared" ref="Q3139:Q3202" si="296">LEFT(N3139, FIND("/",N3139)-1)</f>
        <v>theater</v>
      </c>
      <c r="R3139" t="str">
        <f t="shared" ref="R3139:R3202" si="297">RIGHT(N3139, 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IFERROR(E3203/L3203,0)</f>
        <v>12.5</v>
      </c>
      <c r="Q3203" t="str">
        <f t="shared" ref="Q3203:Q3266" si="302">LEFT(N3203, FIND("/",N3203)-1)</f>
        <v>theater</v>
      </c>
      <c r="R3203" t="str">
        <f t="shared" ref="R3203:R3266" si="303">RIGHT(N3203, 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IFERROR(E3267/L3267,0)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 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IFERROR(E3331/L3331,0)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 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IFERROR(E3395/L3395,0)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 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IFERROR(E3459/L3459,0)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 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IFERROR(E3523/L3523,0)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 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IFERROR(E3587/L3587,0)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 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IFERROR(E3651/L3651,0)</f>
        <v>97.5</v>
      </c>
      <c r="Q3651" t="str">
        <f t="shared" ref="Q3651:Q3714" si="344">LEFT(N3651, FIND("/",N3651)-1)</f>
        <v>theater</v>
      </c>
      <c r="R3651" t="str">
        <f t="shared" ref="R3651:R3714" si="345">RIGHT(N3651, 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IFERROR(E3715/L3715,0)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 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IFERROR(E3779/L3779,0)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 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IFERROR(E3843/L3843,0)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 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IFERROR(E3907/L3907,0)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 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IFERROR(E3971/L3971,0)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 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IFERROR(E4035/L4035,0)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 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>
        <f t="shared" ref="P4099:P4115" si="385">IFERROR(E4099/L4099,0)</f>
        <v>0</v>
      </c>
      <c r="Q4099" t="str">
        <f t="shared" ref="Q4099:Q4115" si="386">LEFT(N4099, FIND("/",N4099)-1)</f>
        <v>theater</v>
      </c>
      <c r="R4099" t="str">
        <f t="shared" ref="R4099:R4115" si="387">RIGHT(N4099, 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00000000-0009-0000-0000-0000050000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Campaign States by Category</vt:lpstr>
      <vt:lpstr>Campaign States by Sub-Category</vt:lpstr>
      <vt:lpstr>Campaign States by Created Mon.</vt:lpstr>
      <vt:lpstr>Campaign by % of State</vt:lpstr>
      <vt:lpstr>Statistical Analysis</vt:lpstr>
      <vt:lpstr>Raw Data</vt:lpstr>
      <vt:lpstr>all_poss_states</vt:lpstr>
      <vt:lpstr>goal</vt:lpstr>
      <vt:lpstr>raw_states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2020-02-08T18:22:41Z</dcterms:modified>
</cp:coreProperties>
</file>