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9"/>
  <workbookPr/>
  <mc:AlternateContent xmlns:mc="http://schemas.openxmlformats.org/markup-compatibility/2006">
    <mc:Choice Requires="x15">
      <x15ac:absPath xmlns:x15ac="http://schemas.microsoft.com/office/spreadsheetml/2010/11/ac" url="/Volumes/KC3000/Documents/DCTL/Exposure Zone False Colour/"/>
    </mc:Choice>
  </mc:AlternateContent>
  <xr:revisionPtr revIDLastSave="0" documentId="13_ncr:1_{2EA9739A-5175-FB46-B741-BC103B288621}" xr6:coauthVersionLast="47" xr6:coauthVersionMax="47" xr10:uidLastSave="{00000000-0000-0000-0000-000000000000}"/>
  <bookViews>
    <workbookView xWindow="-33920" yWindow="-9740" windowWidth="33920" windowHeight="20700" firstSheet="1" activeTab="4" xr2:uid="{00000000-000D-0000-FFFF-FFFF00000000}"/>
  </bookViews>
  <sheets>
    <sheet name="README" sheetId="1" r:id="rId1"/>
    <sheet name="LOG compare" sheetId="2" r:id="rId2"/>
    <sheet name="Arri709" sheetId="3" r:id="rId3"/>
    <sheet name="LogC3" sheetId="4" r:id="rId4"/>
    <sheet name="Alexa35 LogC4" sheetId="5" r:id="rId5"/>
    <sheet name="ARRI LogC4" sheetId="6" r:id="rId6"/>
    <sheet name="SLog3" sheetId="7" r:id="rId7"/>
    <sheet name="VLog" sheetId="8" r:id="rId8"/>
    <sheet name="DWG INT" sheetId="20" r:id="rId9"/>
    <sheet name="BMDFilmG5" sheetId="9" r:id="rId10"/>
    <sheet name="RedLog3G10" sheetId="10" r:id="rId11"/>
    <sheet name="CLog" sheetId="11" r:id="rId12"/>
    <sheet name="CLog2" sheetId="12" r:id="rId13"/>
    <sheet name="CLog3" sheetId="13" r:id="rId14"/>
    <sheet name="Apple Log" sheetId="14" r:id="rId15"/>
    <sheet name="FLog2C" sheetId="21" r:id="rId16"/>
    <sheet name="FLog2" sheetId="15" r:id="rId17"/>
    <sheet name="FLog" sheetId="16" r:id="rId18"/>
    <sheet name="DLogM" sheetId="17" r:id="rId19"/>
    <sheet name="DLog" sheetId="18" r:id="rId20"/>
    <sheet name="NLog" sheetId="19" r:id="rId2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9" i="5" l="1"/>
  <c r="E33" i="5"/>
  <c r="E34" i="5"/>
  <c r="E35" i="5"/>
  <c r="E36" i="5"/>
  <c r="E37" i="5"/>
  <c r="E38" i="5"/>
  <c r="J38" i="5" s="1"/>
  <c r="E39" i="5"/>
  <c r="G39" i="5" s="1"/>
  <c r="E40" i="5"/>
  <c r="E41" i="5"/>
  <c r="E42" i="5"/>
  <c r="E43" i="5"/>
  <c r="E44" i="5"/>
  <c r="E45" i="5"/>
  <c r="J45" i="5" s="1"/>
  <c r="E46" i="5"/>
  <c r="G46" i="5" s="1"/>
  <c r="E47" i="5"/>
  <c r="J47" i="5" s="1"/>
  <c r="E48" i="5"/>
  <c r="J48" i="5" s="1"/>
  <c r="E49" i="5"/>
  <c r="G49" i="5" s="1"/>
  <c r="E50" i="5"/>
  <c r="E51" i="5"/>
  <c r="E52" i="5"/>
  <c r="E53" i="5"/>
  <c r="E54" i="5"/>
  <c r="E55" i="5"/>
  <c r="J55" i="5" s="1"/>
  <c r="E56" i="5"/>
  <c r="J56" i="5" s="1"/>
  <c r="E57" i="5"/>
  <c r="J57" i="5" s="1"/>
  <c r="E58" i="5"/>
  <c r="G58" i="5" s="1"/>
  <c r="E59" i="5"/>
  <c r="G59" i="5" s="1"/>
  <c r="E60" i="5"/>
  <c r="J60" i="5" s="1"/>
  <c r="E61" i="5"/>
  <c r="E62" i="5"/>
  <c r="E63" i="5"/>
  <c r="E64" i="5"/>
  <c r="E65" i="5"/>
  <c r="G65" i="5" s="1"/>
  <c r="E66" i="5"/>
  <c r="J66" i="5" s="1"/>
  <c r="E67" i="5"/>
  <c r="J67" i="5" s="1"/>
  <c r="E68" i="5"/>
  <c r="J68" i="5" s="1"/>
  <c r="E69" i="5"/>
  <c r="F69" i="5" s="1"/>
  <c r="E70" i="5"/>
  <c r="J70" i="5" s="1"/>
  <c r="E71" i="5"/>
  <c r="E72" i="5"/>
  <c r="E73" i="5"/>
  <c r="E74" i="5"/>
  <c r="E75" i="5"/>
  <c r="E76" i="5"/>
  <c r="J76" i="5" s="1"/>
  <c r="E77" i="5"/>
  <c r="J77" i="5" s="1"/>
  <c r="E78" i="5"/>
  <c r="J78" i="5" s="1"/>
  <c r="E79" i="5"/>
  <c r="G79" i="5" s="1"/>
  <c r="E80" i="5"/>
  <c r="G80" i="5" s="1"/>
  <c r="E81" i="5"/>
  <c r="F81" i="5" s="1"/>
  <c r="E82" i="5"/>
  <c r="G82" i="5" s="1"/>
  <c r="E171" i="5"/>
  <c r="E172" i="5"/>
  <c r="E173" i="5"/>
  <c r="E174" i="5"/>
  <c r="E175" i="5"/>
  <c r="E176" i="5"/>
  <c r="E177" i="5"/>
  <c r="E178" i="5"/>
  <c r="J178" i="5" s="1"/>
  <c r="E179" i="5"/>
  <c r="G179" i="5" s="1"/>
  <c r="E180" i="5"/>
  <c r="G180" i="5" s="1"/>
  <c r="E181" i="5"/>
  <c r="G181" i="5" s="1"/>
  <c r="E182" i="5"/>
  <c r="G182" i="5" s="1"/>
  <c r="E183" i="5"/>
  <c r="E184" i="5"/>
  <c r="E185" i="5"/>
  <c r="E186" i="5"/>
  <c r="E187" i="5"/>
  <c r="E188" i="5"/>
  <c r="E189" i="5"/>
  <c r="G189" i="5" s="1"/>
  <c r="E190" i="5"/>
  <c r="G190" i="5" s="1"/>
  <c r="E191" i="5"/>
  <c r="F191" i="5" s="1"/>
  <c r="E192" i="5"/>
  <c r="J192" i="5" s="1"/>
  <c r="E193" i="5"/>
  <c r="G193" i="5" s="1"/>
  <c r="E194" i="5"/>
  <c r="G194" i="5" s="1"/>
  <c r="E195" i="5"/>
  <c r="E196" i="5"/>
  <c r="E197" i="5"/>
  <c r="E198" i="5"/>
  <c r="E199" i="5"/>
  <c r="G199" i="5" s="1"/>
  <c r="E200" i="5"/>
  <c r="E201" i="5"/>
  <c r="J201" i="5" s="1"/>
  <c r="E202" i="5"/>
  <c r="J202" i="5" s="1"/>
  <c r="E203" i="5"/>
  <c r="G203" i="5" s="1"/>
  <c r="E204" i="5"/>
  <c r="J204" i="5" s="1"/>
  <c r="E205" i="5"/>
  <c r="G205" i="5" s="1"/>
  <c r="M96" i="5"/>
  <c r="E83" i="5"/>
  <c r="J83" i="5" s="1"/>
  <c r="E84" i="5"/>
  <c r="E85" i="5"/>
  <c r="E86" i="5"/>
  <c r="G86" i="5" s="1"/>
  <c r="E87" i="5"/>
  <c r="J87" i="5" s="1"/>
  <c r="E88" i="5"/>
  <c r="G88" i="5" s="1"/>
  <c r="E89" i="5"/>
  <c r="J89" i="5" s="1"/>
  <c r="E90" i="5"/>
  <c r="J90" i="5" s="1"/>
  <c r="E91" i="5"/>
  <c r="E92" i="5"/>
  <c r="E93" i="5"/>
  <c r="E94" i="5"/>
  <c r="E95" i="5"/>
  <c r="J95" i="5" s="1"/>
  <c r="E96" i="5"/>
  <c r="E97" i="5"/>
  <c r="G97" i="5" s="1"/>
  <c r="E98" i="5"/>
  <c r="G98" i="5" s="1"/>
  <c r="E99" i="5"/>
  <c r="J99" i="5" s="1"/>
  <c r="E100" i="5"/>
  <c r="G100" i="5" s="1"/>
  <c r="E101" i="5"/>
  <c r="G101" i="5" s="1"/>
  <c r="E102" i="5"/>
  <c r="J102" i="5" s="1"/>
  <c r="E103" i="5"/>
  <c r="E104" i="5"/>
  <c r="E105" i="5"/>
  <c r="E106" i="5"/>
  <c r="E107" i="5"/>
  <c r="J107" i="5" s="1"/>
  <c r="E108" i="5"/>
  <c r="E109" i="5"/>
  <c r="G109" i="5" s="1"/>
  <c r="E110" i="5"/>
  <c r="G110" i="5" s="1"/>
  <c r="E111" i="5"/>
  <c r="J111" i="5" s="1"/>
  <c r="E112" i="5"/>
  <c r="J112" i="5" s="1"/>
  <c r="E113" i="5"/>
  <c r="G113" i="5" s="1"/>
  <c r="E114" i="5"/>
  <c r="G114" i="5" s="1"/>
  <c r="E115" i="5"/>
  <c r="E116" i="5"/>
  <c r="E117" i="5"/>
  <c r="E118" i="5"/>
  <c r="E119" i="5"/>
  <c r="J119" i="5" s="1"/>
  <c r="E120" i="5"/>
  <c r="E121" i="5"/>
  <c r="G121" i="5" s="1"/>
  <c r="E122" i="5"/>
  <c r="G122" i="5" s="1"/>
  <c r="E123" i="5"/>
  <c r="J123" i="5" s="1"/>
  <c r="E124" i="5"/>
  <c r="G124" i="5" s="1"/>
  <c r="E125" i="5"/>
  <c r="G125" i="5" s="1"/>
  <c r="E126" i="5"/>
  <c r="G126" i="5" s="1"/>
  <c r="E127" i="5"/>
  <c r="E128" i="5"/>
  <c r="E129" i="5"/>
  <c r="E130" i="5"/>
  <c r="E131" i="5"/>
  <c r="J131" i="5" s="1"/>
  <c r="E132" i="5"/>
  <c r="E133" i="5"/>
  <c r="G133" i="5" s="1"/>
  <c r="E134" i="5"/>
  <c r="G134" i="5" s="1"/>
  <c r="E135" i="5"/>
  <c r="J135" i="5" s="1"/>
  <c r="E136" i="5"/>
  <c r="G136" i="5" s="1"/>
  <c r="E137" i="5"/>
  <c r="G137" i="5" s="1"/>
  <c r="E138" i="5"/>
  <c r="G138" i="5" s="1"/>
  <c r="E139" i="5"/>
  <c r="E140" i="5"/>
  <c r="E141" i="5"/>
  <c r="E142" i="5"/>
  <c r="E143" i="5"/>
  <c r="J143" i="5" s="1"/>
  <c r="E144" i="5"/>
  <c r="E145" i="5"/>
  <c r="G145" i="5" s="1"/>
  <c r="E146" i="5"/>
  <c r="G146" i="5" s="1"/>
  <c r="E147" i="5"/>
  <c r="J147" i="5" s="1"/>
  <c r="E148" i="5"/>
  <c r="J148" i="5" s="1"/>
  <c r="E149" i="5"/>
  <c r="J149" i="5" s="1"/>
  <c r="E150" i="5"/>
  <c r="J150" i="5" s="1"/>
  <c r="E151" i="5"/>
  <c r="E152" i="5"/>
  <c r="E153" i="5"/>
  <c r="E154" i="5"/>
  <c r="J154" i="5" s="1"/>
  <c r="E155" i="5"/>
  <c r="J155" i="5" s="1"/>
  <c r="E156" i="5"/>
  <c r="E157" i="5"/>
  <c r="G157" i="5" s="1"/>
  <c r="E158" i="5"/>
  <c r="G158" i="5" s="1"/>
  <c r="E159" i="5"/>
  <c r="J159" i="5" s="1"/>
  <c r="E160" i="5"/>
  <c r="J160" i="5" s="1"/>
  <c r="E161" i="5"/>
  <c r="G161" i="5" s="1"/>
  <c r="E162" i="5"/>
  <c r="G162" i="5" s="1"/>
  <c r="E163" i="5"/>
  <c r="E164" i="5"/>
  <c r="E165" i="5"/>
  <c r="E166" i="5"/>
  <c r="J166" i="5" s="1"/>
  <c r="E167" i="5"/>
  <c r="J167" i="5" s="1"/>
  <c r="E168" i="5"/>
  <c r="E169" i="5"/>
  <c r="G169" i="5" s="1"/>
  <c r="E170" i="5"/>
  <c r="G170" i="5" s="1"/>
  <c r="J171" i="5"/>
  <c r="J172" i="5"/>
  <c r="G173" i="5"/>
  <c r="J174" i="5"/>
  <c r="J183" i="5"/>
  <c r="J184" i="5"/>
  <c r="J185" i="5"/>
  <c r="J186" i="5"/>
  <c r="J190" i="5"/>
  <c r="J191" i="5"/>
  <c r="F194" i="5"/>
  <c r="J195" i="5"/>
  <c r="J196" i="5"/>
  <c r="G197" i="5"/>
  <c r="F198" i="5"/>
  <c r="E206" i="5"/>
  <c r="J206" i="5" s="1"/>
  <c r="E207" i="5"/>
  <c r="J207" i="5" s="1"/>
  <c r="E208" i="5"/>
  <c r="J208" i="5" s="1"/>
  <c r="E209" i="5"/>
  <c r="J209" i="5" s="1"/>
  <c r="E210" i="5"/>
  <c r="G210" i="5" s="1"/>
  <c r="E211" i="5"/>
  <c r="E212" i="5"/>
  <c r="F212" i="5" s="1"/>
  <c r="E227" i="5"/>
  <c r="E226" i="5"/>
  <c r="E225" i="5"/>
  <c r="E224" i="5"/>
  <c r="E223" i="5"/>
  <c r="E222" i="5"/>
  <c r="E221" i="5"/>
  <c r="E220" i="5"/>
  <c r="F220" i="5" s="1"/>
  <c r="E219" i="5"/>
  <c r="F219" i="5" s="1"/>
  <c r="E218" i="5"/>
  <c r="F218" i="5" s="1"/>
  <c r="E217" i="5"/>
  <c r="F217" i="5" s="1"/>
  <c r="E216" i="5"/>
  <c r="J216" i="5" s="1"/>
  <c r="E215" i="5"/>
  <c r="E214" i="5"/>
  <c r="E213" i="5"/>
  <c r="J215" i="5"/>
  <c r="J222" i="5"/>
  <c r="F223" i="5"/>
  <c r="F224" i="5"/>
  <c r="J227" i="5"/>
  <c r="E228" i="5"/>
  <c r="D228" i="5"/>
  <c r="D19" i="21"/>
  <c r="D26" i="21"/>
  <c r="E26" i="21"/>
  <c r="F26" i="21" s="1"/>
  <c r="F4" i="15"/>
  <c r="E30" i="21"/>
  <c r="F30" i="21"/>
  <c r="G30" i="21"/>
  <c r="I30" i="21"/>
  <c r="E31" i="21"/>
  <c r="F31" i="21"/>
  <c r="G31" i="21"/>
  <c r="I31" i="21"/>
  <c r="E32" i="21"/>
  <c r="F32" i="21"/>
  <c r="G32" i="21"/>
  <c r="I32" i="21"/>
  <c r="E33" i="21"/>
  <c r="F33" i="21"/>
  <c r="G33" i="21"/>
  <c r="I33" i="21"/>
  <c r="E34" i="21"/>
  <c r="F34" i="21"/>
  <c r="G34" i="21"/>
  <c r="I34" i="21"/>
  <c r="E35" i="21"/>
  <c r="F35" i="21"/>
  <c r="G35" i="21"/>
  <c r="I35" i="21"/>
  <c r="E36" i="21"/>
  <c r="F36" i="21"/>
  <c r="G36" i="21"/>
  <c r="I36" i="21"/>
  <c r="E37" i="21"/>
  <c r="F37" i="21"/>
  <c r="G37" i="21"/>
  <c r="I37" i="21"/>
  <c r="E38" i="21"/>
  <c r="F38" i="21"/>
  <c r="G38" i="21"/>
  <c r="I38" i="21"/>
  <c r="E39" i="21"/>
  <c r="F39" i="21"/>
  <c r="G39" i="21"/>
  <c r="I39" i="21"/>
  <c r="E40" i="21"/>
  <c r="F40" i="21"/>
  <c r="G40" i="21"/>
  <c r="I40" i="21"/>
  <c r="E41" i="21"/>
  <c r="F41" i="21"/>
  <c r="G41" i="21"/>
  <c r="I41" i="21"/>
  <c r="E42" i="21"/>
  <c r="F42" i="21"/>
  <c r="G42" i="21"/>
  <c r="I42" i="21"/>
  <c r="F43" i="21"/>
  <c r="E43" i="21"/>
  <c r="I43" i="21" s="1"/>
  <c r="F3" i="21"/>
  <c r="G3" i="21"/>
  <c r="I3" i="21"/>
  <c r="F4" i="21"/>
  <c r="G4" i="21"/>
  <c r="I4" i="21"/>
  <c r="E3" i="21"/>
  <c r="E4" i="21"/>
  <c r="E45" i="21"/>
  <c r="F45" i="21"/>
  <c r="G45" i="21"/>
  <c r="I45" i="21"/>
  <c r="E46" i="21"/>
  <c r="F46" i="21"/>
  <c r="G46" i="21"/>
  <c r="I46" i="21"/>
  <c r="E47" i="21"/>
  <c r="F47" i="21"/>
  <c r="G47" i="21"/>
  <c r="I47" i="21"/>
  <c r="E48" i="21"/>
  <c r="F48" i="21"/>
  <c r="G48" i="21"/>
  <c r="I48" i="21"/>
  <c r="E49" i="21"/>
  <c r="F49" i="21"/>
  <c r="G49" i="21"/>
  <c r="I49" i="21"/>
  <c r="E50" i="21"/>
  <c r="F50" i="21"/>
  <c r="G50" i="21"/>
  <c r="I50" i="21"/>
  <c r="E51" i="21"/>
  <c r="F51" i="21"/>
  <c r="G51" i="21"/>
  <c r="I51" i="21"/>
  <c r="E52" i="21"/>
  <c r="F52" i="21"/>
  <c r="G52" i="21"/>
  <c r="I52" i="21"/>
  <c r="E53" i="21"/>
  <c r="F53" i="21"/>
  <c r="G53" i="21"/>
  <c r="I53" i="21"/>
  <c r="E54" i="21"/>
  <c r="F54" i="21"/>
  <c r="G54" i="21"/>
  <c r="I54" i="21"/>
  <c r="E55" i="21"/>
  <c r="F55" i="21"/>
  <c r="G55" i="21"/>
  <c r="I55" i="21"/>
  <c r="E56" i="21"/>
  <c r="F56" i="21"/>
  <c r="G56" i="21"/>
  <c r="I56" i="21"/>
  <c r="E57" i="21"/>
  <c r="F57" i="21"/>
  <c r="G57" i="21"/>
  <c r="I57" i="21"/>
  <c r="E58" i="21"/>
  <c r="F58" i="21"/>
  <c r="G58" i="21"/>
  <c r="I58" i="21"/>
  <c r="E59" i="21"/>
  <c r="F59" i="21"/>
  <c r="G59" i="21"/>
  <c r="I59" i="21"/>
  <c r="E60" i="21"/>
  <c r="F60" i="21"/>
  <c r="G60" i="21"/>
  <c r="I60" i="21"/>
  <c r="E61" i="21"/>
  <c r="F61" i="21"/>
  <c r="G61" i="21"/>
  <c r="I61" i="21"/>
  <c r="E62" i="21"/>
  <c r="F62" i="21"/>
  <c r="G62" i="21"/>
  <c r="I62" i="21"/>
  <c r="E63" i="21"/>
  <c r="F63" i="21"/>
  <c r="G63" i="21"/>
  <c r="I63" i="21"/>
  <c r="E64" i="21"/>
  <c r="F64" i="21"/>
  <c r="G64" i="21"/>
  <c r="I64" i="21"/>
  <c r="E65" i="21"/>
  <c r="F65" i="21"/>
  <c r="G65" i="21"/>
  <c r="I65" i="21"/>
  <c r="E66" i="21"/>
  <c r="F66" i="21"/>
  <c r="G66" i="21"/>
  <c r="I66" i="21"/>
  <c r="E67" i="21"/>
  <c r="F67" i="21"/>
  <c r="G67" i="21"/>
  <c r="I67" i="21"/>
  <c r="E68" i="21"/>
  <c r="F68" i="21"/>
  <c r="G68" i="21"/>
  <c r="I68" i="21"/>
  <c r="E69" i="21"/>
  <c r="F69" i="21"/>
  <c r="G69" i="21"/>
  <c r="I69" i="21"/>
  <c r="E70" i="21"/>
  <c r="F70" i="21"/>
  <c r="G70" i="21"/>
  <c r="I70" i="21"/>
  <c r="E71" i="21"/>
  <c r="F71" i="21"/>
  <c r="G71" i="21"/>
  <c r="I71" i="21"/>
  <c r="E72" i="21"/>
  <c r="F72" i="21"/>
  <c r="G72" i="21"/>
  <c r="I72" i="21"/>
  <c r="E73" i="21"/>
  <c r="F73" i="21"/>
  <c r="G73" i="21"/>
  <c r="I73" i="21"/>
  <c r="E74" i="21"/>
  <c r="F74" i="21"/>
  <c r="G74" i="21"/>
  <c r="I74" i="21"/>
  <c r="E75" i="21"/>
  <c r="F75" i="21"/>
  <c r="G75" i="21"/>
  <c r="I75" i="21"/>
  <c r="E76" i="21"/>
  <c r="F76" i="21"/>
  <c r="G76" i="21"/>
  <c r="I76" i="21"/>
  <c r="E77" i="21"/>
  <c r="F77" i="21"/>
  <c r="G77" i="21"/>
  <c r="I77" i="21"/>
  <c r="E78" i="21"/>
  <c r="F78" i="21"/>
  <c r="G78" i="21"/>
  <c r="I78" i="21"/>
  <c r="E79" i="21"/>
  <c r="F79" i="21"/>
  <c r="G79" i="21"/>
  <c r="I79" i="21"/>
  <c r="E80" i="21"/>
  <c r="F80" i="21"/>
  <c r="G80" i="21"/>
  <c r="I80" i="21"/>
  <c r="E81" i="21"/>
  <c r="F81" i="21"/>
  <c r="G81" i="21"/>
  <c r="I81" i="21"/>
  <c r="E82" i="21"/>
  <c r="F82" i="21"/>
  <c r="G82" i="21"/>
  <c r="I82" i="21"/>
  <c r="E83" i="21"/>
  <c r="F83" i="21"/>
  <c r="G83" i="21"/>
  <c r="I83" i="21"/>
  <c r="E84" i="21"/>
  <c r="F84" i="21"/>
  <c r="G84" i="21"/>
  <c r="I84" i="21"/>
  <c r="E85" i="21"/>
  <c r="F85" i="21"/>
  <c r="G85" i="21"/>
  <c r="I85" i="21"/>
  <c r="E86" i="21"/>
  <c r="F86" i="21"/>
  <c r="G86" i="21"/>
  <c r="I86" i="21"/>
  <c r="E87" i="21"/>
  <c r="F87" i="21"/>
  <c r="G87" i="21"/>
  <c r="I87" i="21"/>
  <c r="E88" i="21"/>
  <c r="F88" i="21"/>
  <c r="G88" i="21"/>
  <c r="I88" i="21"/>
  <c r="E89" i="21"/>
  <c r="F89" i="21"/>
  <c r="G89" i="21"/>
  <c r="I89" i="21"/>
  <c r="E90" i="21"/>
  <c r="F90" i="21"/>
  <c r="G90" i="21"/>
  <c r="I90" i="21"/>
  <c r="E91" i="21"/>
  <c r="F91" i="21"/>
  <c r="G91" i="21"/>
  <c r="I91" i="21"/>
  <c r="E92" i="21"/>
  <c r="F92" i="21"/>
  <c r="G92" i="21"/>
  <c r="I92" i="21"/>
  <c r="E93" i="21"/>
  <c r="F93" i="21"/>
  <c r="G93" i="21"/>
  <c r="I93" i="21"/>
  <c r="E94" i="21"/>
  <c r="F94" i="21"/>
  <c r="G94" i="21"/>
  <c r="I94" i="21"/>
  <c r="E95" i="21"/>
  <c r="F95" i="21"/>
  <c r="G95" i="21"/>
  <c r="I95" i="21"/>
  <c r="E96" i="21"/>
  <c r="F96" i="21"/>
  <c r="G96" i="21"/>
  <c r="I96" i="21"/>
  <c r="E97" i="21"/>
  <c r="F97" i="21"/>
  <c r="G97" i="21"/>
  <c r="I97" i="21"/>
  <c r="E98" i="21"/>
  <c r="F98" i="21"/>
  <c r="G98" i="21"/>
  <c r="I98" i="21"/>
  <c r="E99" i="21"/>
  <c r="F99" i="21"/>
  <c r="G99" i="21"/>
  <c r="I99" i="21"/>
  <c r="E100" i="21"/>
  <c r="F100" i="21"/>
  <c r="G100" i="21"/>
  <c r="I100" i="21"/>
  <c r="E101" i="21"/>
  <c r="F101" i="21"/>
  <c r="G101" i="21"/>
  <c r="I101" i="21"/>
  <c r="E102" i="21"/>
  <c r="F102" i="21"/>
  <c r="G102" i="21"/>
  <c r="I102" i="21"/>
  <c r="E103" i="21"/>
  <c r="F103" i="21"/>
  <c r="G103" i="21"/>
  <c r="I103" i="21"/>
  <c r="E104" i="21"/>
  <c r="F104" i="21"/>
  <c r="G104" i="21"/>
  <c r="I104" i="21"/>
  <c r="E105" i="21"/>
  <c r="F105" i="21"/>
  <c r="G105" i="21"/>
  <c r="I105" i="21"/>
  <c r="E106" i="21"/>
  <c r="F106" i="21"/>
  <c r="G106" i="21"/>
  <c r="I106" i="21"/>
  <c r="E107" i="21"/>
  <c r="F107" i="21"/>
  <c r="G107" i="21"/>
  <c r="I107" i="21"/>
  <c r="E108" i="21"/>
  <c r="F108" i="21"/>
  <c r="G108" i="21"/>
  <c r="I108" i="21"/>
  <c r="E109" i="21"/>
  <c r="F109" i="21"/>
  <c r="G109" i="21"/>
  <c r="I109" i="21"/>
  <c r="E110" i="21"/>
  <c r="F110" i="21"/>
  <c r="G110" i="21"/>
  <c r="I110" i="21"/>
  <c r="E111" i="21"/>
  <c r="F111" i="21"/>
  <c r="G111" i="21"/>
  <c r="I111" i="21"/>
  <c r="E112" i="21"/>
  <c r="F112" i="21"/>
  <c r="G112" i="21"/>
  <c r="I112" i="21"/>
  <c r="E113" i="21"/>
  <c r="F113" i="21"/>
  <c r="G113" i="21"/>
  <c r="I113" i="21"/>
  <c r="E114" i="21"/>
  <c r="F114" i="21"/>
  <c r="G114" i="21"/>
  <c r="I114" i="21"/>
  <c r="E115" i="21"/>
  <c r="F115" i="21"/>
  <c r="G115" i="21"/>
  <c r="I115" i="21"/>
  <c r="E116" i="21"/>
  <c r="F116" i="21"/>
  <c r="G116" i="21"/>
  <c r="I116" i="21"/>
  <c r="E117" i="21"/>
  <c r="F117" i="21"/>
  <c r="G117" i="21"/>
  <c r="I117" i="21"/>
  <c r="E118" i="21"/>
  <c r="F118" i="21"/>
  <c r="G118" i="21"/>
  <c r="I118" i="21"/>
  <c r="E119" i="21"/>
  <c r="F119" i="21"/>
  <c r="G119" i="21"/>
  <c r="I119" i="21"/>
  <c r="E120" i="21"/>
  <c r="F120" i="21"/>
  <c r="G120" i="21"/>
  <c r="I120" i="21"/>
  <c r="E121" i="21"/>
  <c r="F121" i="21"/>
  <c r="G121" i="21"/>
  <c r="I121" i="21"/>
  <c r="E122" i="21"/>
  <c r="F122" i="21"/>
  <c r="G122" i="21"/>
  <c r="I122" i="21"/>
  <c r="E123" i="21"/>
  <c r="F123" i="21"/>
  <c r="G123" i="21"/>
  <c r="I123" i="21"/>
  <c r="E124" i="21"/>
  <c r="F124" i="21"/>
  <c r="G124" i="21"/>
  <c r="I124" i="21"/>
  <c r="E125" i="21"/>
  <c r="F125" i="21"/>
  <c r="G125" i="21"/>
  <c r="I125" i="21"/>
  <c r="E126" i="21"/>
  <c r="F126" i="21"/>
  <c r="G126" i="21"/>
  <c r="I126" i="21"/>
  <c r="E127" i="21"/>
  <c r="F127" i="21"/>
  <c r="G127" i="21"/>
  <c r="I127" i="21"/>
  <c r="E128" i="21"/>
  <c r="F128" i="21"/>
  <c r="G128" i="21"/>
  <c r="I128" i="21"/>
  <c r="E129" i="21"/>
  <c r="F129" i="21"/>
  <c r="G129" i="21"/>
  <c r="I129" i="21"/>
  <c r="E130" i="21"/>
  <c r="F130" i="21" s="1"/>
  <c r="G130" i="21"/>
  <c r="I130" i="21"/>
  <c r="E131" i="21"/>
  <c r="F131" i="21"/>
  <c r="G131" i="21"/>
  <c r="I131" i="21"/>
  <c r="E132" i="21"/>
  <c r="F132" i="21"/>
  <c r="G132" i="21"/>
  <c r="I132" i="21"/>
  <c r="E133" i="21"/>
  <c r="F133" i="21" s="1"/>
  <c r="G133" i="21"/>
  <c r="I133" i="21"/>
  <c r="E134" i="21"/>
  <c r="F134" i="21"/>
  <c r="G134" i="21"/>
  <c r="I134" i="21"/>
  <c r="E135" i="21"/>
  <c r="F135" i="21"/>
  <c r="G135" i="21"/>
  <c r="I135" i="21"/>
  <c r="E136" i="21"/>
  <c r="F136" i="21" s="1"/>
  <c r="G136" i="21"/>
  <c r="I136" i="21"/>
  <c r="E137" i="21"/>
  <c r="F137" i="21"/>
  <c r="G137" i="21"/>
  <c r="I137" i="21"/>
  <c r="E138" i="21"/>
  <c r="F138" i="21"/>
  <c r="G138" i="21"/>
  <c r="I138" i="21"/>
  <c r="E139" i="21"/>
  <c r="F139" i="21" s="1"/>
  <c r="G139" i="21"/>
  <c r="I139" i="21"/>
  <c r="E140" i="21"/>
  <c r="F140" i="21"/>
  <c r="G140" i="21"/>
  <c r="I140" i="21"/>
  <c r="E141" i="21"/>
  <c r="F141" i="21"/>
  <c r="G141" i="21"/>
  <c r="I141" i="21"/>
  <c r="E142" i="21"/>
  <c r="F142" i="21" s="1"/>
  <c r="G142" i="21"/>
  <c r="I142" i="21"/>
  <c r="E143" i="21"/>
  <c r="F143" i="21"/>
  <c r="G143" i="21"/>
  <c r="I143" i="21"/>
  <c r="E144" i="21"/>
  <c r="F144" i="21"/>
  <c r="G144" i="21"/>
  <c r="I144" i="21"/>
  <c r="E145" i="21"/>
  <c r="F145" i="21" s="1"/>
  <c r="G145" i="21"/>
  <c r="I145" i="21"/>
  <c r="E146" i="21"/>
  <c r="F146" i="21"/>
  <c r="G146" i="21"/>
  <c r="I146" i="21"/>
  <c r="E147" i="21"/>
  <c r="F147" i="21"/>
  <c r="G147" i="21"/>
  <c r="I147" i="21"/>
  <c r="E148" i="21"/>
  <c r="F148" i="21" s="1"/>
  <c r="G148" i="21"/>
  <c r="I148" i="21"/>
  <c r="E149" i="21"/>
  <c r="F149" i="21"/>
  <c r="G149" i="21"/>
  <c r="I149" i="21"/>
  <c r="E150" i="21"/>
  <c r="F150" i="21"/>
  <c r="G150" i="21"/>
  <c r="I150" i="21"/>
  <c r="E151" i="21"/>
  <c r="F151" i="21" s="1"/>
  <c r="I151" i="21"/>
  <c r="E152" i="21"/>
  <c r="F152" i="21"/>
  <c r="G152" i="21"/>
  <c r="I152" i="21"/>
  <c r="E153" i="21"/>
  <c r="F153" i="21"/>
  <c r="G153" i="21"/>
  <c r="I153" i="21"/>
  <c r="E154" i="21"/>
  <c r="F154" i="21" s="1"/>
  <c r="I154" i="21"/>
  <c r="E155" i="21"/>
  <c r="F155" i="21"/>
  <c r="G155" i="21"/>
  <c r="I155" i="21"/>
  <c r="E156" i="21"/>
  <c r="F156" i="21"/>
  <c r="G156" i="21"/>
  <c r="I156" i="21"/>
  <c r="E157" i="21"/>
  <c r="F157" i="21" s="1"/>
  <c r="I157" i="21"/>
  <c r="E158" i="21"/>
  <c r="F158" i="21"/>
  <c r="G158" i="21"/>
  <c r="I158" i="21"/>
  <c r="E159" i="21"/>
  <c r="F159" i="21"/>
  <c r="G159" i="21"/>
  <c r="I159" i="21"/>
  <c r="E160" i="21"/>
  <c r="F160" i="21" s="1"/>
  <c r="I160" i="21"/>
  <c r="E161" i="21"/>
  <c r="F161" i="21"/>
  <c r="G161" i="21"/>
  <c r="I161" i="21"/>
  <c r="E162" i="21"/>
  <c r="F162" i="21"/>
  <c r="G162" i="21"/>
  <c r="I162" i="21"/>
  <c r="E163" i="21"/>
  <c r="F163" i="21" s="1"/>
  <c r="G163" i="21"/>
  <c r="I163" i="21"/>
  <c r="E164" i="21"/>
  <c r="F164" i="21"/>
  <c r="G164" i="21"/>
  <c r="I164" i="21"/>
  <c r="E165" i="21"/>
  <c r="F165" i="21"/>
  <c r="G165" i="21"/>
  <c r="I165" i="21"/>
  <c r="E166" i="21"/>
  <c r="F166" i="21" s="1"/>
  <c r="G166" i="21"/>
  <c r="I166" i="21"/>
  <c r="E167" i="21"/>
  <c r="F167" i="21"/>
  <c r="G167" i="21"/>
  <c r="I167" i="21"/>
  <c r="E168" i="21"/>
  <c r="F168" i="21"/>
  <c r="G168" i="21"/>
  <c r="I168" i="21"/>
  <c r="E169" i="21"/>
  <c r="F169" i="21" s="1"/>
  <c r="G169" i="21"/>
  <c r="I169" i="21"/>
  <c r="E170" i="21"/>
  <c r="F170" i="21"/>
  <c r="G170" i="21"/>
  <c r="I170" i="21"/>
  <c r="E171" i="21"/>
  <c r="F171" i="21"/>
  <c r="G171" i="21"/>
  <c r="I171" i="21"/>
  <c r="E172" i="21"/>
  <c r="F172" i="21" s="1"/>
  <c r="G172" i="21"/>
  <c r="I172" i="21"/>
  <c r="E173" i="21"/>
  <c r="F173" i="21"/>
  <c r="G173" i="21"/>
  <c r="I173" i="21"/>
  <c r="E174" i="21"/>
  <c r="F174" i="21"/>
  <c r="G174" i="21"/>
  <c r="I174" i="21"/>
  <c r="E175" i="21"/>
  <c r="F175" i="21" s="1"/>
  <c r="G175" i="21"/>
  <c r="I175" i="21"/>
  <c r="E176" i="21"/>
  <c r="F176" i="21"/>
  <c r="G176" i="21"/>
  <c r="I176" i="21"/>
  <c r="E177" i="21"/>
  <c r="F177" i="21"/>
  <c r="G177" i="21"/>
  <c r="I177" i="21"/>
  <c r="E178" i="21"/>
  <c r="F178" i="21" s="1"/>
  <c r="G178" i="21"/>
  <c r="I178" i="21"/>
  <c r="E179" i="21"/>
  <c r="F179" i="21"/>
  <c r="G179" i="21"/>
  <c r="I179" i="21"/>
  <c r="E180" i="21"/>
  <c r="F180" i="21"/>
  <c r="G180" i="21"/>
  <c r="I180" i="21"/>
  <c r="E181" i="21"/>
  <c r="F181" i="21" s="1"/>
  <c r="G181" i="21"/>
  <c r="I181" i="21"/>
  <c r="E182" i="21"/>
  <c r="F182" i="21"/>
  <c r="G182" i="21"/>
  <c r="I182" i="21"/>
  <c r="E183" i="21"/>
  <c r="F183" i="21"/>
  <c r="G183" i="21"/>
  <c r="I183" i="21"/>
  <c r="E184" i="21"/>
  <c r="F184" i="21" s="1"/>
  <c r="G184" i="21"/>
  <c r="I184" i="21"/>
  <c r="E185" i="21"/>
  <c r="F185" i="21"/>
  <c r="G185" i="21"/>
  <c r="I185" i="21"/>
  <c r="E186" i="21"/>
  <c r="F186" i="21"/>
  <c r="G186" i="21"/>
  <c r="I186" i="21"/>
  <c r="E187" i="21"/>
  <c r="F187" i="21" s="1"/>
  <c r="G187" i="21"/>
  <c r="I187" i="21"/>
  <c r="E188" i="21"/>
  <c r="F188" i="21"/>
  <c r="G188" i="21"/>
  <c r="I188" i="21"/>
  <c r="E189" i="21"/>
  <c r="F189" i="21"/>
  <c r="G189" i="21"/>
  <c r="I189" i="21"/>
  <c r="E190" i="21"/>
  <c r="F190" i="21" s="1"/>
  <c r="G190" i="21"/>
  <c r="I190" i="21"/>
  <c r="E191" i="21"/>
  <c r="F191" i="21"/>
  <c r="G191" i="21"/>
  <c r="I191" i="21"/>
  <c r="E192" i="21"/>
  <c r="F192" i="21"/>
  <c r="G192" i="21"/>
  <c r="I192" i="21"/>
  <c r="E193" i="21"/>
  <c r="F193" i="21" s="1"/>
  <c r="G193" i="21"/>
  <c r="I193" i="21"/>
  <c r="E194" i="21"/>
  <c r="F194" i="21"/>
  <c r="G194" i="21"/>
  <c r="I194" i="21"/>
  <c r="E195" i="21"/>
  <c r="F195" i="21"/>
  <c r="G195" i="21"/>
  <c r="I195" i="21"/>
  <c r="E196" i="21"/>
  <c r="F196" i="21" s="1"/>
  <c r="G196" i="21"/>
  <c r="I196" i="21"/>
  <c r="E197" i="21"/>
  <c r="F197" i="21"/>
  <c r="G197" i="21"/>
  <c r="I197" i="21"/>
  <c r="E198" i="21"/>
  <c r="F198" i="21"/>
  <c r="G198" i="21"/>
  <c r="I198" i="21"/>
  <c r="E199" i="21"/>
  <c r="F199" i="21" s="1"/>
  <c r="G199" i="21"/>
  <c r="I199" i="21"/>
  <c r="E200" i="21"/>
  <c r="F200" i="21"/>
  <c r="G200" i="21"/>
  <c r="I200" i="21"/>
  <c r="E201" i="21"/>
  <c r="F201" i="21"/>
  <c r="G201" i="21"/>
  <c r="I201" i="21"/>
  <c r="E202" i="21"/>
  <c r="F202" i="21" s="1"/>
  <c r="G202" i="21"/>
  <c r="I202" i="21"/>
  <c r="E203" i="21"/>
  <c r="F203" i="21"/>
  <c r="G203" i="21"/>
  <c r="I203" i="21"/>
  <c r="E204" i="21"/>
  <c r="F204" i="21"/>
  <c r="G204" i="21"/>
  <c r="I204" i="21"/>
  <c r="E205" i="21"/>
  <c r="F205" i="21" s="1"/>
  <c r="G205" i="21"/>
  <c r="I205" i="21"/>
  <c r="E206" i="21"/>
  <c r="F206" i="21"/>
  <c r="G206" i="21"/>
  <c r="I206" i="21"/>
  <c r="E207" i="21"/>
  <c r="F207" i="21"/>
  <c r="G207" i="21"/>
  <c r="I207" i="21"/>
  <c r="E208" i="21"/>
  <c r="F208" i="21" s="1"/>
  <c r="G208" i="21"/>
  <c r="I208" i="21"/>
  <c r="E209" i="21"/>
  <c r="F209" i="21"/>
  <c r="G209" i="21"/>
  <c r="I209" i="21"/>
  <c r="E210" i="21"/>
  <c r="F210" i="21"/>
  <c r="G210" i="21"/>
  <c r="I210" i="21"/>
  <c r="E44" i="21"/>
  <c r="I44" i="21" s="1"/>
  <c r="F6" i="21"/>
  <c r="G6" i="21"/>
  <c r="I6" i="21"/>
  <c r="F7" i="21"/>
  <c r="G7" i="21"/>
  <c r="I7" i="21"/>
  <c r="F8" i="21"/>
  <c r="G8" i="21"/>
  <c r="I8" i="21"/>
  <c r="F9" i="21"/>
  <c r="G9" i="21"/>
  <c r="I9" i="21"/>
  <c r="F10" i="21"/>
  <c r="G10" i="21"/>
  <c r="I10" i="21"/>
  <c r="F11" i="21"/>
  <c r="G11" i="21"/>
  <c r="I11" i="21"/>
  <c r="F12" i="21"/>
  <c r="G12" i="21"/>
  <c r="I12" i="21"/>
  <c r="F13" i="21"/>
  <c r="G13" i="21"/>
  <c r="F14" i="21"/>
  <c r="G14" i="21"/>
  <c r="I14" i="21"/>
  <c r="F15" i="21"/>
  <c r="G15" i="21"/>
  <c r="F16" i="21"/>
  <c r="G16" i="21"/>
  <c r="I16" i="21"/>
  <c r="F17" i="21"/>
  <c r="G17" i="21"/>
  <c r="I17" i="21"/>
  <c r="F18" i="21"/>
  <c r="G18" i="21"/>
  <c r="I18" i="21"/>
  <c r="F20" i="21"/>
  <c r="G20" i="21"/>
  <c r="I20" i="21"/>
  <c r="F21" i="21"/>
  <c r="G21" i="21"/>
  <c r="I21" i="21"/>
  <c r="F22" i="21"/>
  <c r="G22" i="21"/>
  <c r="I22" i="21"/>
  <c r="F23" i="21"/>
  <c r="G23" i="21"/>
  <c r="I23" i="21"/>
  <c r="F24" i="21"/>
  <c r="G24" i="21"/>
  <c r="I24" i="21"/>
  <c r="F25" i="21"/>
  <c r="G25" i="21"/>
  <c r="I25" i="21"/>
  <c r="I5" i="21"/>
  <c r="G5" i="21"/>
  <c r="F5" i="21"/>
  <c r="E6" i="21"/>
  <c r="E7" i="21"/>
  <c r="E8" i="21"/>
  <c r="E9" i="21"/>
  <c r="E10" i="21"/>
  <c r="E11" i="21"/>
  <c r="E12" i="21"/>
  <c r="E13" i="21"/>
  <c r="E14" i="21"/>
  <c r="E15" i="21"/>
  <c r="E16" i="21"/>
  <c r="E17" i="21"/>
  <c r="E18" i="21"/>
  <c r="E19" i="21"/>
  <c r="F19" i="21" s="1"/>
  <c r="E20" i="21"/>
  <c r="E21" i="21"/>
  <c r="E22" i="21"/>
  <c r="E23" i="21"/>
  <c r="E24" i="21"/>
  <c r="E25" i="21"/>
  <c r="E5" i="21"/>
  <c r="D210" i="21"/>
  <c r="D209" i="21"/>
  <c r="D208" i="21"/>
  <c r="D207" i="21"/>
  <c r="D206" i="21"/>
  <c r="D205" i="21"/>
  <c r="D204" i="21"/>
  <c r="D203" i="21"/>
  <c r="D202" i="21"/>
  <c r="D201" i="21"/>
  <c r="D200" i="21"/>
  <c r="D199" i="21"/>
  <c r="D198" i="21"/>
  <c r="D197" i="21"/>
  <c r="D196" i="21"/>
  <c r="D195" i="21"/>
  <c r="D194" i="21"/>
  <c r="D193" i="21"/>
  <c r="D192" i="21"/>
  <c r="D191" i="21"/>
  <c r="D190" i="21"/>
  <c r="D189" i="21"/>
  <c r="D188" i="21"/>
  <c r="D187" i="21"/>
  <c r="D186" i="21"/>
  <c r="D185" i="21"/>
  <c r="D184" i="21"/>
  <c r="D183" i="21"/>
  <c r="D182" i="21"/>
  <c r="D181" i="21"/>
  <c r="D180" i="21"/>
  <c r="D179" i="21"/>
  <c r="D178" i="21"/>
  <c r="D177" i="21"/>
  <c r="D176" i="21"/>
  <c r="D175" i="21"/>
  <c r="D174" i="21"/>
  <c r="D173" i="21"/>
  <c r="D172" i="21"/>
  <c r="D171" i="21"/>
  <c r="D170" i="21"/>
  <c r="D169" i="21"/>
  <c r="D168" i="21"/>
  <c r="D167" i="21"/>
  <c r="D166" i="21"/>
  <c r="D165" i="21"/>
  <c r="D164" i="21"/>
  <c r="D163" i="21"/>
  <c r="D162" i="21"/>
  <c r="D161" i="21"/>
  <c r="D160" i="21"/>
  <c r="D159" i="21"/>
  <c r="D158" i="21"/>
  <c r="D157" i="21"/>
  <c r="D156" i="21"/>
  <c r="D155" i="21"/>
  <c r="D154" i="21"/>
  <c r="D153" i="21"/>
  <c r="D152" i="21"/>
  <c r="D151" i="21"/>
  <c r="D150" i="21"/>
  <c r="D149" i="21"/>
  <c r="D148" i="21"/>
  <c r="D147" i="21"/>
  <c r="D146" i="21"/>
  <c r="D145" i="21"/>
  <c r="D144" i="21"/>
  <c r="D143" i="21"/>
  <c r="D142" i="21"/>
  <c r="D141" i="21"/>
  <c r="D140" i="21"/>
  <c r="D139" i="21"/>
  <c r="D138" i="21"/>
  <c r="D137" i="21"/>
  <c r="D136" i="21"/>
  <c r="D135" i="21"/>
  <c r="D134" i="21"/>
  <c r="D133" i="21"/>
  <c r="D132" i="21"/>
  <c r="D131" i="21"/>
  <c r="D130" i="21"/>
  <c r="D129" i="21"/>
  <c r="D128" i="21"/>
  <c r="D127" i="21"/>
  <c r="D126" i="21"/>
  <c r="D125" i="21"/>
  <c r="D124" i="21"/>
  <c r="D123" i="21"/>
  <c r="D122" i="21"/>
  <c r="D121" i="21"/>
  <c r="D120" i="21"/>
  <c r="D119" i="21"/>
  <c r="D118" i="21"/>
  <c r="D117" i="21"/>
  <c r="D116" i="21"/>
  <c r="D115" i="21"/>
  <c r="D114" i="21"/>
  <c r="D113" i="21"/>
  <c r="D112" i="21"/>
  <c r="D111" i="21"/>
  <c r="D110" i="21"/>
  <c r="D109" i="21"/>
  <c r="D108" i="21"/>
  <c r="D107" i="21"/>
  <c r="D106" i="21"/>
  <c r="D105" i="21"/>
  <c r="D104" i="21"/>
  <c r="D103" i="21"/>
  <c r="D102" i="21"/>
  <c r="D101" i="21"/>
  <c r="D100" i="21"/>
  <c r="D99" i="21"/>
  <c r="D98" i="21"/>
  <c r="D97" i="21"/>
  <c r="D96" i="21"/>
  <c r="D95" i="21"/>
  <c r="D94" i="21"/>
  <c r="D93" i="21"/>
  <c r="D92" i="21"/>
  <c r="D91" i="21"/>
  <c r="D90" i="21"/>
  <c r="D89" i="21"/>
  <c r="D88" i="21"/>
  <c r="D87" i="21"/>
  <c r="D86" i="21"/>
  <c r="D85" i="21"/>
  <c r="D84" i="21"/>
  <c r="D83" i="21"/>
  <c r="D82" i="21"/>
  <c r="D81" i="21"/>
  <c r="D80" i="21"/>
  <c r="D79" i="21"/>
  <c r="D78" i="21"/>
  <c r="D77" i="21"/>
  <c r="D76" i="21"/>
  <c r="D75" i="21"/>
  <c r="D74" i="21"/>
  <c r="D73" i="21"/>
  <c r="D72" i="21"/>
  <c r="D71" i="21"/>
  <c r="D70" i="21"/>
  <c r="D69" i="21"/>
  <c r="D68" i="21"/>
  <c r="D67" i="21"/>
  <c r="D66" i="21"/>
  <c r="D65" i="21"/>
  <c r="D64" i="21"/>
  <c r="D63" i="21"/>
  <c r="D62" i="21"/>
  <c r="D61" i="21"/>
  <c r="D60" i="21"/>
  <c r="D59" i="21"/>
  <c r="D58" i="21"/>
  <c r="D57" i="21"/>
  <c r="D56" i="21"/>
  <c r="D55" i="21"/>
  <c r="D54" i="21"/>
  <c r="D53" i="21"/>
  <c r="D52" i="21"/>
  <c r="D51" i="21"/>
  <c r="D50" i="21"/>
  <c r="D49" i="21"/>
  <c r="D48" i="21"/>
  <c r="D47" i="21"/>
  <c r="D46" i="21"/>
  <c r="D45" i="21"/>
  <c r="D44" i="21"/>
  <c r="D43" i="21"/>
  <c r="D42" i="21"/>
  <c r="D41" i="21"/>
  <c r="D40" i="21"/>
  <c r="D39" i="21"/>
  <c r="D38" i="21"/>
  <c r="D37" i="21"/>
  <c r="D36" i="21"/>
  <c r="D35" i="21"/>
  <c r="D34" i="21"/>
  <c r="D33" i="21"/>
  <c r="D32" i="21"/>
  <c r="D31" i="21"/>
  <c r="D30" i="21"/>
  <c r="D25" i="21"/>
  <c r="D24" i="21"/>
  <c r="D23" i="21"/>
  <c r="D22" i="21"/>
  <c r="D21" i="21"/>
  <c r="D20" i="21"/>
  <c r="D18" i="21"/>
  <c r="D17" i="21"/>
  <c r="D16" i="21"/>
  <c r="D15" i="21"/>
  <c r="D14" i="21"/>
  <c r="D13" i="21"/>
  <c r="D12" i="21"/>
  <c r="D11" i="21"/>
  <c r="D10" i="21"/>
  <c r="D9" i="21"/>
  <c r="D8" i="21"/>
  <c r="D7" i="21"/>
  <c r="D6" i="21"/>
  <c r="D5" i="21"/>
  <c r="D4" i="21"/>
  <c r="D3" i="21"/>
  <c r="D20"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I83" i="13"/>
  <c r="I84" i="13"/>
  <c r="I85" i="13"/>
  <c r="I86" i="13"/>
  <c r="I87" i="13"/>
  <c r="I88" i="13"/>
  <c r="I89" i="13"/>
  <c r="I90" i="13"/>
  <c r="I91" i="13"/>
  <c r="I92" i="13"/>
  <c r="I93" i="13"/>
  <c r="I94" i="13"/>
  <c r="I95" i="13"/>
  <c r="I96" i="13"/>
  <c r="I97" i="13"/>
  <c r="I98" i="13"/>
  <c r="I99" i="13"/>
  <c r="I100" i="13"/>
  <c r="I101" i="13"/>
  <c r="I102" i="13"/>
  <c r="I103" i="13"/>
  <c r="I104" i="13"/>
  <c r="I105" i="13"/>
  <c r="I106" i="13"/>
  <c r="I107" i="13"/>
  <c r="I108" i="13"/>
  <c r="I109" i="13"/>
  <c r="I110" i="13"/>
  <c r="I111" i="13"/>
  <c r="I112" i="13"/>
  <c r="I113" i="13"/>
  <c r="I114" i="13"/>
  <c r="I115" i="13"/>
  <c r="I116" i="13"/>
  <c r="I117" i="13"/>
  <c r="I118" i="13"/>
  <c r="I119" i="13"/>
  <c r="I120" i="13"/>
  <c r="I121" i="13"/>
  <c r="I122" i="13"/>
  <c r="I123" i="13"/>
  <c r="I124" i="13"/>
  <c r="I125" i="13"/>
  <c r="I126" i="13"/>
  <c r="I127" i="13"/>
  <c r="I128" i="13"/>
  <c r="I129" i="13"/>
  <c r="I130" i="13"/>
  <c r="I131" i="13"/>
  <c r="I132" i="13"/>
  <c r="I133" i="13"/>
  <c r="I134" i="13"/>
  <c r="I135" i="13"/>
  <c r="I136" i="13"/>
  <c r="I137" i="13"/>
  <c r="I138" i="13"/>
  <c r="I139" i="13"/>
  <c r="I140" i="13"/>
  <c r="I141" i="13"/>
  <c r="I142" i="13"/>
  <c r="I143" i="13"/>
  <c r="I144" i="13"/>
  <c r="I145" i="13"/>
  <c r="I146" i="13"/>
  <c r="I147" i="13"/>
  <c r="I148" i="13"/>
  <c r="I149" i="13"/>
  <c r="I150" i="13"/>
  <c r="I151" i="13"/>
  <c r="I152" i="13"/>
  <c r="I153" i="13"/>
  <c r="I154" i="13"/>
  <c r="I155" i="13"/>
  <c r="I156" i="13"/>
  <c r="I157" i="13"/>
  <c r="I158" i="13"/>
  <c r="I159" i="13"/>
  <c r="I160" i="13"/>
  <c r="I161" i="13"/>
  <c r="I162" i="13"/>
  <c r="I163" i="13"/>
  <c r="I164" i="13"/>
  <c r="I165" i="13"/>
  <c r="I166" i="13"/>
  <c r="I167" i="13"/>
  <c r="I168" i="13"/>
  <c r="I169" i="13"/>
  <c r="I170" i="13"/>
  <c r="I171" i="13"/>
  <c r="I172" i="13"/>
  <c r="I173" i="13"/>
  <c r="I174" i="13"/>
  <c r="I175" i="13"/>
  <c r="I176" i="13"/>
  <c r="I31" i="13"/>
  <c r="I5" i="13"/>
  <c r="I6" i="13"/>
  <c r="I7" i="13"/>
  <c r="I8" i="13"/>
  <c r="I9" i="13"/>
  <c r="I10" i="13"/>
  <c r="I13" i="13"/>
  <c r="I21" i="13"/>
  <c r="D25" i="13"/>
  <c r="E25" i="13" s="1"/>
  <c r="D176" i="13"/>
  <c r="O25" i="13"/>
  <c r="E13" i="12"/>
  <c r="I13" i="12"/>
  <c r="D20" i="12"/>
  <c r="D27" i="12"/>
  <c r="E27" i="12" s="1"/>
  <c r="D195" i="12"/>
  <c r="E195" i="12"/>
  <c r="I192" i="12"/>
  <c r="I193" i="12"/>
  <c r="I194" i="12"/>
  <c r="F192" i="12"/>
  <c r="G192" i="12"/>
  <c r="F193" i="12"/>
  <c r="G193" i="12"/>
  <c r="F194" i="12"/>
  <c r="G194" i="12"/>
  <c r="E192" i="12"/>
  <c r="E193" i="12"/>
  <c r="E194" i="12"/>
  <c r="D194" i="12"/>
  <c r="D193" i="12"/>
  <c r="D19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32" i="12"/>
  <c r="I31" i="12"/>
  <c r="I5" i="12"/>
  <c r="I6" i="12"/>
  <c r="I7" i="12"/>
  <c r="I8" i="12"/>
  <c r="I9" i="12"/>
  <c r="I10" i="12"/>
  <c r="I11" i="12"/>
  <c r="I12" i="12"/>
  <c r="I15" i="12"/>
  <c r="I17" i="12"/>
  <c r="I18" i="12"/>
  <c r="I19" i="12"/>
  <c r="I21" i="12"/>
  <c r="I22" i="12"/>
  <c r="I23" i="12"/>
  <c r="I24" i="12"/>
  <c r="I25" i="12"/>
  <c r="I26" i="12"/>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32" i="10"/>
  <c r="I5" i="10"/>
  <c r="I6" i="10"/>
  <c r="I7" i="10"/>
  <c r="I8" i="10"/>
  <c r="I9" i="10"/>
  <c r="I10" i="10"/>
  <c r="I11" i="10"/>
  <c r="I12" i="10"/>
  <c r="I13" i="10"/>
  <c r="I15" i="10"/>
  <c r="I17" i="10"/>
  <c r="I18" i="10"/>
  <c r="I19" i="10"/>
  <c r="I21" i="10"/>
  <c r="I22" i="10"/>
  <c r="I23" i="10"/>
  <c r="I24" i="10"/>
  <c r="I25" i="10"/>
  <c r="I26" i="10"/>
  <c r="I27" i="10"/>
  <c r="I28" i="10"/>
  <c r="I4" i="7"/>
  <c r="I5" i="7"/>
  <c r="I6" i="7"/>
  <c r="I7" i="7"/>
  <c r="D4" i="7"/>
  <c r="D5" i="7"/>
  <c r="E4" i="7"/>
  <c r="E5" i="7"/>
  <c r="E6" i="7"/>
  <c r="E7" i="7"/>
  <c r="E8" i="7"/>
  <c r="G8" i="7" s="1"/>
  <c r="E9" i="7"/>
  <c r="E31" i="7"/>
  <c r="E32" i="7"/>
  <c r="E33" i="7"/>
  <c r="E34" i="7"/>
  <c r="E35" i="7"/>
  <c r="E36" i="7"/>
  <c r="E37" i="7"/>
  <c r="G37" i="7" s="1"/>
  <c r="E38" i="7"/>
  <c r="I38" i="7" s="1"/>
  <c r="E39" i="7"/>
  <c r="F39" i="7" s="1"/>
  <c r="E40" i="7"/>
  <c r="F40" i="7" s="1"/>
  <c r="E41" i="7"/>
  <c r="G41" i="7" s="1"/>
  <c r="E42" i="7"/>
  <c r="E43" i="7"/>
  <c r="E44" i="7"/>
  <c r="E45" i="7"/>
  <c r="E46" i="7"/>
  <c r="E47" i="7"/>
  <c r="E48" i="7"/>
  <c r="E49" i="7"/>
  <c r="E50" i="7"/>
  <c r="E51" i="7"/>
  <c r="E52" i="7"/>
  <c r="F52" i="7" s="1"/>
  <c r="E53" i="7"/>
  <c r="G53" i="7" s="1"/>
  <c r="E54" i="7"/>
  <c r="E55" i="7"/>
  <c r="E56" i="7"/>
  <c r="E57" i="7"/>
  <c r="E58" i="7"/>
  <c r="E59" i="7"/>
  <c r="E60" i="7"/>
  <c r="G60" i="7" s="1"/>
  <c r="E61" i="7"/>
  <c r="E62" i="7"/>
  <c r="I62" i="7" s="1"/>
  <c r="E63" i="7"/>
  <c r="F63" i="7" s="1"/>
  <c r="E64" i="7"/>
  <c r="F64" i="7" s="1"/>
  <c r="E65" i="7"/>
  <c r="E66" i="7"/>
  <c r="E67" i="7"/>
  <c r="I67" i="7" s="1"/>
  <c r="E68" i="7"/>
  <c r="F68" i="7" s="1"/>
  <c r="E69" i="7"/>
  <c r="I69" i="7" s="1"/>
  <c r="E70" i="7"/>
  <c r="G70" i="7" s="1"/>
  <c r="E71" i="7"/>
  <c r="D27" i="7"/>
  <c r="D25" i="7"/>
  <c r="D24" i="7"/>
  <c r="D23" i="7"/>
  <c r="D22" i="7"/>
  <c r="D21" i="7"/>
  <c r="D20" i="7"/>
  <c r="D19" i="7"/>
  <c r="D18" i="7"/>
  <c r="E25" i="7"/>
  <c r="G25" i="7" s="1"/>
  <c r="D16" i="7"/>
  <c r="E16" i="7" s="1"/>
  <c r="G16" i="7" s="1"/>
  <c r="D15" i="7"/>
  <c r="D14" i="7"/>
  <c r="D13" i="7"/>
  <c r="D12" i="7"/>
  <c r="D11" i="7"/>
  <c r="D10" i="7"/>
  <c r="D9" i="7"/>
  <c r="D8" i="7"/>
  <c r="D7" i="7"/>
  <c r="D6" i="7"/>
  <c r="E14" i="7"/>
  <c r="G14" i="7" s="1"/>
  <c r="E15" i="7"/>
  <c r="D110" i="7"/>
  <c r="D109" i="7"/>
  <c r="D108" i="7"/>
  <c r="D107" i="7"/>
  <c r="D106" i="7"/>
  <c r="D105" i="7"/>
  <c r="D104" i="7"/>
  <c r="D103" i="7"/>
  <c r="D102" i="7"/>
  <c r="E108" i="7"/>
  <c r="E109" i="7"/>
  <c r="E110" i="7"/>
  <c r="D101" i="7"/>
  <c r="D99" i="7"/>
  <c r="D100" i="7"/>
  <c r="D98" i="7"/>
  <c r="D97" i="7"/>
  <c r="D96" i="7"/>
  <c r="D95" i="7"/>
  <c r="D94" i="7"/>
  <c r="D93" i="7"/>
  <c r="D92" i="7"/>
  <c r="D91" i="7"/>
  <c r="D90" i="7"/>
  <c r="D89" i="7"/>
  <c r="D88" i="7"/>
  <c r="D87" i="7"/>
  <c r="D86" i="7"/>
  <c r="D85" i="7"/>
  <c r="D84" i="7"/>
  <c r="D83" i="7"/>
  <c r="D82" i="7"/>
  <c r="E86" i="7"/>
  <c r="E88" i="7"/>
  <c r="F88" i="7" s="1"/>
  <c r="E93" i="7"/>
  <c r="E98" i="7"/>
  <c r="E100" i="7"/>
  <c r="G100" i="7" s="1"/>
  <c r="D81" i="7"/>
  <c r="D80" i="7"/>
  <c r="D79" i="7"/>
  <c r="D78" i="7"/>
  <c r="D77" i="7"/>
  <c r="D76" i="7"/>
  <c r="D75" i="7"/>
  <c r="E81" i="7"/>
  <c r="E78" i="7"/>
  <c r="E79" i="7"/>
  <c r="G79" i="7" s="1"/>
  <c r="E80" i="7"/>
  <c r="G80" i="7" s="1"/>
  <c r="D74" i="7"/>
  <c r="D73" i="7"/>
  <c r="D72" i="7"/>
  <c r="D71" i="7"/>
  <c r="D70" i="7"/>
  <c r="D69" i="7"/>
  <c r="D68" i="7"/>
  <c r="D67" i="7"/>
  <c r="D66" i="7"/>
  <c r="D65" i="7"/>
  <c r="D64" i="7"/>
  <c r="E72" i="7"/>
  <c r="E73" i="7"/>
  <c r="E74" i="7"/>
  <c r="D63" i="7"/>
  <c r="D62" i="7"/>
  <c r="D61" i="7"/>
  <c r="D60" i="7"/>
  <c r="D59" i="7"/>
  <c r="D58" i="7"/>
  <c r="D57" i="7"/>
  <c r="D56" i="7"/>
  <c r="D55" i="7"/>
  <c r="D54" i="7"/>
  <c r="D53" i="7"/>
  <c r="D52" i="7"/>
  <c r="D51" i="7"/>
  <c r="D50" i="7"/>
  <c r="D49" i="7"/>
  <c r="D48" i="7"/>
  <c r="D47" i="7"/>
  <c r="D46" i="7"/>
  <c r="D45" i="7"/>
  <c r="I55" i="7"/>
  <c r="D44" i="7"/>
  <c r="D43" i="7"/>
  <c r="D42" i="7"/>
  <c r="D41" i="7"/>
  <c r="D40" i="7"/>
  <c r="D39" i="7"/>
  <c r="D38" i="7"/>
  <c r="D37" i="7"/>
  <c r="D36" i="7"/>
  <c r="D35" i="7"/>
  <c r="D34" i="7"/>
  <c r="D33" i="7"/>
  <c r="D32" i="7"/>
  <c r="I43" i="7"/>
  <c r="D31" i="7"/>
  <c r="I33" i="7"/>
  <c r="G34" i="7"/>
  <c r="G35" i="7"/>
  <c r="G36" i="7"/>
  <c r="I37" i="7"/>
  <c r="I45" i="7"/>
  <c r="I46" i="7"/>
  <c r="G47" i="7"/>
  <c r="I48" i="7"/>
  <c r="I57" i="7"/>
  <c r="I58" i="7"/>
  <c r="G59" i="7"/>
  <c r="G65" i="7"/>
  <c r="I66" i="7"/>
  <c r="G71" i="7"/>
  <c r="E75" i="7"/>
  <c r="F75" i="7" s="1"/>
  <c r="E76" i="7"/>
  <c r="F76" i="7" s="1"/>
  <c r="E77" i="7"/>
  <c r="G77" i="7" s="1"/>
  <c r="E82" i="7"/>
  <c r="E83" i="7"/>
  <c r="E84" i="7"/>
  <c r="I84" i="7" s="1"/>
  <c r="E85" i="7"/>
  <c r="F85" i="7" s="1"/>
  <c r="E87" i="7"/>
  <c r="F87" i="7" s="1"/>
  <c r="E89" i="7"/>
  <c r="G89" i="7" s="1"/>
  <c r="E90" i="7"/>
  <c r="I90" i="7" s="1"/>
  <c r="E91" i="7"/>
  <c r="F91" i="7" s="1"/>
  <c r="E92" i="7"/>
  <c r="G92" i="7" s="1"/>
  <c r="E94" i="7"/>
  <c r="E95" i="7"/>
  <c r="E96" i="7"/>
  <c r="E97" i="7"/>
  <c r="I97" i="7" s="1"/>
  <c r="E99" i="7"/>
  <c r="F99" i="7" s="1"/>
  <c r="E101" i="7"/>
  <c r="G101" i="7" s="1"/>
  <c r="E102" i="7"/>
  <c r="I102" i="7" s="1"/>
  <c r="E103" i="7"/>
  <c r="I103" i="7" s="1"/>
  <c r="E104" i="7"/>
  <c r="I104" i="7" s="1"/>
  <c r="E105" i="7"/>
  <c r="I105" i="7" s="1"/>
  <c r="E106" i="7"/>
  <c r="I106" i="7" s="1"/>
  <c r="E107" i="7"/>
  <c r="I107" i="7" s="1"/>
  <c r="E111" i="7"/>
  <c r="F111" i="7" s="1"/>
  <c r="E112" i="7"/>
  <c r="F112" i="7" s="1"/>
  <c r="E113" i="7"/>
  <c r="G113" i="7" s="1"/>
  <c r="E114" i="7"/>
  <c r="I114" i="7" s="1"/>
  <c r="E115" i="7"/>
  <c r="I115" i="7" s="1"/>
  <c r="E116" i="7"/>
  <c r="E117" i="7"/>
  <c r="I117" i="7" s="1"/>
  <c r="E118" i="7"/>
  <c r="E119" i="7"/>
  <c r="E120" i="7"/>
  <c r="E121" i="7"/>
  <c r="E122" i="7"/>
  <c r="E123" i="7"/>
  <c r="F123" i="7" s="1"/>
  <c r="E124" i="7"/>
  <c r="F124" i="7" s="1"/>
  <c r="E125" i="7"/>
  <c r="G125" i="7" s="1"/>
  <c r="E126" i="7"/>
  <c r="I126" i="7" s="1"/>
  <c r="E127" i="7"/>
  <c r="I127" i="7" s="1"/>
  <c r="E128" i="7"/>
  <c r="E129" i="7"/>
  <c r="I129" i="7" s="1"/>
  <c r="E130" i="7"/>
  <c r="E131" i="7"/>
  <c r="E132" i="7"/>
  <c r="E133" i="7"/>
  <c r="E134" i="7"/>
  <c r="E135" i="7"/>
  <c r="F135" i="7" s="1"/>
  <c r="E136" i="7"/>
  <c r="F136" i="7" s="1"/>
  <c r="E137" i="7"/>
  <c r="G137" i="7" s="1"/>
  <c r="E138" i="7"/>
  <c r="I138" i="7" s="1"/>
  <c r="E139" i="7"/>
  <c r="I139" i="7" s="1"/>
  <c r="E140" i="7"/>
  <c r="E141" i="7"/>
  <c r="I141" i="7" s="1"/>
  <c r="E142" i="7"/>
  <c r="E143" i="7"/>
  <c r="E144" i="7"/>
  <c r="E145" i="7"/>
  <c r="E146" i="7"/>
  <c r="E147" i="7"/>
  <c r="F147" i="7" s="1"/>
  <c r="E148" i="7"/>
  <c r="F148" i="7" s="1"/>
  <c r="E149" i="7"/>
  <c r="G149" i="7" s="1"/>
  <c r="E150" i="7"/>
  <c r="I150" i="7" s="1"/>
  <c r="E151" i="7"/>
  <c r="I151" i="7" s="1"/>
  <c r="E152" i="7"/>
  <c r="E153" i="7"/>
  <c r="I153" i="7" s="1"/>
  <c r="E154" i="7"/>
  <c r="E155" i="7"/>
  <c r="E156" i="7"/>
  <c r="E157" i="7"/>
  <c r="E158" i="7"/>
  <c r="E159" i="7"/>
  <c r="F159" i="7" s="1"/>
  <c r="E160" i="7"/>
  <c r="F160" i="7" s="1"/>
  <c r="E161" i="7"/>
  <c r="G161" i="7" s="1"/>
  <c r="E162" i="7"/>
  <c r="I162" i="7" s="1"/>
  <c r="E163" i="7"/>
  <c r="I163" i="7" s="1"/>
  <c r="E164" i="7"/>
  <c r="E165" i="7"/>
  <c r="I165" i="7" s="1"/>
  <c r="E166" i="7"/>
  <c r="E167" i="7"/>
  <c r="E168" i="7"/>
  <c r="E169" i="7"/>
  <c r="E170" i="7"/>
  <c r="E171" i="7"/>
  <c r="F171" i="7" s="1"/>
  <c r="E172" i="7"/>
  <c r="F172" i="7" s="1"/>
  <c r="E173" i="7"/>
  <c r="G173" i="7" s="1"/>
  <c r="E174" i="7"/>
  <c r="I174" i="7" s="1"/>
  <c r="E175" i="7"/>
  <c r="I175" i="7" s="1"/>
  <c r="E176" i="7"/>
  <c r="E177" i="7"/>
  <c r="I177" i="7" s="1"/>
  <c r="E178" i="7"/>
  <c r="E179" i="7"/>
  <c r="E180" i="7"/>
  <c r="E181" i="7"/>
  <c r="E182" i="7"/>
  <c r="E183" i="7"/>
  <c r="F183" i="7" s="1"/>
  <c r="E184" i="7"/>
  <c r="F184" i="7" s="1"/>
  <c r="E185" i="7"/>
  <c r="G185" i="7" s="1"/>
  <c r="E186" i="7"/>
  <c r="I186" i="7" s="1"/>
  <c r="E187" i="7"/>
  <c r="I187" i="7" s="1"/>
  <c r="E188" i="7"/>
  <c r="E189" i="7"/>
  <c r="I189" i="7" s="1"/>
  <c r="E190" i="7"/>
  <c r="E191" i="7"/>
  <c r="E192" i="7"/>
  <c r="G31" i="7"/>
  <c r="G6" i="7"/>
  <c r="G9" i="7"/>
  <c r="E10" i="7"/>
  <c r="G10" i="7" s="1"/>
  <c r="E11" i="7"/>
  <c r="G11" i="7" s="1"/>
  <c r="E12" i="7"/>
  <c r="I12" i="7" s="1"/>
  <c r="E13" i="7"/>
  <c r="G13" i="7" s="1"/>
  <c r="E17" i="7"/>
  <c r="E18" i="7"/>
  <c r="G18" i="7" s="1"/>
  <c r="E19" i="7"/>
  <c r="I19" i="7" s="1"/>
  <c r="E20" i="7"/>
  <c r="F20" i="7" s="1"/>
  <c r="E21" i="7"/>
  <c r="I21" i="7" s="1"/>
  <c r="E22" i="7"/>
  <c r="I22" i="7" s="1"/>
  <c r="E23" i="7"/>
  <c r="I23" i="7" s="1"/>
  <c r="E24" i="7"/>
  <c r="I24" i="7" s="1"/>
  <c r="E26" i="7"/>
  <c r="I26" i="7" s="1"/>
  <c r="D26" i="7"/>
  <c r="I17" i="7"/>
  <c r="I18" i="7"/>
  <c r="J34" i="5"/>
  <c r="J35" i="5"/>
  <c r="J36" i="5"/>
  <c r="J37" i="5"/>
  <c r="J40" i="5"/>
  <c r="J41" i="5"/>
  <c r="J42" i="5"/>
  <c r="J43" i="5"/>
  <c r="J44" i="5"/>
  <c r="J50" i="5"/>
  <c r="J51" i="5"/>
  <c r="J52" i="5"/>
  <c r="J53" i="5"/>
  <c r="J54" i="5"/>
  <c r="J61" i="5"/>
  <c r="J62" i="5"/>
  <c r="J63" i="5"/>
  <c r="J64" i="5"/>
  <c r="J65" i="5"/>
  <c r="J71" i="5"/>
  <c r="J72" i="5"/>
  <c r="J73" i="5"/>
  <c r="J74" i="5"/>
  <c r="J75" i="5"/>
  <c r="J84" i="5"/>
  <c r="J85" i="5"/>
  <c r="J91" i="5"/>
  <c r="J92" i="5"/>
  <c r="J93" i="5"/>
  <c r="J94" i="5"/>
  <c r="J96" i="5"/>
  <c r="J97" i="5"/>
  <c r="J103" i="5"/>
  <c r="J104" i="5"/>
  <c r="J105" i="5"/>
  <c r="J106" i="5"/>
  <c r="J108" i="5"/>
  <c r="J109" i="5"/>
  <c r="J115" i="5"/>
  <c r="J116" i="5"/>
  <c r="J117" i="5"/>
  <c r="J118" i="5"/>
  <c r="J120" i="5"/>
  <c r="J121" i="5"/>
  <c r="J127" i="5"/>
  <c r="J128" i="5"/>
  <c r="J129" i="5"/>
  <c r="J130" i="5"/>
  <c r="J132" i="5"/>
  <c r="J133" i="5"/>
  <c r="J139" i="5"/>
  <c r="J140" i="5"/>
  <c r="J141" i="5"/>
  <c r="J142" i="5"/>
  <c r="J144" i="5"/>
  <c r="J145" i="5"/>
  <c r="J151" i="5"/>
  <c r="J152" i="5"/>
  <c r="J153" i="5"/>
  <c r="J156" i="5"/>
  <c r="J157" i="5"/>
  <c r="J163" i="5"/>
  <c r="J164" i="5"/>
  <c r="J165" i="5"/>
  <c r="J168" i="5"/>
  <c r="J169" i="5"/>
  <c r="J175" i="5"/>
  <c r="J176" i="5"/>
  <c r="J177" i="5"/>
  <c r="J187" i="5"/>
  <c r="J188" i="5"/>
  <c r="J189" i="5"/>
  <c r="J200" i="5"/>
  <c r="J211" i="5"/>
  <c r="J212" i="5"/>
  <c r="J213" i="5"/>
  <c r="J214" i="5"/>
  <c r="J220" i="5"/>
  <c r="J221" i="5"/>
  <c r="J225" i="5"/>
  <c r="J226" i="5"/>
  <c r="J33" i="5"/>
  <c r="I192" i="7"/>
  <c r="I191" i="7"/>
  <c r="I190" i="7"/>
  <c r="I188" i="7"/>
  <c r="I182" i="7"/>
  <c r="I181" i="7"/>
  <c r="I180" i="7"/>
  <c r="I179" i="7"/>
  <c r="I178" i="7"/>
  <c r="I176" i="7"/>
  <c r="I170" i="7"/>
  <c r="I169" i="7"/>
  <c r="I168" i="7"/>
  <c r="I167" i="7"/>
  <c r="I166" i="7"/>
  <c r="I164" i="7"/>
  <c r="I158" i="7"/>
  <c r="I157" i="7"/>
  <c r="I156" i="7"/>
  <c r="I155" i="7"/>
  <c r="I154" i="7"/>
  <c r="I152" i="7"/>
  <c r="I146" i="7"/>
  <c r="I145" i="7"/>
  <c r="I144" i="7"/>
  <c r="I143" i="7"/>
  <c r="I142" i="7"/>
  <c r="I140" i="7"/>
  <c r="I134" i="7"/>
  <c r="I133" i="7"/>
  <c r="I132" i="7"/>
  <c r="I131" i="7"/>
  <c r="I130" i="7"/>
  <c r="I128" i="7"/>
  <c r="I122" i="7"/>
  <c r="I121" i="7"/>
  <c r="I120" i="7"/>
  <c r="I119" i="7"/>
  <c r="I118" i="7"/>
  <c r="I116" i="7"/>
  <c r="I96" i="7"/>
  <c r="I95" i="7"/>
  <c r="I94" i="7"/>
  <c r="I83" i="7"/>
  <c r="I82" i="7"/>
  <c r="I44" i="7"/>
  <c r="I32" i="7"/>
  <c r="I31" i="7"/>
  <c r="D192" i="7"/>
  <c r="F192" i="7"/>
  <c r="H5" i="20"/>
  <c r="H6" i="20"/>
  <c r="H10" i="20"/>
  <c r="H11" i="20"/>
  <c r="H13" i="20"/>
  <c r="H15" i="20"/>
  <c r="H17" i="20"/>
  <c r="H21" i="20"/>
  <c r="H27" i="20"/>
  <c r="D4" i="20"/>
  <c r="E4" i="20" s="1"/>
  <c r="H39" i="20"/>
  <c r="H61" i="20"/>
  <c r="H74" i="20"/>
  <c r="H75" i="20"/>
  <c r="H76" i="20"/>
  <c r="H91" i="20"/>
  <c r="H98" i="20"/>
  <c r="H108" i="20"/>
  <c r="H124" i="20"/>
  <c r="H125" i="20"/>
  <c r="H127" i="20"/>
  <c r="H134" i="20"/>
  <c r="H135" i="20"/>
  <c r="H139" i="20"/>
  <c r="H149" i="20"/>
  <c r="H151" i="20"/>
  <c r="H156" i="20"/>
  <c r="H157" i="20"/>
  <c r="H158" i="20"/>
  <c r="H163" i="20"/>
  <c r="H185" i="20"/>
  <c r="H186" i="20"/>
  <c r="H187" i="20"/>
  <c r="H205" i="20"/>
  <c r="H210" i="20"/>
  <c r="H211" i="20"/>
  <c r="H217" i="20"/>
  <c r="H218" i="20"/>
  <c r="H219" i="20"/>
  <c r="H233" i="20"/>
  <c r="H234" i="20"/>
  <c r="E53" i="20"/>
  <c r="G53" i="20" s="1"/>
  <c r="F53" i="20"/>
  <c r="D59" i="20"/>
  <c r="E59" i="20" s="1"/>
  <c r="H59" i="20" s="1"/>
  <c r="D58" i="20"/>
  <c r="E58" i="20" s="1"/>
  <c r="D57" i="20"/>
  <c r="E57" i="20" s="1"/>
  <c r="H57" i="20" s="1"/>
  <c r="D56" i="20"/>
  <c r="E56" i="20" s="1"/>
  <c r="H56" i="20" s="1"/>
  <c r="D55" i="20"/>
  <c r="E55" i="20" s="1"/>
  <c r="H55" i="20" s="1"/>
  <c r="D54" i="20"/>
  <c r="E54" i="20" s="1"/>
  <c r="H54" i="20" s="1"/>
  <c r="D53" i="20"/>
  <c r="D52" i="20"/>
  <c r="E52" i="20" s="1"/>
  <c r="D51" i="20"/>
  <c r="E51" i="20" s="1"/>
  <c r="H51" i="20" s="1"/>
  <c r="D50" i="20"/>
  <c r="E50" i="20" s="1"/>
  <c r="D49" i="20"/>
  <c r="E49" i="20" s="1"/>
  <c r="D48" i="20"/>
  <c r="E48" i="20" s="1"/>
  <c r="H48" i="20" s="1"/>
  <c r="D47" i="20"/>
  <c r="E47" i="20" s="1"/>
  <c r="H47" i="20" s="1"/>
  <c r="D46" i="20"/>
  <c r="E46" i="20" s="1"/>
  <c r="D45" i="20"/>
  <c r="E45" i="20" s="1"/>
  <c r="H45" i="20" s="1"/>
  <c r="D44" i="20"/>
  <c r="E44" i="20" s="1"/>
  <c r="H44" i="20" s="1"/>
  <c r="D43" i="20"/>
  <c r="E43" i="20" s="1"/>
  <c r="H43" i="20" s="1"/>
  <c r="D42" i="20"/>
  <c r="E42" i="20" s="1"/>
  <c r="H42" i="20" s="1"/>
  <c r="D41" i="20"/>
  <c r="E41" i="20" s="1"/>
  <c r="D40" i="20"/>
  <c r="E40" i="20" s="1"/>
  <c r="D39" i="20"/>
  <c r="E39" i="20" s="1"/>
  <c r="D38" i="20"/>
  <c r="E38" i="20" s="1"/>
  <c r="D37" i="20"/>
  <c r="E37" i="20" s="1"/>
  <c r="D36" i="20"/>
  <c r="E36" i="20" s="1"/>
  <c r="H36" i="20" s="1"/>
  <c r="D35" i="20"/>
  <c r="E35" i="20" s="1"/>
  <c r="H35" i="20" s="1"/>
  <c r="D34" i="20"/>
  <c r="E34" i="20" s="1"/>
  <c r="D33" i="20"/>
  <c r="E33" i="20" s="1"/>
  <c r="H33" i="20" s="1"/>
  <c r="D32" i="20"/>
  <c r="E32" i="20" s="1"/>
  <c r="H32" i="20" s="1"/>
  <c r="D31" i="20"/>
  <c r="E31" i="20" s="1"/>
  <c r="H31" i="20" s="1"/>
  <c r="D60" i="20"/>
  <c r="E60" i="20" s="1"/>
  <c r="H60" i="20" s="1"/>
  <c r="E65" i="20"/>
  <c r="H65" i="20" s="1"/>
  <c r="F65" i="20"/>
  <c r="G65" i="20"/>
  <c r="E66" i="20"/>
  <c r="F66" i="20" s="1"/>
  <c r="E67" i="20"/>
  <c r="F67" i="20" s="1"/>
  <c r="E68" i="20"/>
  <c r="F68" i="20" s="1"/>
  <c r="G68" i="20"/>
  <c r="E69" i="20"/>
  <c r="F69" i="20" s="1"/>
  <c r="E70" i="20"/>
  <c r="H70" i="20" s="1"/>
  <c r="G70" i="20"/>
  <c r="E71" i="20"/>
  <c r="H71" i="20" s="1"/>
  <c r="F71" i="20"/>
  <c r="G71" i="20"/>
  <c r="E72" i="20"/>
  <c r="F72" i="20" s="1"/>
  <c r="E73" i="20"/>
  <c r="G73" i="20" s="1"/>
  <c r="F73" i="20"/>
  <c r="E74" i="20"/>
  <c r="F74" i="20"/>
  <c r="G74" i="20"/>
  <c r="E75" i="20"/>
  <c r="F75" i="20"/>
  <c r="G75" i="20"/>
  <c r="E76" i="20"/>
  <c r="F76" i="20" s="1"/>
  <c r="G76" i="20"/>
  <c r="E77" i="20"/>
  <c r="H77" i="20" s="1"/>
  <c r="E78" i="20"/>
  <c r="H78" i="20" s="1"/>
  <c r="F78" i="20"/>
  <c r="G78" i="20"/>
  <c r="E79" i="20"/>
  <c r="G79" i="20" s="1"/>
  <c r="E62" i="20"/>
  <c r="H62" i="20" s="1"/>
  <c r="F62" i="20"/>
  <c r="G62" i="20"/>
  <c r="E63" i="20"/>
  <c r="G63" i="20" s="1"/>
  <c r="F63" i="20"/>
  <c r="E64" i="20"/>
  <c r="H64" i="20" s="1"/>
  <c r="E61" i="20"/>
  <c r="G61" i="20" s="1"/>
  <c r="D234" i="20"/>
  <c r="E234" i="20" s="1"/>
  <c r="E82" i="20"/>
  <c r="H82" i="20" s="1"/>
  <c r="E83" i="20"/>
  <c r="F83" i="20" s="1"/>
  <c r="E84" i="20"/>
  <c r="G84" i="20" s="1"/>
  <c r="F84" i="20"/>
  <c r="E85" i="20"/>
  <c r="H85" i="20" s="1"/>
  <c r="F85" i="20"/>
  <c r="E86" i="20"/>
  <c r="F86" i="20" s="1"/>
  <c r="E87" i="20"/>
  <c r="H87" i="20" s="1"/>
  <c r="F87" i="20"/>
  <c r="G87" i="20"/>
  <c r="E88" i="20"/>
  <c r="F88" i="20" s="1"/>
  <c r="E89" i="20"/>
  <c r="H89" i="20" s="1"/>
  <c r="F89" i="20"/>
  <c r="G89" i="20"/>
  <c r="E90" i="20"/>
  <c r="G90" i="20" s="1"/>
  <c r="F90" i="20"/>
  <c r="E91" i="20"/>
  <c r="F91" i="20"/>
  <c r="G91" i="20"/>
  <c r="E92" i="20"/>
  <c r="F92" i="20" s="1"/>
  <c r="E93" i="20"/>
  <c r="F93" i="20" s="1"/>
  <c r="E94" i="20"/>
  <c r="H94" i="20" s="1"/>
  <c r="F94" i="20"/>
  <c r="G94" i="20"/>
  <c r="E95" i="20"/>
  <c r="G95" i="20" s="1"/>
  <c r="F95" i="20"/>
  <c r="E96" i="20"/>
  <c r="G96" i="20" s="1"/>
  <c r="E97" i="20"/>
  <c r="F97" i="20" s="1"/>
  <c r="E98" i="20"/>
  <c r="G98" i="20" s="1"/>
  <c r="F98" i="20"/>
  <c r="E99" i="20"/>
  <c r="H99" i="20" s="1"/>
  <c r="E100" i="20"/>
  <c r="G100" i="20" s="1"/>
  <c r="F100" i="20"/>
  <c r="E101" i="20"/>
  <c r="F101" i="20" s="1"/>
  <c r="E102" i="20"/>
  <c r="F102" i="20" s="1"/>
  <c r="E103" i="20"/>
  <c r="F103" i="20" s="1"/>
  <c r="E104" i="20"/>
  <c r="G104" i="20" s="1"/>
  <c r="E105" i="20"/>
  <c r="F105" i="20" s="1"/>
  <c r="G105" i="20"/>
  <c r="E106" i="20"/>
  <c r="H106" i="20" s="1"/>
  <c r="F106" i="20"/>
  <c r="G106" i="20"/>
  <c r="E107" i="20"/>
  <c r="F107" i="20" s="1"/>
  <c r="G107" i="20"/>
  <c r="E108" i="20"/>
  <c r="G108" i="20" s="1"/>
  <c r="F108" i="20"/>
  <c r="E109" i="20"/>
  <c r="F109" i="20" s="1"/>
  <c r="G109" i="20"/>
  <c r="E110" i="20"/>
  <c r="H110" i="20" s="1"/>
  <c r="F110" i="20"/>
  <c r="G110" i="20"/>
  <c r="E111" i="20"/>
  <c r="F111" i="20" s="1"/>
  <c r="E112" i="20"/>
  <c r="F112" i="20" s="1"/>
  <c r="E113" i="20"/>
  <c r="F113" i="20" s="1"/>
  <c r="E114" i="20"/>
  <c r="G114" i="20" s="1"/>
  <c r="F114" i="20"/>
  <c r="E115" i="20"/>
  <c r="F115" i="20" s="1"/>
  <c r="E116" i="20"/>
  <c r="H116" i="20" s="1"/>
  <c r="F116" i="20"/>
  <c r="G116" i="20"/>
  <c r="E117" i="20"/>
  <c r="H117" i="20" s="1"/>
  <c r="F117" i="20"/>
  <c r="G117" i="20"/>
  <c r="E118" i="20"/>
  <c r="G118" i="20" s="1"/>
  <c r="F118" i="20"/>
  <c r="E119" i="20"/>
  <c r="F119" i="20" s="1"/>
  <c r="E120" i="20"/>
  <c r="F120" i="20" s="1"/>
  <c r="E121" i="20"/>
  <c r="H121" i="20" s="1"/>
  <c r="F121" i="20"/>
  <c r="G121" i="20"/>
  <c r="E122" i="20"/>
  <c r="G122" i="20" s="1"/>
  <c r="E123" i="20"/>
  <c r="F123" i="20" s="1"/>
  <c r="E124" i="20"/>
  <c r="F124" i="20" s="1"/>
  <c r="E125" i="20"/>
  <c r="F125" i="20" s="1"/>
  <c r="G125" i="20"/>
  <c r="E126" i="20"/>
  <c r="G126" i="20" s="1"/>
  <c r="F126" i="20"/>
  <c r="E127" i="20"/>
  <c r="F127" i="20" s="1"/>
  <c r="E128" i="20"/>
  <c r="F128" i="20" s="1"/>
  <c r="G128" i="20"/>
  <c r="E129" i="20"/>
  <c r="F129" i="20" s="1"/>
  <c r="G129" i="20"/>
  <c r="E130" i="20"/>
  <c r="F130" i="20" s="1"/>
  <c r="G130" i="20"/>
  <c r="E131" i="20"/>
  <c r="F131" i="20" s="1"/>
  <c r="E132" i="20"/>
  <c r="G132" i="20" s="1"/>
  <c r="F132" i="20"/>
  <c r="E133" i="20"/>
  <c r="F133" i="20" s="1"/>
  <c r="E134" i="20"/>
  <c r="G134" i="20" s="1"/>
  <c r="E135" i="20"/>
  <c r="F135" i="20" s="1"/>
  <c r="E136" i="20"/>
  <c r="F136" i="20" s="1"/>
  <c r="E137" i="20"/>
  <c r="F137" i="20" s="1"/>
  <c r="E138" i="20"/>
  <c r="H138" i="20" s="1"/>
  <c r="F138" i="20"/>
  <c r="G138" i="20"/>
  <c r="E139" i="20"/>
  <c r="F139" i="20" s="1"/>
  <c r="E140" i="20"/>
  <c r="G140" i="20" s="1"/>
  <c r="F140" i="20"/>
  <c r="E141" i="20"/>
  <c r="H141" i="20" s="1"/>
  <c r="F141" i="20"/>
  <c r="G141" i="20"/>
  <c r="E142" i="20"/>
  <c r="H142" i="20" s="1"/>
  <c r="G142" i="20"/>
  <c r="E143" i="20"/>
  <c r="F143" i="20" s="1"/>
  <c r="E144" i="20"/>
  <c r="F144" i="20" s="1"/>
  <c r="E145" i="20"/>
  <c r="F145" i="20" s="1"/>
  <c r="E146" i="20"/>
  <c r="G146" i="20" s="1"/>
  <c r="E147" i="20"/>
  <c r="F147" i="20" s="1"/>
  <c r="E148" i="20"/>
  <c r="F148" i="20" s="1"/>
  <c r="E149" i="20"/>
  <c r="F149" i="20" s="1"/>
  <c r="E150" i="20"/>
  <c r="F150" i="20" s="1"/>
  <c r="E151" i="20"/>
  <c r="F151" i="20" s="1"/>
  <c r="E152" i="20"/>
  <c r="H152" i="20" s="1"/>
  <c r="F152" i="20"/>
  <c r="G152" i="20"/>
  <c r="E153" i="20"/>
  <c r="F153" i="20" s="1"/>
  <c r="G153" i="20"/>
  <c r="E154" i="20"/>
  <c r="F154" i="20" s="1"/>
  <c r="E155" i="20"/>
  <c r="F155" i="20" s="1"/>
  <c r="E156" i="20"/>
  <c r="G156" i="20" s="1"/>
  <c r="F156" i="20"/>
  <c r="E157" i="20"/>
  <c r="F157" i="20" s="1"/>
  <c r="G157" i="20"/>
  <c r="E158" i="20"/>
  <c r="F158" i="20" s="1"/>
  <c r="E159" i="20"/>
  <c r="F159" i="20" s="1"/>
  <c r="E160" i="20"/>
  <c r="F160" i="20" s="1"/>
  <c r="E161" i="20"/>
  <c r="F161" i="20" s="1"/>
  <c r="E162" i="20"/>
  <c r="G162" i="20" s="1"/>
  <c r="F162" i="20"/>
  <c r="E163" i="20"/>
  <c r="F163" i="20" s="1"/>
  <c r="E164" i="20"/>
  <c r="H164" i="20" s="1"/>
  <c r="F164" i="20"/>
  <c r="G164" i="20"/>
  <c r="E165" i="20"/>
  <c r="H165" i="20" s="1"/>
  <c r="E166" i="20"/>
  <c r="G166" i="20" s="1"/>
  <c r="F166" i="20"/>
  <c r="E167" i="20"/>
  <c r="F167" i="20" s="1"/>
  <c r="E168" i="20"/>
  <c r="F168" i="20" s="1"/>
  <c r="E169" i="20"/>
  <c r="H169" i="20" s="1"/>
  <c r="E170" i="20"/>
  <c r="G170" i="20" s="1"/>
  <c r="E171" i="20"/>
  <c r="F171" i="20" s="1"/>
  <c r="E172" i="20"/>
  <c r="F172" i="20" s="1"/>
  <c r="E173" i="20"/>
  <c r="F173" i="20" s="1"/>
  <c r="E174" i="20"/>
  <c r="H174" i="20" s="1"/>
  <c r="F174" i="20"/>
  <c r="G174" i="20"/>
  <c r="E175" i="20"/>
  <c r="F175" i="20" s="1"/>
  <c r="E176" i="20"/>
  <c r="F176" i="20" s="1"/>
  <c r="E177" i="20"/>
  <c r="F177" i="20" s="1"/>
  <c r="E178" i="20"/>
  <c r="F178" i="20" s="1"/>
  <c r="G178" i="20"/>
  <c r="E179" i="20"/>
  <c r="F179" i="20" s="1"/>
  <c r="E180" i="20"/>
  <c r="G180" i="20" s="1"/>
  <c r="E181" i="20"/>
  <c r="F181" i="20" s="1"/>
  <c r="E182" i="20"/>
  <c r="G182" i="20" s="1"/>
  <c r="E183" i="20"/>
  <c r="F183" i="20" s="1"/>
  <c r="E184" i="20"/>
  <c r="F184" i="20" s="1"/>
  <c r="G184" i="20"/>
  <c r="E185" i="20"/>
  <c r="F185" i="20" s="1"/>
  <c r="E186" i="20"/>
  <c r="F186" i="20"/>
  <c r="G186" i="20"/>
  <c r="E187" i="20"/>
  <c r="F187" i="20" s="1"/>
  <c r="E188" i="20"/>
  <c r="G188" i="20" s="1"/>
  <c r="E189" i="20"/>
  <c r="F189" i="20" s="1"/>
  <c r="E190" i="20"/>
  <c r="H190" i="20" s="1"/>
  <c r="F190" i="20"/>
  <c r="G190" i="20"/>
  <c r="E191" i="20"/>
  <c r="F191" i="20" s="1"/>
  <c r="E192" i="20"/>
  <c r="F192" i="20" s="1"/>
  <c r="E193" i="20"/>
  <c r="F193" i="20" s="1"/>
  <c r="E194" i="20"/>
  <c r="G194" i="20" s="1"/>
  <c r="E195" i="20"/>
  <c r="F195" i="20" s="1"/>
  <c r="E196" i="20"/>
  <c r="G196" i="20" s="1"/>
  <c r="E197" i="20"/>
  <c r="F197" i="20" s="1"/>
  <c r="E198" i="20"/>
  <c r="F198" i="20" s="1"/>
  <c r="E199" i="20"/>
  <c r="F199" i="20" s="1"/>
  <c r="E200" i="20"/>
  <c r="H200" i="20" s="1"/>
  <c r="F200" i="20"/>
  <c r="G200" i="20"/>
  <c r="E201" i="20"/>
  <c r="F201" i="20" s="1"/>
  <c r="G201" i="20"/>
  <c r="E202" i="20"/>
  <c r="F202" i="20" s="1"/>
  <c r="E203" i="20"/>
  <c r="F203" i="20" s="1"/>
  <c r="E204" i="20"/>
  <c r="G204" i="20" s="1"/>
  <c r="E205" i="20"/>
  <c r="F205" i="20" s="1"/>
  <c r="E206" i="20"/>
  <c r="F206" i="20" s="1"/>
  <c r="G206" i="20"/>
  <c r="E207" i="20"/>
  <c r="F207" i="20" s="1"/>
  <c r="E208" i="20"/>
  <c r="F208" i="20" s="1"/>
  <c r="E209" i="20"/>
  <c r="F209" i="20" s="1"/>
  <c r="E210" i="20"/>
  <c r="F210" i="20"/>
  <c r="G210" i="20"/>
  <c r="E211" i="20"/>
  <c r="F211" i="20" s="1"/>
  <c r="E212" i="20"/>
  <c r="H212" i="20" s="1"/>
  <c r="E213" i="20"/>
  <c r="H213" i="20" s="1"/>
  <c r="F213" i="20"/>
  <c r="G213" i="20"/>
  <c r="E214" i="20"/>
  <c r="G214" i="20" s="1"/>
  <c r="F214" i="20"/>
  <c r="E215" i="20"/>
  <c r="F215" i="20" s="1"/>
  <c r="E216" i="20"/>
  <c r="G216" i="20" s="1"/>
  <c r="F216" i="20"/>
  <c r="E217" i="20"/>
  <c r="F217" i="20"/>
  <c r="G217" i="20"/>
  <c r="E218" i="20"/>
  <c r="G218" i="20" s="1"/>
  <c r="E219" i="20"/>
  <c r="F219" i="20" s="1"/>
  <c r="E220" i="20"/>
  <c r="F220" i="20" s="1"/>
  <c r="E221" i="20"/>
  <c r="F221" i="20" s="1"/>
  <c r="G221" i="20"/>
  <c r="E81" i="20"/>
  <c r="G81" i="20" s="1"/>
  <c r="E80" i="20"/>
  <c r="G80" i="20" s="1"/>
  <c r="E9" i="20"/>
  <c r="F9" i="20" s="1"/>
  <c r="E10" i="20"/>
  <c r="G10" i="20" s="1"/>
  <c r="E11" i="20"/>
  <c r="F11" i="20" s="1"/>
  <c r="E12" i="20"/>
  <c r="G12" i="20" s="1"/>
  <c r="E13" i="20"/>
  <c r="F13" i="20" s="1"/>
  <c r="E14" i="20"/>
  <c r="G14" i="20" s="1"/>
  <c r="E15" i="20"/>
  <c r="F15" i="20" s="1"/>
  <c r="E16" i="20"/>
  <c r="F16" i="20" s="1"/>
  <c r="E18" i="20"/>
  <c r="F18" i="20" s="1"/>
  <c r="E19" i="20"/>
  <c r="F19" i="20" s="1"/>
  <c r="E20" i="20"/>
  <c r="G20" i="20" s="1"/>
  <c r="E21" i="20"/>
  <c r="F21" i="20" s="1"/>
  <c r="E22" i="20"/>
  <c r="G22" i="20" s="1"/>
  <c r="E23" i="20"/>
  <c r="F23" i="20" s="1"/>
  <c r="E24" i="20"/>
  <c r="G24" i="20" s="1"/>
  <c r="E25" i="20"/>
  <c r="F25" i="20" s="1"/>
  <c r="E26" i="20"/>
  <c r="G26" i="20" s="1"/>
  <c r="E8" i="20"/>
  <c r="G8" i="20" s="1"/>
  <c r="E7" i="20"/>
  <c r="F7" i="20" s="1"/>
  <c r="E3" i="20"/>
  <c r="G3" i="20" s="1"/>
  <c r="E5" i="20"/>
  <c r="G5" i="20" s="1"/>
  <c r="E6" i="20"/>
  <c r="G6" i="20" s="1"/>
  <c r="D233" i="20"/>
  <c r="E233" i="20" s="1"/>
  <c r="F233" i="20" s="1"/>
  <c r="D232" i="20"/>
  <c r="E232" i="20" s="1"/>
  <c r="H232" i="20" s="1"/>
  <c r="D231" i="20"/>
  <c r="E231" i="20" s="1"/>
  <c r="F231" i="20" s="1"/>
  <c r="D230" i="20"/>
  <c r="E230" i="20" s="1"/>
  <c r="H230" i="20" s="1"/>
  <c r="D229" i="20"/>
  <c r="E229" i="20" s="1"/>
  <c r="H229" i="20" s="1"/>
  <c r="D228" i="20"/>
  <c r="E228" i="20" s="1"/>
  <c r="H228" i="20" s="1"/>
  <c r="D227" i="20"/>
  <c r="E227" i="20" s="1"/>
  <c r="F227" i="20" s="1"/>
  <c r="D226" i="20"/>
  <c r="E226" i="20" s="1"/>
  <c r="H226" i="20" s="1"/>
  <c r="D225" i="20"/>
  <c r="E225" i="20" s="1"/>
  <c r="H225" i="20" s="1"/>
  <c r="D224" i="20"/>
  <c r="E224" i="20" s="1"/>
  <c r="H224" i="20" s="1"/>
  <c r="D223" i="20"/>
  <c r="E223" i="20" s="1"/>
  <c r="D222" i="20"/>
  <c r="E222" i="20" s="1"/>
  <c r="H222" i="20" s="1"/>
  <c r="D27" i="20"/>
  <c r="E27" i="20" s="1"/>
  <c r="D17" i="20"/>
  <c r="E17" i="20" s="1"/>
  <c r="F17" i="20" s="1"/>
  <c r="F29" i="5"/>
  <c r="F28" i="5"/>
  <c r="D29" i="5"/>
  <c r="D28" i="5"/>
  <c r="F227" i="5"/>
  <c r="G227" i="5"/>
  <c r="G207" i="5"/>
  <c r="F208" i="5"/>
  <c r="F211" i="5"/>
  <c r="G211" i="5"/>
  <c r="G212" i="5"/>
  <c r="F213" i="5"/>
  <c r="G213" i="5"/>
  <c r="F214" i="5"/>
  <c r="G214" i="5"/>
  <c r="F215" i="5"/>
  <c r="G215" i="5"/>
  <c r="G216" i="5"/>
  <c r="F221" i="5"/>
  <c r="G221" i="5"/>
  <c r="F222" i="5"/>
  <c r="G222" i="5"/>
  <c r="F225" i="5"/>
  <c r="G225" i="5"/>
  <c r="F226" i="5"/>
  <c r="G226" i="5"/>
  <c r="D204" i="5"/>
  <c r="D205" i="5"/>
  <c r="D206" i="5"/>
  <c r="D207" i="5"/>
  <c r="D208" i="5"/>
  <c r="D209" i="5"/>
  <c r="D210" i="5"/>
  <c r="D211" i="5"/>
  <c r="D212" i="5"/>
  <c r="D213" i="5"/>
  <c r="D214" i="5"/>
  <c r="D215" i="5"/>
  <c r="D216" i="5"/>
  <c r="D217" i="5"/>
  <c r="D218" i="5"/>
  <c r="D219" i="5"/>
  <c r="D220" i="5"/>
  <c r="D221" i="5"/>
  <c r="D222" i="5"/>
  <c r="D223" i="5"/>
  <c r="D224" i="5"/>
  <c r="D225" i="5"/>
  <c r="D226" i="5"/>
  <c r="D227" i="5"/>
  <c r="J241" i="5"/>
  <c r="J242" i="5"/>
  <c r="J243" i="5"/>
  <c r="J244" i="5"/>
  <c r="J245" i="5"/>
  <c r="J246" i="5"/>
  <c r="J247" i="5"/>
  <c r="J248" i="5"/>
  <c r="J249" i="5"/>
  <c r="J250" i="5"/>
  <c r="J251" i="5"/>
  <c r="J252" i="5"/>
  <c r="J253" i="5"/>
  <c r="J254" i="5"/>
  <c r="J255" i="5"/>
  <c r="J141" i="4"/>
  <c r="J31" i="4"/>
  <c r="D136" i="4"/>
  <c r="E136" i="4" s="1"/>
  <c r="F136" i="4" s="1"/>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7" i="4"/>
  <c r="J138" i="4"/>
  <c r="O138" i="4" s="1"/>
  <c r="J139" i="4"/>
  <c r="O139" i="4" s="1"/>
  <c r="J140"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G13" i="15"/>
  <c r="E181" i="19"/>
  <c r="F181" i="19" s="1"/>
  <c r="E180" i="19"/>
  <c r="F180" i="19" s="1"/>
  <c r="F179" i="19"/>
  <c r="E179" i="19"/>
  <c r="F178" i="19"/>
  <c r="E178" i="19"/>
  <c r="F177" i="19"/>
  <c r="E177" i="19"/>
  <c r="F176" i="19"/>
  <c r="E176" i="19"/>
  <c r="F175" i="19"/>
  <c r="E175" i="19"/>
  <c r="F174" i="19"/>
  <c r="E174" i="19"/>
  <c r="E173" i="19"/>
  <c r="F173" i="19" s="1"/>
  <c r="E172" i="19"/>
  <c r="F172" i="19" s="1"/>
  <c r="F171" i="19"/>
  <c r="E171" i="19"/>
  <c r="F170" i="19"/>
  <c r="E170" i="19"/>
  <c r="F169" i="19"/>
  <c r="E169" i="19"/>
  <c r="F168" i="19"/>
  <c r="E168" i="19"/>
  <c r="F167" i="19"/>
  <c r="E167" i="19"/>
  <c r="F166" i="19"/>
  <c r="E166" i="19"/>
  <c r="E165" i="19"/>
  <c r="F165" i="19" s="1"/>
  <c r="E164" i="19"/>
  <c r="F164" i="19" s="1"/>
  <c r="F163" i="19"/>
  <c r="E163" i="19"/>
  <c r="F162" i="19"/>
  <c r="E162" i="19"/>
  <c r="F161" i="19"/>
  <c r="E161" i="19"/>
  <c r="F160" i="19"/>
  <c r="E160" i="19"/>
  <c r="F159" i="19"/>
  <c r="E159" i="19"/>
  <c r="F158" i="19"/>
  <c r="E158" i="19"/>
  <c r="E157" i="19"/>
  <c r="F157" i="19" s="1"/>
  <c r="E156" i="19"/>
  <c r="F156" i="19" s="1"/>
  <c r="F155" i="19"/>
  <c r="E155" i="19"/>
  <c r="F154" i="19"/>
  <c r="E154" i="19"/>
  <c r="F153" i="19"/>
  <c r="E153" i="19"/>
  <c r="F152" i="19"/>
  <c r="E152" i="19"/>
  <c r="F151" i="19"/>
  <c r="E151" i="19"/>
  <c r="F150" i="19"/>
  <c r="E150" i="19"/>
  <c r="E149" i="19"/>
  <c r="F149" i="19" s="1"/>
  <c r="E148" i="19"/>
  <c r="F148" i="19" s="1"/>
  <c r="F147" i="19"/>
  <c r="E147" i="19"/>
  <c r="F146" i="19"/>
  <c r="E146" i="19"/>
  <c r="F145" i="19"/>
  <c r="E145" i="19"/>
  <c r="F144" i="19"/>
  <c r="E144" i="19"/>
  <c r="F143" i="19"/>
  <c r="E143" i="19"/>
  <c r="F142" i="19"/>
  <c r="E142" i="19"/>
  <c r="E141" i="19"/>
  <c r="F141" i="19" s="1"/>
  <c r="E140" i="19"/>
  <c r="F140" i="19" s="1"/>
  <c r="F139" i="19"/>
  <c r="E139" i="19"/>
  <c r="F138" i="19"/>
  <c r="E138" i="19"/>
  <c r="F137" i="19"/>
  <c r="E137" i="19"/>
  <c r="F136" i="19"/>
  <c r="E136" i="19"/>
  <c r="F135" i="19"/>
  <c r="E135" i="19"/>
  <c r="F134" i="19"/>
  <c r="E134" i="19"/>
  <c r="E133" i="19"/>
  <c r="F133" i="19" s="1"/>
  <c r="E132" i="19"/>
  <c r="F132" i="19" s="1"/>
  <c r="F131" i="19"/>
  <c r="E131" i="19"/>
  <c r="F130" i="19"/>
  <c r="E130" i="19"/>
  <c r="F129" i="19"/>
  <c r="E129" i="19"/>
  <c r="F128" i="19"/>
  <c r="E128" i="19"/>
  <c r="F127" i="19"/>
  <c r="E127" i="19"/>
  <c r="F126" i="19"/>
  <c r="E126" i="19"/>
  <c r="E125" i="19"/>
  <c r="F125" i="19" s="1"/>
  <c r="E124" i="19"/>
  <c r="F124" i="19" s="1"/>
  <c r="F123" i="19"/>
  <c r="E123" i="19"/>
  <c r="F122" i="19"/>
  <c r="E122" i="19"/>
  <c r="F121" i="19"/>
  <c r="E121" i="19"/>
  <c r="F120" i="19"/>
  <c r="E120" i="19"/>
  <c r="F119" i="19"/>
  <c r="E119" i="19"/>
  <c r="F118" i="19"/>
  <c r="E118" i="19"/>
  <c r="E117" i="19"/>
  <c r="F117" i="19" s="1"/>
  <c r="E116" i="19"/>
  <c r="F116" i="19" s="1"/>
  <c r="F115" i="19"/>
  <c r="E115" i="19"/>
  <c r="F114" i="19"/>
  <c r="E114" i="19"/>
  <c r="F113" i="19"/>
  <c r="E113" i="19"/>
  <c r="F112" i="19"/>
  <c r="E112" i="19"/>
  <c r="F111" i="19"/>
  <c r="E111" i="19"/>
  <c r="F110" i="19"/>
  <c r="E110" i="19"/>
  <c r="E109" i="19"/>
  <c r="F109" i="19" s="1"/>
  <c r="E108" i="19"/>
  <c r="F108" i="19" s="1"/>
  <c r="F107" i="19"/>
  <c r="E107" i="19"/>
  <c r="F106" i="19"/>
  <c r="E106" i="19"/>
  <c r="F105" i="19"/>
  <c r="E105" i="19"/>
  <c r="F104" i="19"/>
  <c r="E104" i="19"/>
  <c r="F103" i="19"/>
  <c r="E103" i="19"/>
  <c r="F102" i="19"/>
  <c r="E102" i="19"/>
  <c r="E101" i="19"/>
  <c r="F101" i="19" s="1"/>
  <c r="E100" i="19"/>
  <c r="F100" i="19" s="1"/>
  <c r="F99" i="19"/>
  <c r="E99" i="19"/>
  <c r="F98" i="19"/>
  <c r="E98" i="19"/>
  <c r="F97" i="19"/>
  <c r="E97" i="19"/>
  <c r="F96" i="19"/>
  <c r="E96" i="19"/>
  <c r="F95" i="19"/>
  <c r="E95" i="19"/>
  <c r="F94" i="19"/>
  <c r="E94" i="19"/>
  <c r="E93" i="19"/>
  <c r="F93" i="19" s="1"/>
  <c r="E92" i="19"/>
  <c r="F92" i="19" s="1"/>
  <c r="F91" i="19"/>
  <c r="E91" i="19"/>
  <c r="F90" i="19"/>
  <c r="E90" i="19"/>
  <c r="F89" i="19"/>
  <c r="E89" i="19"/>
  <c r="F88" i="19"/>
  <c r="E88" i="19"/>
  <c r="F87" i="19"/>
  <c r="E87" i="19"/>
  <c r="F86" i="19"/>
  <c r="E86" i="19"/>
  <c r="E85" i="19"/>
  <c r="F85" i="19" s="1"/>
  <c r="E84" i="19"/>
  <c r="F84" i="19" s="1"/>
  <c r="F83" i="19"/>
  <c r="E83" i="19"/>
  <c r="F82" i="19"/>
  <c r="E82" i="19"/>
  <c r="F81" i="19"/>
  <c r="E81" i="19"/>
  <c r="F80" i="19"/>
  <c r="E80" i="19"/>
  <c r="F79" i="19"/>
  <c r="E79" i="19"/>
  <c r="F78" i="19"/>
  <c r="E78" i="19"/>
  <c r="E77" i="19"/>
  <c r="F77" i="19" s="1"/>
  <c r="E76" i="19"/>
  <c r="F76" i="19" s="1"/>
  <c r="F75" i="19"/>
  <c r="E75" i="19"/>
  <c r="F74" i="19"/>
  <c r="E74" i="19"/>
  <c r="F73" i="19"/>
  <c r="E73" i="19"/>
  <c r="F72" i="19"/>
  <c r="E72" i="19"/>
  <c r="F71" i="19"/>
  <c r="E71" i="19"/>
  <c r="F70" i="19"/>
  <c r="E70" i="19"/>
  <c r="E69" i="19"/>
  <c r="F69" i="19" s="1"/>
  <c r="E68" i="19"/>
  <c r="F68" i="19" s="1"/>
  <c r="F67" i="19"/>
  <c r="E67" i="19"/>
  <c r="F66" i="19"/>
  <c r="E66" i="19"/>
  <c r="F65" i="19"/>
  <c r="E65" i="19"/>
  <c r="F64" i="19"/>
  <c r="E64" i="19"/>
  <c r="F63" i="19"/>
  <c r="E63" i="19"/>
  <c r="F62" i="19"/>
  <c r="E62" i="19"/>
  <c r="E61" i="19"/>
  <c r="F61" i="19" s="1"/>
  <c r="E60" i="19"/>
  <c r="F60" i="19" s="1"/>
  <c r="F59" i="19"/>
  <c r="E59" i="19"/>
  <c r="F58" i="19"/>
  <c r="E58" i="19"/>
  <c r="F57" i="19"/>
  <c r="E57" i="19"/>
  <c r="F56" i="19"/>
  <c r="E56" i="19"/>
  <c r="F55" i="19"/>
  <c r="E55" i="19"/>
  <c r="F54" i="19"/>
  <c r="E54" i="19"/>
  <c r="E53" i="19"/>
  <c r="F53" i="19" s="1"/>
  <c r="E52" i="19"/>
  <c r="F52" i="19" s="1"/>
  <c r="F51" i="19"/>
  <c r="E51" i="19"/>
  <c r="F50" i="19"/>
  <c r="E50" i="19"/>
  <c r="F49" i="19"/>
  <c r="E49" i="19"/>
  <c r="F48" i="19"/>
  <c r="E48" i="19"/>
  <c r="F47" i="19"/>
  <c r="E47" i="19"/>
  <c r="F46" i="19"/>
  <c r="E46" i="19"/>
  <c r="F45" i="19"/>
  <c r="E45" i="19"/>
  <c r="E44" i="19"/>
  <c r="F44" i="19" s="1"/>
  <c r="F43" i="19"/>
  <c r="E43" i="19"/>
  <c r="F42" i="19"/>
  <c r="E42" i="19"/>
  <c r="F41" i="19"/>
  <c r="E41" i="19"/>
  <c r="F40" i="19"/>
  <c r="E40" i="19"/>
  <c r="F39" i="19"/>
  <c r="E39" i="19"/>
  <c r="F38" i="19"/>
  <c r="E38" i="19"/>
  <c r="E37" i="19"/>
  <c r="F37" i="19" s="1"/>
  <c r="E36" i="19"/>
  <c r="F36" i="19" s="1"/>
  <c r="F35" i="19"/>
  <c r="E35" i="19"/>
  <c r="F34" i="19"/>
  <c r="E34" i="19"/>
  <c r="F33" i="19"/>
  <c r="E33" i="19"/>
  <c r="F32" i="19"/>
  <c r="E32" i="19"/>
  <c r="F31" i="19"/>
  <c r="E31" i="19"/>
  <c r="F26" i="19"/>
  <c r="E26" i="19"/>
  <c r="E25" i="19"/>
  <c r="F25" i="19" s="1"/>
  <c r="E24" i="19"/>
  <c r="F24" i="19" s="1"/>
  <c r="F23" i="19"/>
  <c r="E23" i="19"/>
  <c r="F22" i="19"/>
  <c r="E22" i="19"/>
  <c r="F21" i="19"/>
  <c r="E21" i="19"/>
  <c r="F20" i="19"/>
  <c r="E20" i="19"/>
  <c r="F19" i="19"/>
  <c r="E19" i="19"/>
  <c r="F18" i="19"/>
  <c r="E18" i="19"/>
  <c r="E17" i="19"/>
  <c r="F17" i="19" s="1"/>
  <c r="D17" i="19"/>
  <c r="E16" i="19"/>
  <c r="F16" i="19" s="1"/>
  <c r="E15" i="19"/>
  <c r="F15" i="19" s="1"/>
  <c r="E14" i="19"/>
  <c r="F14" i="19" s="1"/>
  <c r="G13" i="19"/>
  <c r="F13" i="19"/>
  <c r="E12" i="19"/>
  <c r="F12" i="19" s="1"/>
  <c r="F11" i="19"/>
  <c r="E11" i="19"/>
  <c r="E10" i="19"/>
  <c r="F10" i="19" s="1"/>
  <c r="E9" i="19"/>
  <c r="F9" i="19" s="1"/>
  <c r="E8" i="19"/>
  <c r="F8" i="19" s="1"/>
  <c r="E7" i="19"/>
  <c r="F7" i="19" s="1"/>
  <c r="E6" i="19"/>
  <c r="F6" i="19" s="1"/>
  <c r="E5" i="19"/>
  <c r="F5" i="19" s="1"/>
  <c r="E4" i="19"/>
  <c r="F4" i="19" s="1"/>
  <c r="G191" i="18"/>
  <c r="E191" i="18"/>
  <c r="F191" i="18" s="1"/>
  <c r="E190" i="18"/>
  <c r="G190" i="18" s="1"/>
  <c r="G189" i="18"/>
  <c r="F189" i="18"/>
  <c r="E189" i="18"/>
  <c r="G188" i="18"/>
  <c r="E188" i="18"/>
  <c r="F188" i="18" s="1"/>
  <c r="F187" i="18"/>
  <c r="E187" i="18"/>
  <c r="G187" i="18" s="1"/>
  <c r="G186" i="18"/>
  <c r="F186" i="18"/>
  <c r="E186" i="18"/>
  <c r="E185" i="18"/>
  <c r="G185" i="18" s="1"/>
  <c r="E184" i="18"/>
  <c r="G184" i="18" s="1"/>
  <c r="G183" i="18"/>
  <c r="F183" i="18"/>
  <c r="E183" i="18"/>
  <c r="E182" i="18"/>
  <c r="G182" i="18" s="1"/>
  <c r="F181" i="18"/>
  <c r="E181" i="18"/>
  <c r="G181" i="18" s="1"/>
  <c r="E180" i="18"/>
  <c r="G180" i="18" s="1"/>
  <c r="E179" i="18"/>
  <c r="G178" i="18"/>
  <c r="E178" i="18"/>
  <c r="F178" i="18" s="1"/>
  <c r="G177" i="18"/>
  <c r="F177" i="18"/>
  <c r="E177" i="18"/>
  <c r="E176" i="18"/>
  <c r="G175" i="18"/>
  <c r="E175" i="18"/>
  <c r="F175" i="18" s="1"/>
  <c r="E174" i="18"/>
  <c r="G174" i="18" s="1"/>
  <c r="G173" i="18"/>
  <c r="F173" i="18"/>
  <c r="E173" i="18"/>
  <c r="G172" i="18"/>
  <c r="E172" i="18"/>
  <c r="F172" i="18" s="1"/>
  <c r="F171" i="18"/>
  <c r="E171" i="18"/>
  <c r="G171" i="18" s="1"/>
  <c r="G170" i="18"/>
  <c r="F170" i="18"/>
  <c r="E170" i="18"/>
  <c r="F169" i="18"/>
  <c r="E169" i="18"/>
  <c r="G169" i="18" s="1"/>
  <c r="E168" i="18"/>
  <c r="G168" i="18" s="1"/>
  <c r="G167" i="18"/>
  <c r="F167" i="18"/>
  <c r="E167" i="18"/>
  <c r="E166" i="18"/>
  <c r="G166" i="18" s="1"/>
  <c r="F165" i="18"/>
  <c r="E165" i="18"/>
  <c r="G165" i="18" s="1"/>
  <c r="E164" i="18"/>
  <c r="G164" i="18" s="1"/>
  <c r="E163" i="18"/>
  <c r="G162" i="18"/>
  <c r="E162" i="18"/>
  <c r="F162" i="18" s="1"/>
  <c r="G161" i="18"/>
  <c r="F161" i="18"/>
  <c r="E161" i="18"/>
  <c r="E160" i="18"/>
  <c r="G159" i="18"/>
  <c r="E159" i="18"/>
  <c r="F159" i="18" s="1"/>
  <c r="E158" i="18"/>
  <c r="G158" i="18" s="1"/>
  <c r="G157" i="18"/>
  <c r="F157" i="18"/>
  <c r="E157" i="18"/>
  <c r="G156" i="18"/>
  <c r="E156" i="18"/>
  <c r="F156" i="18" s="1"/>
  <c r="F155" i="18"/>
  <c r="E155" i="18"/>
  <c r="G155" i="18" s="1"/>
  <c r="G154" i="18"/>
  <c r="F154" i="18"/>
  <c r="E154" i="18"/>
  <c r="F153" i="18"/>
  <c r="E153" i="18"/>
  <c r="G153" i="18" s="1"/>
  <c r="E152" i="18"/>
  <c r="G152" i="18" s="1"/>
  <c r="F151" i="18"/>
  <c r="E151" i="18"/>
  <c r="G151" i="18" s="1"/>
  <c r="E150" i="18"/>
  <c r="G150" i="18" s="1"/>
  <c r="F149" i="18"/>
  <c r="E149" i="18"/>
  <c r="G149" i="18" s="1"/>
  <c r="E148" i="18"/>
  <c r="G148" i="18" s="1"/>
  <c r="E147" i="18"/>
  <c r="G146" i="18"/>
  <c r="E146" i="18"/>
  <c r="F146" i="18" s="1"/>
  <c r="G145" i="18"/>
  <c r="F145" i="18"/>
  <c r="E145" i="18"/>
  <c r="E144" i="18"/>
  <c r="G143" i="18"/>
  <c r="E143" i="18"/>
  <c r="F143" i="18" s="1"/>
  <c r="E142" i="18"/>
  <c r="G142" i="18" s="1"/>
  <c r="G141" i="18"/>
  <c r="F141" i="18"/>
  <c r="E141" i="18"/>
  <c r="G140" i="18"/>
  <c r="E140" i="18"/>
  <c r="F140" i="18" s="1"/>
  <c r="F139" i="18"/>
  <c r="E139" i="18"/>
  <c r="G139" i="18" s="1"/>
  <c r="G138" i="18"/>
  <c r="F138" i="18"/>
  <c r="E138" i="18"/>
  <c r="F137" i="18"/>
  <c r="E137" i="18"/>
  <c r="G137" i="18" s="1"/>
  <c r="E136" i="18"/>
  <c r="G136" i="18" s="1"/>
  <c r="F135" i="18"/>
  <c r="E135" i="18"/>
  <c r="G135" i="18" s="1"/>
  <c r="E134" i="18"/>
  <c r="G134" i="18" s="1"/>
  <c r="F133" i="18"/>
  <c r="E133" i="18"/>
  <c r="G133" i="18" s="1"/>
  <c r="E132" i="18"/>
  <c r="G132" i="18" s="1"/>
  <c r="E131" i="18"/>
  <c r="G130" i="18"/>
  <c r="E130" i="18"/>
  <c r="F130" i="18" s="1"/>
  <c r="G129" i="18"/>
  <c r="F129" i="18"/>
  <c r="E129" i="18"/>
  <c r="E128" i="18"/>
  <c r="G127" i="18"/>
  <c r="E127" i="18"/>
  <c r="F127" i="18" s="1"/>
  <c r="E126" i="18"/>
  <c r="G126" i="18" s="1"/>
  <c r="G125" i="18"/>
  <c r="F125" i="18"/>
  <c r="E125" i="18"/>
  <c r="G124" i="18"/>
  <c r="F124" i="18"/>
  <c r="E124" i="18"/>
  <c r="F123" i="18"/>
  <c r="E123" i="18"/>
  <c r="G123" i="18" s="1"/>
  <c r="G122" i="18"/>
  <c r="F122" i="18"/>
  <c r="E122" i="18"/>
  <c r="F121" i="18"/>
  <c r="E121" i="18"/>
  <c r="G121" i="18" s="1"/>
  <c r="E120" i="18"/>
  <c r="G120" i="18" s="1"/>
  <c r="F119" i="18"/>
  <c r="E119" i="18"/>
  <c r="G119" i="18" s="1"/>
  <c r="E118" i="18"/>
  <c r="G118" i="18" s="1"/>
  <c r="F117" i="18"/>
  <c r="E117" i="18"/>
  <c r="G117" i="18" s="1"/>
  <c r="E116" i="18"/>
  <c r="G116" i="18" s="1"/>
  <c r="E115" i="18"/>
  <c r="G114" i="18"/>
  <c r="E114" i="18"/>
  <c r="F114" i="18" s="1"/>
  <c r="G113" i="18"/>
  <c r="E113" i="18"/>
  <c r="F113" i="18" s="1"/>
  <c r="E112" i="18"/>
  <c r="G111" i="18"/>
  <c r="E111" i="18"/>
  <c r="F111" i="18" s="1"/>
  <c r="E110" i="18"/>
  <c r="G110" i="18" s="1"/>
  <c r="G109" i="18"/>
  <c r="F109" i="18"/>
  <c r="E109" i="18"/>
  <c r="G108" i="18"/>
  <c r="F108" i="18"/>
  <c r="E108" i="18"/>
  <c r="F107" i="18"/>
  <c r="E107" i="18"/>
  <c r="G107" i="18" s="1"/>
  <c r="G106" i="18"/>
  <c r="F106" i="18"/>
  <c r="E106" i="18"/>
  <c r="F105" i="18"/>
  <c r="E105" i="18"/>
  <c r="G105" i="18" s="1"/>
  <c r="F104" i="18"/>
  <c r="E104" i="18"/>
  <c r="G104" i="18" s="1"/>
  <c r="F103" i="18"/>
  <c r="E103" i="18"/>
  <c r="G103" i="18" s="1"/>
  <c r="E102" i="18"/>
  <c r="G102" i="18" s="1"/>
  <c r="F101" i="18"/>
  <c r="E101" i="18"/>
  <c r="G101" i="18" s="1"/>
  <c r="E100" i="18"/>
  <c r="G100" i="18" s="1"/>
  <c r="E99" i="18"/>
  <c r="G98" i="18"/>
  <c r="E98" i="18"/>
  <c r="F98" i="18" s="1"/>
  <c r="G97" i="18"/>
  <c r="F97" i="18"/>
  <c r="E97" i="18"/>
  <c r="E96" i="18"/>
  <c r="G95" i="18"/>
  <c r="E95" i="18"/>
  <c r="F95" i="18" s="1"/>
  <c r="E94" i="18"/>
  <c r="G94" i="18" s="1"/>
  <c r="G93" i="18"/>
  <c r="F93" i="18"/>
  <c r="E93" i="18"/>
  <c r="G92" i="18"/>
  <c r="F92" i="18"/>
  <c r="E92" i="18"/>
  <c r="F91" i="18"/>
  <c r="E91" i="18"/>
  <c r="G91" i="18" s="1"/>
  <c r="G90" i="18"/>
  <c r="F90" i="18"/>
  <c r="E90" i="18"/>
  <c r="F89" i="18"/>
  <c r="E89" i="18"/>
  <c r="G89" i="18" s="1"/>
  <c r="E88" i="18"/>
  <c r="G88" i="18" s="1"/>
  <c r="F87" i="18"/>
  <c r="E87" i="18"/>
  <c r="G87" i="18" s="1"/>
  <c r="E86" i="18"/>
  <c r="G86" i="18" s="1"/>
  <c r="F85" i="18"/>
  <c r="E85" i="18"/>
  <c r="G85" i="18" s="1"/>
  <c r="E84" i="18"/>
  <c r="G84" i="18" s="1"/>
  <c r="E83" i="18"/>
  <c r="G82" i="18"/>
  <c r="E82" i="18"/>
  <c r="F82" i="18" s="1"/>
  <c r="G81" i="18"/>
  <c r="E81" i="18"/>
  <c r="F81" i="18" s="1"/>
  <c r="E80" i="18"/>
  <c r="G79" i="18"/>
  <c r="E79" i="18"/>
  <c r="F79" i="18" s="1"/>
  <c r="E78" i="18"/>
  <c r="G78" i="18" s="1"/>
  <c r="G77" i="18"/>
  <c r="F77" i="18"/>
  <c r="E77" i="18"/>
  <c r="G76" i="18"/>
  <c r="F76" i="18"/>
  <c r="E76" i="18"/>
  <c r="F75" i="18"/>
  <c r="E75" i="18"/>
  <c r="G75" i="18" s="1"/>
  <c r="G74" i="18"/>
  <c r="F74" i="18"/>
  <c r="E74" i="18"/>
  <c r="F73" i="18"/>
  <c r="E73" i="18"/>
  <c r="G73" i="18" s="1"/>
  <c r="E72" i="18"/>
  <c r="G72" i="18" s="1"/>
  <c r="F71" i="18"/>
  <c r="E71" i="18"/>
  <c r="G71" i="18" s="1"/>
  <c r="E70" i="18"/>
  <c r="G70" i="18" s="1"/>
  <c r="F69" i="18"/>
  <c r="E69" i="18"/>
  <c r="G69" i="18" s="1"/>
  <c r="E68" i="18"/>
  <c r="G68" i="18" s="1"/>
  <c r="E67" i="18"/>
  <c r="G66" i="18"/>
  <c r="E66" i="18"/>
  <c r="F66" i="18" s="1"/>
  <c r="G65" i="18"/>
  <c r="E65" i="18"/>
  <c r="F65" i="18" s="1"/>
  <c r="E64" i="18"/>
  <c r="G63" i="18"/>
  <c r="E63" i="18"/>
  <c r="F63" i="18" s="1"/>
  <c r="E62" i="18"/>
  <c r="G62" i="18" s="1"/>
  <c r="G61" i="18"/>
  <c r="F61" i="18"/>
  <c r="E61" i="18"/>
  <c r="G60" i="18"/>
  <c r="F60" i="18"/>
  <c r="E60" i="18"/>
  <c r="F59" i="18"/>
  <c r="E59" i="18"/>
  <c r="G59" i="18" s="1"/>
  <c r="G58" i="18"/>
  <c r="F58" i="18"/>
  <c r="E58" i="18"/>
  <c r="F57" i="18"/>
  <c r="E57" i="18"/>
  <c r="G57" i="18" s="1"/>
  <c r="F56" i="18"/>
  <c r="E56" i="18"/>
  <c r="G56" i="18" s="1"/>
  <c r="F55" i="18"/>
  <c r="E55" i="18"/>
  <c r="G55" i="18" s="1"/>
  <c r="E54" i="18"/>
  <c r="G54" i="18" s="1"/>
  <c r="F53" i="18"/>
  <c r="E53" i="18"/>
  <c r="G53" i="18" s="1"/>
  <c r="E52" i="18"/>
  <c r="G52" i="18" s="1"/>
  <c r="E51" i="18"/>
  <c r="G50" i="18"/>
  <c r="E50" i="18"/>
  <c r="F50" i="18" s="1"/>
  <c r="G49" i="18"/>
  <c r="E49" i="18"/>
  <c r="F49" i="18" s="1"/>
  <c r="E48" i="18"/>
  <c r="G47" i="18"/>
  <c r="F47" i="18"/>
  <c r="E47" i="18"/>
  <c r="E46" i="18"/>
  <c r="G46" i="18" s="1"/>
  <c r="G45" i="18"/>
  <c r="F45" i="18"/>
  <c r="E45" i="18"/>
  <c r="G44" i="18"/>
  <c r="F44" i="18"/>
  <c r="E44" i="18"/>
  <c r="F43" i="18"/>
  <c r="E43" i="18"/>
  <c r="G43" i="18" s="1"/>
  <c r="G42" i="18"/>
  <c r="F42" i="18"/>
  <c r="E42" i="18"/>
  <c r="F41" i="18"/>
  <c r="E41" i="18"/>
  <c r="G41" i="18" s="1"/>
  <c r="F40" i="18"/>
  <c r="E40" i="18"/>
  <c r="G40" i="18" s="1"/>
  <c r="F39" i="18"/>
  <c r="E39" i="18"/>
  <c r="G39" i="18" s="1"/>
  <c r="E38" i="18"/>
  <c r="G38" i="18" s="1"/>
  <c r="F37" i="18"/>
  <c r="E37" i="18"/>
  <c r="G37" i="18" s="1"/>
  <c r="E36" i="18"/>
  <c r="G36" i="18" s="1"/>
  <c r="E35" i="18"/>
  <c r="G34" i="18"/>
  <c r="E34" i="18"/>
  <c r="F34" i="18" s="1"/>
  <c r="G33" i="18"/>
  <c r="E33" i="18"/>
  <c r="F33" i="18" s="1"/>
  <c r="E32" i="18"/>
  <c r="G31" i="18"/>
  <c r="F31" i="18"/>
  <c r="E31" i="18"/>
  <c r="E26" i="18"/>
  <c r="G26" i="18" s="1"/>
  <c r="G25" i="18"/>
  <c r="F25" i="18"/>
  <c r="E25" i="18"/>
  <c r="G24" i="18"/>
  <c r="F24" i="18"/>
  <c r="E24" i="18"/>
  <c r="F23" i="18"/>
  <c r="E23" i="18"/>
  <c r="G23" i="18" s="1"/>
  <c r="G22" i="18"/>
  <c r="E22" i="18"/>
  <c r="F22" i="18" s="1"/>
  <c r="F21" i="18"/>
  <c r="E21" i="18"/>
  <c r="G21" i="18" s="1"/>
  <c r="E20" i="18"/>
  <c r="F19" i="18"/>
  <c r="E19" i="18"/>
  <c r="G19" i="18" s="1"/>
  <c r="E18" i="18"/>
  <c r="G18" i="18" s="1"/>
  <c r="D17" i="18"/>
  <c r="E17" i="18" s="1"/>
  <c r="G17" i="18" s="1"/>
  <c r="D16" i="18"/>
  <c r="E16" i="18" s="1"/>
  <c r="G15" i="18"/>
  <c r="F15" i="18"/>
  <c r="E15" i="18"/>
  <c r="D14" i="18"/>
  <c r="E14" i="18" s="1"/>
  <c r="G13" i="18"/>
  <c r="F13" i="18"/>
  <c r="G12" i="18"/>
  <c r="E12" i="18"/>
  <c r="F12" i="18" s="1"/>
  <c r="F11" i="18"/>
  <c r="E11" i="18"/>
  <c r="G11" i="18" s="1"/>
  <c r="F10" i="18"/>
  <c r="E10" i="18"/>
  <c r="G10" i="18" s="1"/>
  <c r="F9" i="18"/>
  <c r="E9" i="18"/>
  <c r="G9" i="18" s="1"/>
  <c r="E8" i="18"/>
  <c r="G8" i="18" s="1"/>
  <c r="F7" i="18"/>
  <c r="E7" i="18"/>
  <c r="G7" i="18" s="1"/>
  <c r="E6" i="18"/>
  <c r="G6" i="18" s="1"/>
  <c r="E5" i="18"/>
  <c r="G4" i="18"/>
  <c r="E4" i="18"/>
  <c r="F4" i="18" s="1"/>
  <c r="G191" i="17"/>
  <c r="F191" i="17"/>
  <c r="G190" i="17"/>
  <c r="F190" i="17"/>
  <c r="G189" i="17"/>
  <c r="F189" i="17"/>
  <c r="G188" i="17"/>
  <c r="F188" i="17"/>
  <c r="G187" i="17"/>
  <c r="F187" i="17"/>
  <c r="G186" i="17"/>
  <c r="F186" i="17"/>
  <c r="G185" i="17"/>
  <c r="F185" i="17"/>
  <c r="G184" i="17"/>
  <c r="F184" i="17"/>
  <c r="G183" i="17"/>
  <c r="F183" i="17"/>
  <c r="G182" i="17"/>
  <c r="F182" i="17"/>
  <c r="G181" i="17"/>
  <c r="F181" i="17"/>
  <c r="G180" i="17"/>
  <c r="F180" i="17"/>
  <c r="G179" i="17"/>
  <c r="F179" i="17"/>
  <c r="G178" i="17"/>
  <c r="F178" i="17"/>
  <c r="G177" i="17"/>
  <c r="F177" i="17"/>
  <c r="G176" i="17"/>
  <c r="F176" i="17"/>
  <c r="G175" i="17"/>
  <c r="F175" i="17"/>
  <c r="G174" i="17"/>
  <c r="F174" i="17"/>
  <c r="G173" i="17"/>
  <c r="F173" i="17"/>
  <c r="G172" i="17"/>
  <c r="F172" i="17"/>
  <c r="G171" i="17"/>
  <c r="F171" i="17"/>
  <c r="G170" i="17"/>
  <c r="F170" i="17"/>
  <c r="G169" i="17"/>
  <c r="F169" i="17"/>
  <c r="G168" i="17"/>
  <c r="F168" i="17"/>
  <c r="G167" i="17"/>
  <c r="F167" i="17"/>
  <c r="G166" i="17"/>
  <c r="F166" i="17"/>
  <c r="G165" i="17"/>
  <c r="F165" i="17"/>
  <c r="G164" i="17"/>
  <c r="F164" i="17"/>
  <c r="G163" i="17"/>
  <c r="F163" i="17"/>
  <c r="G162" i="17"/>
  <c r="F162" i="17"/>
  <c r="G161" i="17"/>
  <c r="F161" i="17"/>
  <c r="G160" i="17"/>
  <c r="F160" i="17"/>
  <c r="G159" i="17"/>
  <c r="F159" i="17"/>
  <c r="G158" i="17"/>
  <c r="F158" i="17"/>
  <c r="G157" i="17"/>
  <c r="F157" i="17"/>
  <c r="G156" i="17"/>
  <c r="F156" i="17"/>
  <c r="G155" i="17"/>
  <c r="F155" i="17"/>
  <c r="G154" i="17"/>
  <c r="F154" i="17"/>
  <c r="G153" i="17"/>
  <c r="F153" i="17"/>
  <c r="G152" i="17"/>
  <c r="F152" i="17"/>
  <c r="G151" i="17"/>
  <c r="F151" i="17"/>
  <c r="G150" i="17"/>
  <c r="F150" i="17"/>
  <c r="G149" i="17"/>
  <c r="F149" i="17"/>
  <c r="G148" i="17"/>
  <c r="F148" i="17"/>
  <c r="G147" i="17"/>
  <c r="F147" i="17"/>
  <c r="G146" i="17"/>
  <c r="F146" i="17"/>
  <c r="G145" i="17"/>
  <c r="F145" i="17"/>
  <c r="G144" i="17"/>
  <c r="F144" i="17"/>
  <c r="G143" i="17"/>
  <c r="F143" i="17"/>
  <c r="G142" i="17"/>
  <c r="F142" i="17"/>
  <c r="G141" i="17"/>
  <c r="F141" i="17"/>
  <c r="G140" i="17"/>
  <c r="F140" i="17"/>
  <c r="G139" i="17"/>
  <c r="F139" i="17"/>
  <c r="G138" i="17"/>
  <c r="F138" i="17"/>
  <c r="G137" i="17"/>
  <c r="F137" i="17"/>
  <c r="G136" i="17"/>
  <c r="F136" i="17"/>
  <c r="G135" i="17"/>
  <c r="F135" i="17"/>
  <c r="G134" i="17"/>
  <c r="F134" i="17"/>
  <c r="G133" i="17"/>
  <c r="F133" i="17"/>
  <c r="G132" i="17"/>
  <c r="F132" i="17"/>
  <c r="G131" i="17"/>
  <c r="F131" i="17"/>
  <c r="G130" i="17"/>
  <c r="F130" i="17"/>
  <c r="G129" i="17"/>
  <c r="F129" i="17"/>
  <c r="G128" i="17"/>
  <c r="F128" i="17"/>
  <c r="G127" i="17"/>
  <c r="F127" i="17"/>
  <c r="G126" i="17"/>
  <c r="F126" i="17"/>
  <c r="G125" i="17"/>
  <c r="F125" i="17"/>
  <c r="G124" i="17"/>
  <c r="F124" i="17"/>
  <c r="G123" i="17"/>
  <c r="F123" i="17"/>
  <c r="G122" i="17"/>
  <c r="F122" i="17"/>
  <c r="G121" i="17"/>
  <c r="F121" i="17"/>
  <c r="G120" i="17"/>
  <c r="F120" i="17"/>
  <c r="G119" i="17"/>
  <c r="F119" i="17"/>
  <c r="G118" i="17"/>
  <c r="F118" i="17"/>
  <c r="G117" i="17"/>
  <c r="F117" i="17"/>
  <c r="G116" i="17"/>
  <c r="F116" i="17"/>
  <c r="G115" i="17"/>
  <c r="F115" i="17"/>
  <c r="G114" i="17"/>
  <c r="F114" i="17"/>
  <c r="G113" i="17"/>
  <c r="F113" i="17"/>
  <c r="G112" i="17"/>
  <c r="F112" i="17"/>
  <c r="G111" i="17"/>
  <c r="F111" i="17"/>
  <c r="G110" i="17"/>
  <c r="F110" i="17"/>
  <c r="G109" i="17"/>
  <c r="F109" i="17"/>
  <c r="G108" i="17"/>
  <c r="F108" i="17"/>
  <c r="G107" i="17"/>
  <c r="F107" i="17"/>
  <c r="G106" i="17"/>
  <c r="F106" i="17"/>
  <c r="G105" i="17"/>
  <c r="F105" i="17"/>
  <c r="G104" i="17"/>
  <c r="F104" i="17"/>
  <c r="G103" i="17"/>
  <c r="F103" i="17"/>
  <c r="G102" i="17"/>
  <c r="F102" i="17"/>
  <c r="G101" i="17"/>
  <c r="F101" i="17"/>
  <c r="G100" i="17"/>
  <c r="F100" i="17"/>
  <c r="G99" i="17"/>
  <c r="F99" i="17"/>
  <c r="G98" i="17"/>
  <c r="F98" i="17"/>
  <c r="G97" i="17"/>
  <c r="F97" i="17"/>
  <c r="G96" i="17"/>
  <c r="F96" i="17"/>
  <c r="G95" i="17"/>
  <c r="F95" i="17"/>
  <c r="G94" i="17"/>
  <c r="F94" i="17"/>
  <c r="G93" i="17"/>
  <c r="F93" i="17"/>
  <c r="G92" i="17"/>
  <c r="F92" i="17"/>
  <c r="G91" i="17"/>
  <c r="F91" i="17"/>
  <c r="G90" i="17"/>
  <c r="F90" i="17"/>
  <c r="G89" i="17"/>
  <c r="F89" i="17"/>
  <c r="G88" i="17"/>
  <c r="F88" i="17"/>
  <c r="G87" i="17"/>
  <c r="F87" i="17"/>
  <c r="G86" i="17"/>
  <c r="F86" i="17"/>
  <c r="G85" i="17"/>
  <c r="F85" i="17"/>
  <c r="G84" i="17"/>
  <c r="F84" i="17"/>
  <c r="G83" i="17"/>
  <c r="F83" i="17"/>
  <c r="G82" i="17"/>
  <c r="F82" i="17"/>
  <c r="G81" i="17"/>
  <c r="F81" i="17"/>
  <c r="G80" i="17"/>
  <c r="F80" i="17"/>
  <c r="G79" i="17"/>
  <c r="F79" i="17"/>
  <c r="G78" i="17"/>
  <c r="F78" i="17"/>
  <c r="G77" i="17"/>
  <c r="F77" i="17"/>
  <c r="G76" i="17"/>
  <c r="F76" i="17"/>
  <c r="G75" i="17"/>
  <c r="F75" i="17"/>
  <c r="G74" i="17"/>
  <c r="F74" i="17"/>
  <c r="G73" i="17"/>
  <c r="F73" i="17"/>
  <c r="G72" i="17"/>
  <c r="F72" i="17"/>
  <c r="G71" i="17"/>
  <c r="F71" i="17"/>
  <c r="G70" i="17"/>
  <c r="F70" i="17"/>
  <c r="G69" i="17"/>
  <c r="F69" i="17"/>
  <c r="G68" i="17"/>
  <c r="F68" i="17"/>
  <c r="G67" i="17"/>
  <c r="F67" i="17"/>
  <c r="G66" i="17"/>
  <c r="F66" i="17"/>
  <c r="G65" i="17"/>
  <c r="F65" i="17"/>
  <c r="G64" i="17"/>
  <c r="F64" i="17"/>
  <c r="G63" i="17"/>
  <c r="F63" i="17"/>
  <c r="G62" i="17"/>
  <c r="F62" i="17"/>
  <c r="G61" i="17"/>
  <c r="F61" i="17"/>
  <c r="G60" i="17"/>
  <c r="F60" i="17"/>
  <c r="G59" i="17"/>
  <c r="F59" i="17"/>
  <c r="G58" i="17"/>
  <c r="F58" i="17"/>
  <c r="G57" i="17"/>
  <c r="F57" i="17"/>
  <c r="G56" i="17"/>
  <c r="F56" i="17"/>
  <c r="G55" i="17"/>
  <c r="F55" i="17"/>
  <c r="G54" i="17"/>
  <c r="F54" i="17"/>
  <c r="G53" i="17"/>
  <c r="F53" i="17"/>
  <c r="G52" i="17"/>
  <c r="F52" i="17"/>
  <c r="G51" i="17"/>
  <c r="F51" i="17"/>
  <c r="G50" i="17"/>
  <c r="F50" i="17"/>
  <c r="G49" i="17"/>
  <c r="F49" i="17"/>
  <c r="G48" i="17"/>
  <c r="F48" i="17"/>
  <c r="G47" i="17"/>
  <c r="F47" i="17"/>
  <c r="G46" i="17"/>
  <c r="F46" i="17"/>
  <c r="G45" i="17"/>
  <c r="F45" i="17"/>
  <c r="G44" i="17"/>
  <c r="F44" i="17"/>
  <c r="G43" i="17"/>
  <c r="F43" i="17"/>
  <c r="G42" i="17"/>
  <c r="F42" i="17"/>
  <c r="G41" i="17"/>
  <c r="F41" i="17"/>
  <c r="G40" i="17"/>
  <c r="F40" i="17"/>
  <c r="G39" i="17"/>
  <c r="F39" i="17"/>
  <c r="G38" i="17"/>
  <c r="F38" i="17"/>
  <c r="G37" i="17"/>
  <c r="F37" i="17"/>
  <c r="G36" i="17"/>
  <c r="F36" i="17"/>
  <c r="G35" i="17"/>
  <c r="F35" i="17"/>
  <c r="G34" i="17"/>
  <c r="F34" i="17"/>
  <c r="G33" i="17"/>
  <c r="F33" i="17"/>
  <c r="G32" i="17"/>
  <c r="F32" i="17"/>
  <c r="G31" i="17"/>
  <c r="F31" i="17"/>
  <c r="G26" i="17"/>
  <c r="F26" i="17"/>
  <c r="G25" i="17"/>
  <c r="F25" i="17"/>
  <c r="G24" i="17"/>
  <c r="F24" i="17"/>
  <c r="G23" i="17"/>
  <c r="F23" i="17"/>
  <c r="G17" i="17"/>
  <c r="F17" i="17"/>
  <c r="D17" i="17"/>
  <c r="G16" i="17"/>
  <c r="F16" i="17"/>
  <c r="D16" i="17"/>
  <c r="G14" i="17"/>
  <c r="F14" i="17"/>
  <c r="D14" i="17"/>
  <c r="G13" i="17"/>
  <c r="F13" i="17"/>
  <c r="G4" i="17"/>
  <c r="F4" i="17"/>
  <c r="G191" i="16"/>
  <c r="F191" i="16"/>
  <c r="G190" i="16"/>
  <c r="F190" i="16"/>
  <c r="G189" i="16"/>
  <c r="F189" i="16"/>
  <c r="G188" i="16"/>
  <c r="F188" i="16"/>
  <c r="G187" i="16"/>
  <c r="F187" i="16"/>
  <c r="G186" i="16"/>
  <c r="F186" i="16"/>
  <c r="G185" i="16"/>
  <c r="F185" i="16"/>
  <c r="G184" i="16"/>
  <c r="F184" i="16"/>
  <c r="G183" i="16"/>
  <c r="F183" i="16"/>
  <c r="G182" i="16"/>
  <c r="F182" i="16"/>
  <c r="G181" i="16"/>
  <c r="F181" i="16"/>
  <c r="G180" i="16"/>
  <c r="F180" i="16"/>
  <c r="G179" i="16"/>
  <c r="F179" i="16"/>
  <c r="G178" i="16"/>
  <c r="F178" i="16"/>
  <c r="G177" i="16"/>
  <c r="F177" i="16"/>
  <c r="G176" i="16"/>
  <c r="F176" i="16"/>
  <c r="G175" i="16"/>
  <c r="F175" i="16"/>
  <c r="G174" i="16"/>
  <c r="F174" i="16"/>
  <c r="G173" i="16"/>
  <c r="F173" i="16"/>
  <c r="G172" i="16"/>
  <c r="F172" i="16"/>
  <c r="G171" i="16"/>
  <c r="F171" i="16"/>
  <c r="G170" i="16"/>
  <c r="F170" i="16"/>
  <c r="G169" i="16"/>
  <c r="F169" i="16"/>
  <c r="G168" i="16"/>
  <c r="F168" i="16"/>
  <c r="G167" i="16"/>
  <c r="F167" i="16"/>
  <c r="G166" i="16"/>
  <c r="F166" i="16"/>
  <c r="G165" i="16"/>
  <c r="F165" i="16"/>
  <c r="G164" i="16"/>
  <c r="F164" i="16"/>
  <c r="G163" i="16"/>
  <c r="F163" i="16"/>
  <c r="G162" i="16"/>
  <c r="F162" i="16"/>
  <c r="G161" i="16"/>
  <c r="F161" i="16"/>
  <c r="G160" i="16"/>
  <c r="F160" i="16"/>
  <c r="G159" i="16"/>
  <c r="F159" i="16"/>
  <c r="G158" i="16"/>
  <c r="F158" i="16"/>
  <c r="G157" i="16"/>
  <c r="F157" i="16"/>
  <c r="G156" i="16"/>
  <c r="F156" i="16"/>
  <c r="G155" i="16"/>
  <c r="F155" i="16"/>
  <c r="G154" i="16"/>
  <c r="F154" i="16"/>
  <c r="G153" i="16"/>
  <c r="F153" i="16"/>
  <c r="G152" i="16"/>
  <c r="F152" i="16"/>
  <c r="G151" i="16"/>
  <c r="F151" i="16"/>
  <c r="G150" i="16"/>
  <c r="F150" i="16"/>
  <c r="G149" i="16"/>
  <c r="F149" i="16"/>
  <c r="G148" i="16"/>
  <c r="F148" i="16"/>
  <c r="G147" i="16"/>
  <c r="F147" i="16"/>
  <c r="G146" i="16"/>
  <c r="F146" i="16"/>
  <c r="G145" i="16"/>
  <c r="F145" i="16"/>
  <c r="G144" i="16"/>
  <c r="F144" i="16"/>
  <c r="G143" i="16"/>
  <c r="F143" i="16"/>
  <c r="G142" i="16"/>
  <c r="F142" i="16"/>
  <c r="G141" i="16"/>
  <c r="F141" i="16"/>
  <c r="G140" i="16"/>
  <c r="F140" i="16"/>
  <c r="G139" i="16"/>
  <c r="F139" i="16"/>
  <c r="G138" i="16"/>
  <c r="F138" i="16"/>
  <c r="G137" i="16"/>
  <c r="F137" i="16"/>
  <c r="G136" i="16"/>
  <c r="F136" i="16"/>
  <c r="G135" i="16"/>
  <c r="F135" i="16"/>
  <c r="G134" i="16"/>
  <c r="F134" i="16"/>
  <c r="G133" i="16"/>
  <c r="F133" i="16"/>
  <c r="G132" i="16"/>
  <c r="F132" i="16"/>
  <c r="G131" i="16"/>
  <c r="F131" i="16"/>
  <c r="G130" i="16"/>
  <c r="F130" i="16"/>
  <c r="G129" i="16"/>
  <c r="F129" i="16"/>
  <c r="G128" i="16"/>
  <c r="F128" i="16"/>
  <c r="G127" i="16"/>
  <c r="F127" i="16"/>
  <c r="G126" i="16"/>
  <c r="F126" i="16"/>
  <c r="G125" i="16"/>
  <c r="F125" i="16"/>
  <c r="G124" i="16"/>
  <c r="F124" i="16"/>
  <c r="G123" i="16"/>
  <c r="F123" i="16"/>
  <c r="G122" i="16"/>
  <c r="F122" i="16"/>
  <c r="G121" i="16"/>
  <c r="F121" i="16"/>
  <c r="G120" i="16"/>
  <c r="F120" i="16"/>
  <c r="G119" i="16"/>
  <c r="F119" i="16"/>
  <c r="G118" i="16"/>
  <c r="F118" i="16"/>
  <c r="G117" i="16"/>
  <c r="F117" i="16"/>
  <c r="G116" i="16"/>
  <c r="F116" i="16"/>
  <c r="G115" i="16"/>
  <c r="F115" i="16"/>
  <c r="G114" i="16"/>
  <c r="F114" i="16"/>
  <c r="G113" i="16"/>
  <c r="F113" i="16"/>
  <c r="G112" i="16"/>
  <c r="F112" i="16"/>
  <c r="G111" i="16"/>
  <c r="F111" i="16"/>
  <c r="G110" i="16"/>
  <c r="F110" i="16"/>
  <c r="G109" i="16"/>
  <c r="F109" i="16"/>
  <c r="G108" i="16"/>
  <c r="F108" i="16"/>
  <c r="G107" i="16"/>
  <c r="F107" i="16"/>
  <c r="G106" i="16"/>
  <c r="F106" i="16"/>
  <c r="G105" i="16"/>
  <c r="F105" i="16"/>
  <c r="G104" i="16"/>
  <c r="F104" i="16"/>
  <c r="G103" i="16"/>
  <c r="F103" i="16"/>
  <c r="G102" i="16"/>
  <c r="F102" i="16"/>
  <c r="G101" i="16"/>
  <c r="F101" i="16"/>
  <c r="G100" i="16"/>
  <c r="F100" i="16"/>
  <c r="G99" i="16"/>
  <c r="F99" i="16"/>
  <c r="G98" i="16"/>
  <c r="F98" i="16"/>
  <c r="G97" i="16"/>
  <c r="F97" i="16"/>
  <c r="G96" i="16"/>
  <c r="F96" i="16"/>
  <c r="G95" i="16"/>
  <c r="F95" i="16"/>
  <c r="G94" i="16"/>
  <c r="F94" i="16"/>
  <c r="G93" i="16"/>
  <c r="F93" i="16"/>
  <c r="G92" i="16"/>
  <c r="F92" i="16"/>
  <c r="G91" i="16"/>
  <c r="F91" i="16"/>
  <c r="G90" i="16"/>
  <c r="F90" i="16"/>
  <c r="G89" i="16"/>
  <c r="F89" i="16"/>
  <c r="G88" i="16"/>
  <c r="F88" i="16"/>
  <c r="G87" i="16"/>
  <c r="F87" i="16"/>
  <c r="G86" i="16"/>
  <c r="F86" i="16"/>
  <c r="G85" i="16"/>
  <c r="F85" i="16"/>
  <c r="G84" i="16"/>
  <c r="F84" i="16"/>
  <c r="G83" i="16"/>
  <c r="F83" i="16"/>
  <c r="G82" i="16"/>
  <c r="F82" i="16"/>
  <c r="G81" i="16"/>
  <c r="F81" i="16"/>
  <c r="G80" i="16"/>
  <c r="F80" i="16"/>
  <c r="G79" i="16"/>
  <c r="F79" i="16"/>
  <c r="G78" i="16"/>
  <c r="F78" i="16"/>
  <c r="G77" i="16"/>
  <c r="F77" i="16"/>
  <c r="G76" i="16"/>
  <c r="F76" i="16"/>
  <c r="G75" i="16"/>
  <c r="F75" i="16"/>
  <c r="G74" i="16"/>
  <c r="F74" i="16"/>
  <c r="G73" i="16"/>
  <c r="F73" i="16"/>
  <c r="G72" i="16"/>
  <c r="F72" i="16"/>
  <c r="G71" i="16"/>
  <c r="F71" i="16"/>
  <c r="G70" i="16"/>
  <c r="F70" i="16"/>
  <c r="G69" i="16"/>
  <c r="F69" i="16"/>
  <c r="G68" i="16"/>
  <c r="F68" i="16"/>
  <c r="G67" i="16"/>
  <c r="F67" i="16"/>
  <c r="G66" i="16"/>
  <c r="F66" i="16"/>
  <c r="G65" i="16"/>
  <c r="F65" i="16"/>
  <c r="G64" i="16"/>
  <c r="F64" i="16"/>
  <c r="G63" i="16"/>
  <c r="F63" i="16"/>
  <c r="G62" i="16"/>
  <c r="F62" i="16"/>
  <c r="G61" i="16"/>
  <c r="F61" i="16"/>
  <c r="G60" i="16"/>
  <c r="F60" i="16"/>
  <c r="G59" i="16"/>
  <c r="F59" i="16"/>
  <c r="G58" i="16"/>
  <c r="F58" i="16"/>
  <c r="G57" i="16"/>
  <c r="F57" i="16"/>
  <c r="G56" i="16"/>
  <c r="F56" i="16"/>
  <c r="G55" i="16"/>
  <c r="F55" i="16"/>
  <c r="G54" i="16"/>
  <c r="F54" i="16"/>
  <c r="G53" i="16"/>
  <c r="F53" i="16"/>
  <c r="G52" i="16"/>
  <c r="F52" i="16"/>
  <c r="G51" i="16"/>
  <c r="F51" i="16"/>
  <c r="G50" i="16"/>
  <c r="F50" i="16"/>
  <c r="G49" i="16"/>
  <c r="F49" i="16"/>
  <c r="G48" i="16"/>
  <c r="F48" i="16"/>
  <c r="G47" i="16"/>
  <c r="F47" i="16"/>
  <c r="G46" i="16"/>
  <c r="F46" i="16"/>
  <c r="G45" i="16"/>
  <c r="F45" i="16"/>
  <c r="G44" i="16"/>
  <c r="F44" i="16"/>
  <c r="G43" i="16"/>
  <c r="F43" i="16"/>
  <c r="G42" i="16"/>
  <c r="F42" i="16"/>
  <c r="G41" i="16"/>
  <c r="F41" i="16"/>
  <c r="G40" i="16"/>
  <c r="F40" i="16"/>
  <c r="G39" i="16"/>
  <c r="F39" i="16"/>
  <c r="G38" i="16"/>
  <c r="F38" i="16"/>
  <c r="G37" i="16"/>
  <c r="F37" i="16"/>
  <c r="G36" i="16"/>
  <c r="F36" i="16"/>
  <c r="G35" i="16"/>
  <c r="F35" i="16"/>
  <c r="G34" i="16"/>
  <c r="F34" i="16"/>
  <c r="G33" i="16"/>
  <c r="F33" i="16"/>
  <c r="G32" i="16"/>
  <c r="F32" i="16"/>
  <c r="G31" i="16"/>
  <c r="F31" i="16"/>
  <c r="G24" i="16"/>
  <c r="F24" i="16"/>
  <c r="G23" i="16"/>
  <c r="F23" i="16"/>
  <c r="G22" i="16"/>
  <c r="F22" i="16"/>
  <c r="G21" i="16"/>
  <c r="F21" i="16"/>
  <c r="G20" i="16"/>
  <c r="F20" i="16"/>
  <c r="G19" i="16"/>
  <c r="F19" i="16"/>
  <c r="G18" i="16"/>
  <c r="F18" i="16"/>
  <c r="E17" i="16"/>
  <c r="G17" i="16" s="1"/>
  <c r="D17" i="16"/>
  <c r="G16" i="16"/>
  <c r="F16" i="16"/>
  <c r="G15" i="16"/>
  <c r="F15" i="16"/>
  <c r="G14" i="16"/>
  <c r="F14" i="16"/>
  <c r="G13" i="16"/>
  <c r="F13" i="16"/>
  <c r="G12" i="16"/>
  <c r="F12" i="16"/>
  <c r="G11" i="16"/>
  <c r="F11" i="16"/>
  <c r="G10" i="16"/>
  <c r="F10" i="16"/>
  <c r="G9" i="16"/>
  <c r="F9" i="16"/>
  <c r="G8" i="16"/>
  <c r="F8" i="16"/>
  <c r="G7" i="16"/>
  <c r="F7" i="16"/>
  <c r="G6" i="16"/>
  <c r="F6" i="16"/>
  <c r="G5" i="16"/>
  <c r="F5" i="16"/>
  <c r="G4" i="16"/>
  <c r="F4" i="16"/>
  <c r="G191" i="15"/>
  <c r="F191" i="15"/>
  <c r="G190" i="15"/>
  <c r="F190" i="15"/>
  <c r="G189" i="15"/>
  <c r="F189" i="15"/>
  <c r="G188" i="15"/>
  <c r="F188" i="15"/>
  <c r="G187" i="15"/>
  <c r="F187" i="15"/>
  <c r="G186" i="15"/>
  <c r="F186" i="15"/>
  <c r="G185" i="15"/>
  <c r="F185" i="15"/>
  <c r="G184" i="15"/>
  <c r="F184" i="15"/>
  <c r="G183" i="15"/>
  <c r="F183" i="15"/>
  <c r="G182" i="15"/>
  <c r="F182" i="15"/>
  <c r="G181" i="15"/>
  <c r="F181" i="15"/>
  <c r="G180" i="15"/>
  <c r="F180" i="15"/>
  <c r="G179" i="15"/>
  <c r="F179" i="15"/>
  <c r="G178" i="15"/>
  <c r="F178" i="15"/>
  <c r="G177" i="15"/>
  <c r="F177" i="15"/>
  <c r="G176" i="15"/>
  <c r="F176" i="15"/>
  <c r="G175" i="15"/>
  <c r="F175" i="15"/>
  <c r="G174" i="15"/>
  <c r="F174" i="15"/>
  <c r="G173" i="15"/>
  <c r="F173" i="15"/>
  <c r="G172" i="15"/>
  <c r="F172" i="15"/>
  <c r="G171" i="15"/>
  <c r="F171" i="15"/>
  <c r="G170" i="15"/>
  <c r="F170" i="15"/>
  <c r="G169" i="15"/>
  <c r="F169" i="15"/>
  <c r="G168" i="15"/>
  <c r="F168" i="15"/>
  <c r="G167" i="15"/>
  <c r="F167" i="15"/>
  <c r="G166" i="15"/>
  <c r="F166" i="15"/>
  <c r="G165" i="15"/>
  <c r="F165" i="15"/>
  <c r="G164" i="15"/>
  <c r="F164" i="15"/>
  <c r="G163" i="15"/>
  <c r="F163" i="15"/>
  <c r="G162" i="15"/>
  <c r="F162" i="15"/>
  <c r="G161" i="15"/>
  <c r="F161" i="15"/>
  <c r="G160" i="15"/>
  <c r="F160" i="15"/>
  <c r="G159" i="15"/>
  <c r="F159" i="15"/>
  <c r="G158" i="15"/>
  <c r="F158" i="15"/>
  <c r="G157" i="15"/>
  <c r="F157" i="15"/>
  <c r="G156" i="15"/>
  <c r="F156" i="15"/>
  <c r="G155" i="15"/>
  <c r="F155" i="15"/>
  <c r="G154" i="15"/>
  <c r="F154" i="15"/>
  <c r="G153" i="15"/>
  <c r="F153" i="15"/>
  <c r="G152" i="15"/>
  <c r="F152" i="15"/>
  <c r="G151" i="15"/>
  <c r="F151" i="15"/>
  <c r="G150" i="15"/>
  <c r="F150" i="15"/>
  <c r="G149" i="15"/>
  <c r="F149" i="15"/>
  <c r="G148" i="15"/>
  <c r="F148" i="15"/>
  <c r="G147" i="15"/>
  <c r="F147" i="15"/>
  <c r="G146" i="15"/>
  <c r="F146" i="15"/>
  <c r="G145" i="15"/>
  <c r="F145" i="15"/>
  <c r="G144" i="15"/>
  <c r="F144" i="15"/>
  <c r="G143" i="15"/>
  <c r="F143" i="15"/>
  <c r="G142" i="15"/>
  <c r="F142" i="15"/>
  <c r="G141" i="15"/>
  <c r="F141" i="15"/>
  <c r="G140" i="15"/>
  <c r="F140" i="15"/>
  <c r="G139" i="15"/>
  <c r="F139" i="15"/>
  <c r="G138" i="15"/>
  <c r="F138" i="15"/>
  <c r="G137" i="15"/>
  <c r="F137" i="15"/>
  <c r="G136" i="15"/>
  <c r="F136" i="15"/>
  <c r="G135" i="15"/>
  <c r="F135" i="15"/>
  <c r="G134" i="15"/>
  <c r="F134" i="15"/>
  <c r="G133" i="15"/>
  <c r="F133" i="15"/>
  <c r="G132" i="15"/>
  <c r="F132" i="15"/>
  <c r="G131" i="15"/>
  <c r="F131" i="15"/>
  <c r="G130" i="15"/>
  <c r="F130" i="15"/>
  <c r="G129" i="15"/>
  <c r="F129" i="15"/>
  <c r="G128" i="15"/>
  <c r="F128" i="15"/>
  <c r="G127" i="15"/>
  <c r="F127" i="15"/>
  <c r="G126" i="15"/>
  <c r="F126" i="15"/>
  <c r="G125" i="15"/>
  <c r="F125" i="15"/>
  <c r="G124" i="15"/>
  <c r="F124" i="15"/>
  <c r="G123" i="15"/>
  <c r="F123" i="15"/>
  <c r="G122" i="15"/>
  <c r="F122" i="15"/>
  <c r="G121" i="15"/>
  <c r="F121" i="15"/>
  <c r="G120" i="15"/>
  <c r="F120" i="15"/>
  <c r="G119" i="15"/>
  <c r="F119" i="15"/>
  <c r="G118" i="15"/>
  <c r="F118" i="15"/>
  <c r="G117" i="15"/>
  <c r="F117" i="15"/>
  <c r="G116" i="15"/>
  <c r="F116" i="15"/>
  <c r="G115" i="15"/>
  <c r="F115" i="15"/>
  <c r="G114" i="15"/>
  <c r="F114" i="15"/>
  <c r="G113" i="15"/>
  <c r="F113" i="15"/>
  <c r="G112" i="15"/>
  <c r="F112" i="15"/>
  <c r="G111" i="15"/>
  <c r="F111" i="15"/>
  <c r="G110" i="15"/>
  <c r="F110" i="15"/>
  <c r="G109" i="15"/>
  <c r="F109" i="15"/>
  <c r="G108" i="15"/>
  <c r="F108" i="15"/>
  <c r="G107" i="15"/>
  <c r="F107" i="15"/>
  <c r="G106" i="15"/>
  <c r="F106" i="15"/>
  <c r="G105" i="15"/>
  <c r="F105" i="15"/>
  <c r="G104" i="15"/>
  <c r="F104" i="15"/>
  <c r="G103" i="15"/>
  <c r="F103" i="15"/>
  <c r="G102" i="15"/>
  <c r="F102" i="15"/>
  <c r="G101" i="15"/>
  <c r="F101" i="15"/>
  <c r="G100" i="15"/>
  <c r="F100" i="15"/>
  <c r="G99" i="15"/>
  <c r="F99" i="15"/>
  <c r="G98" i="15"/>
  <c r="F98" i="15"/>
  <c r="G97" i="15"/>
  <c r="F97" i="15"/>
  <c r="G96" i="15"/>
  <c r="F96" i="15"/>
  <c r="G95" i="15"/>
  <c r="F95" i="15"/>
  <c r="G94" i="15"/>
  <c r="F94" i="15"/>
  <c r="G93" i="15"/>
  <c r="F93" i="15"/>
  <c r="G92" i="15"/>
  <c r="F92" i="15"/>
  <c r="G91" i="15"/>
  <c r="F91" i="15"/>
  <c r="G90" i="15"/>
  <c r="F90" i="15"/>
  <c r="G89" i="15"/>
  <c r="F89" i="15"/>
  <c r="G88" i="15"/>
  <c r="F88" i="15"/>
  <c r="G87" i="15"/>
  <c r="F87" i="15"/>
  <c r="G86" i="15"/>
  <c r="F86" i="15"/>
  <c r="G85" i="15"/>
  <c r="F85" i="15"/>
  <c r="G84" i="15"/>
  <c r="F84" i="15"/>
  <c r="G83" i="15"/>
  <c r="F83" i="15"/>
  <c r="G82" i="15"/>
  <c r="F82" i="15"/>
  <c r="G81" i="15"/>
  <c r="F81" i="15"/>
  <c r="G80" i="15"/>
  <c r="F80" i="15"/>
  <c r="G79" i="15"/>
  <c r="F79" i="15"/>
  <c r="G78" i="15"/>
  <c r="F78" i="15"/>
  <c r="G77" i="15"/>
  <c r="F77" i="15"/>
  <c r="G76" i="15"/>
  <c r="F76" i="15"/>
  <c r="G75" i="15"/>
  <c r="F75" i="15"/>
  <c r="G74" i="15"/>
  <c r="F74" i="15"/>
  <c r="G73" i="15"/>
  <c r="F73" i="15"/>
  <c r="G72" i="15"/>
  <c r="F72" i="15"/>
  <c r="G71" i="15"/>
  <c r="F71" i="15"/>
  <c r="G70" i="15"/>
  <c r="F70" i="15"/>
  <c r="G69" i="15"/>
  <c r="F69" i="15"/>
  <c r="G68" i="15"/>
  <c r="F68" i="15"/>
  <c r="G67" i="15"/>
  <c r="F67" i="15"/>
  <c r="G66" i="15"/>
  <c r="F66" i="15"/>
  <c r="G65" i="15"/>
  <c r="F65" i="15"/>
  <c r="G64" i="15"/>
  <c r="F64" i="15"/>
  <c r="G63" i="15"/>
  <c r="F63" i="15"/>
  <c r="G62" i="15"/>
  <c r="F62" i="15"/>
  <c r="G61" i="15"/>
  <c r="F61" i="15"/>
  <c r="G60" i="15"/>
  <c r="F60" i="15"/>
  <c r="G59" i="15"/>
  <c r="F59" i="15"/>
  <c r="G58" i="15"/>
  <c r="F58" i="15"/>
  <c r="G57" i="15"/>
  <c r="F57" i="15"/>
  <c r="G56" i="15"/>
  <c r="F56" i="15"/>
  <c r="G55" i="15"/>
  <c r="F55" i="15"/>
  <c r="G54" i="15"/>
  <c r="F54" i="15"/>
  <c r="G53" i="15"/>
  <c r="F53" i="15"/>
  <c r="G52" i="15"/>
  <c r="F52" i="15"/>
  <c r="G51" i="15"/>
  <c r="F51" i="15"/>
  <c r="G50" i="15"/>
  <c r="F50" i="15"/>
  <c r="G49" i="15"/>
  <c r="F49" i="15"/>
  <c r="G48" i="15"/>
  <c r="F48" i="15"/>
  <c r="G47" i="15"/>
  <c r="F47" i="15"/>
  <c r="G46" i="15"/>
  <c r="F46" i="15"/>
  <c r="G45" i="15"/>
  <c r="F45" i="15"/>
  <c r="G44" i="15"/>
  <c r="F44" i="15"/>
  <c r="G43" i="15"/>
  <c r="F43" i="15"/>
  <c r="G42" i="15"/>
  <c r="F42" i="15"/>
  <c r="G41" i="15"/>
  <c r="F41" i="15"/>
  <c r="G40" i="15"/>
  <c r="F40" i="15"/>
  <c r="G39" i="15"/>
  <c r="F39" i="15"/>
  <c r="G38" i="15"/>
  <c r="F38" i="15"/>
  <c r="G37" i="15"/>
  <c r="F37" i="15"/>
  <c r="G36" i="15"/>
  <c r="F36" i="15"/>
  <c r="G35" i="15"/>
  <c r="F35" i="15"/>
  <c r="G34" i="15"/>
  <c r="F34" i="15"/>
  <c r="G33" i="15"/>
  <c r="F33" i="15"/>
  <c r="G32" i="15"/>
  <c r="F32" i="15"/>
  <c r="G31" i="15"/>
  <c r="F31" i="15"/>
  <c r="F27" i="15"/>
  <c r="F26" i="15"/>
  <c r="F24" i="15"/>
  <c r="F23" i="15"/>
  <c r="F22" i="15"/>
  <c r="F21" i="15"/>
  <c r="F20" i="15"/>
  <c r="F19" i="15"/>
  <c r="F18" i="15"/>
  <c r="D17" i="15"/>
  <c r="E17" i="15" s="1"/>
  <c r="F17" i="15" s="1"/>
  <c r="G16" i="15"/>
  <c r="F16" i="15"/>
  <c r="F15" i="15"/>
  <c r="G14" i="15"/>
  <c r="F14" i="15"/>
  <c r="F13" i="15"/>
  <c r="F12" i="15"/>
  <c r="F11" i="15"/>
  <c r="F10" i="15"/>
  <c r="F9" i="15"/>
  <c r="F8" i="15"/>
  <c r="F7" i="15"/>
  <c r="F6" i="15"/>
  <c r="F5" i="15"/>
  <c r="G191" i="14"/>
  <c r="F191" i="14"/>
  <c r="G190" i="14"/>
  <c r="F190" i="14"/>
  <c r="G189" i="14"/>
  <c r="F189" i="14"/>
  <c r="G188" i="14"/>
  <c r="F188" i="14"/>
  <c r="G187" i="14"/>
  <c r="F187" i="14"/>
  <c r="G186" i="14"/>
  <c r="F186" i="14"/>
  <c r="G185" i="14"/>
  <c r="F185" i="14"/>
  <c r="G184" i="14"/>
  <c r="F184" i="14"/>
  <c r="G183" i="14"/>
  <c r="F183" i="14"/>
  <c r="G182" i="14"/>
  <c r="F182" i="14"/>
  <c r="G181" i="14"/>
  <c r="F181" i="14"/>
  <c r="G180" i="14"/>
  <c r="F180" i="14"/>
  <c r="G179" i="14"/>
  <c r="F179" i="14"/>
  <c r="G178" i="14"/>
  <c r="F178" i="14"/>
  <c r="G177" i="14"/>
  <c r="F177" i="14"/>
  <c r="G176" i="14"/>
  <c r="F176" i="14"/>
  <c r="G175" i="14"/>
  <c r="F175" i="14"/>
  <c r="G174" i="14"/>
  <c r="F174" i="14"/>
  <c r="G173" i="14"/>
  <c r="F173" i="14"/>
  <c r="G172" i="14"/>
  <c r="F172" i="14"/>
  <c r="G171" i="14"/>
  <c r="F171" i="14"/>
  <c r="G170" i="14"/>
  <c r="F170" i="14"/>
  <c r="G169" i="14"/>
  <c r="F169" i="14"/>
  <c r="G168" i="14"/>
  <c r="F168" i="14"/>
  <c r="G167" i="14"/>
  <c r="F167" i="14"/>
  <c r="G166" i="14"/>
  <c r="F166" i="14"/>
  <c r="G165" i="14"/>
  <c r="F165" i="14"/>
  <c r="G164" i="14"/>
  <c r="F164" i="14"/>
  <c r="G163" i="14"/>
  <c r="F163" i="14"/>
  <c r="G162" i="14"/>
  <c r="F162" i="14"/>
  <c r="G161" i="14"/>
  <c r="F161" i="14"/>
  <c r="G160" i="14"/>
  <c r="F160" i="14"/>
  <c r="G159" i="14"/>
  <c r="F159" i="14"/>
  <c r="G158" i="14"/>
  <c r="F158" i="14"/>
  <c r="G157" i="14"/>
  <c r="F157" i="14"/>
  <c r="G156" i="14"/>
  <c r="F156" i="14"/>
  <c r="G155" i="14"/>
  <c r="F155" i="14"/>
  <c r="G154" i="14"/>
  <c r="F154" i="14"/>
  <c r="G153" i="14"/>
  <c r="F153" i="14"/>
  <c r="G152" i="14"/>
  <c r="F152" i="14"/>
  <c r="G151" i="14"/>
  <c r="F151" i="14"/>
  <c r="G150" i="14"/>
  <c r="F150" i="14"/>
  <c r="G149" i="14"/>
  <c r="F149" i="14"/>
  <c r="G148" i="14"/>
  <c r="F148" i="14"/>
  <c r="G147" i="14"/>
  <c r="F147" i="14"/>
  <c r="G146" i="14"/>
  <c r="F146" i="14"/>
  <c r="G145" i="14"/>
  <c r="F145" i="14"/>
  <c r="G144" i="14"/>
  <c r="F144" i="14"/>
  <c r="G143" i="14"/>
  <c r="F143" i="14"/>
  <c r="G142" i="14"/>
  <c r="F142" i="14"/>
  <c r="G141" i="14"/>
  <c r="F141" i="14"/>
  <c r="G140" i="14"/>
  <c r="F140" i="14"/>
  <c r="G139" i="14"/>
  <c r="F139" i="14"/>
  <c r="G138" i="14"/>
  <c r="F138" i="14"/>
  <c r="G137" i="14"/>
  <c r="F137" i="14"/>
  <c r="G136" i="14"/>
  <c r="F136" i="14"/>
  <c r="G135" i="14"/>
  <c r="F135" i="14"/>
  <c r="G134" i="14"/>
  <c r="F134" i="14"/>
  <c r="G133" i="14"/>
  <c r="F133" i="14"/>
  <c r="G132" i="14"/>
  <c r="F132" i="14"/>
  <c r="G131" i="14"/>
  <c r="F131" i="14"/>
  <c r="G130" i="14"/>
  <c r="F130" i="14"/>
  <c r="G129" i="14"/>
  <c r="F129" i="14"/>
  <c r="G128" i="14"/>
  <c r="F128" i="14"/>
  <c r="G127" i="14"/>
  <c r="F127" i="14"/>
  <c r="G126" i="14"/>
  <c r="F126" i="14"/>
  <c r="G125" i="14"/>
  <c r="F125" i="14"/>
  <c r="G124" i="14"/>
  <c r="F124" i="14"/>
  <c r="G123" i="14"/>
  <c r="F123" i="14"/>
  <c r="G122" i="14"/>
  <c r="F122" i="14"/>
  <c r="G121" i="14"/>
  <c r="F121" i="14"/>
  <c r="G120" i="14"/>
  <c r="F120" i="14"/>
  <c r="G119" i="14"/>
  <c r="F119" i="14"/>
  <c r="G118" i="14"/>
  <c r="F118" i="14"/>
  <c r="G117" i="14"/>
  <c r="F117" i="14"/>
  <c r="G116" i="14"/>
  <c r="F116" i="14"/>
  <c r="G115" i="14"/>
  <c r="F115" i="14"/>
  <c r="G114" i="14"/>
  <c r="F114" i="14"/>
  <c r="G113" i="14"/>
  <c r="F113" i="14"/>
  <c r="G112" i="14"/>
  <c r="F112" i="14"/>
  <c r="G111" i="14"/>
  <c r="F111" i="14"/>
  <c r="G110" i="14"/>
  <c r="F110" i="14"/>
  <c r="G109" i="14"/>
  <c r="F109" i="14"/>
  <c r="G108" i="14"/>
  <c r="F108" i="14"/>
  <c r="G107" i="14"/>
  <c r="F107" i="14"/>
  <c r="G106" i="14"/>
  <c r="F106" i="14"/>
  <c r="G105" i="14"/>
  <c r="F105" i="14"/>
  <c r="G104" i="14"/>
  <c r="F104" i="14"/>
  <c r="G103" i="14"/>
  <c r="F103" i="14"/>
  <c r="G102" i="14"/>
  <c r="F102" i="14"/>
  <c r="G101" i="14"/>
  <c r="F101" i="14"/>
  <c r="G100" i="14"/>
  <c r="F100" i="14"/>
  <c r="G99" i="14"/>
  <c r="F99" i="14"/>
  <c r="G98" i="14"/>
  <c r="F98" i="14"/>
  <c r="G97" i="14"/>
  <c r="F97" i="14"/>
  <c r="G96" i="14"/>
  <c r="F96" i="14"/>
  <c r="G95" i="14"/>
  <c r="F95" i="14"/>
  <c r="G94" i="14"/>
  <c r="F94" i="14"/>
  <c r="G93" i="14"/>
  <c r="F93" i="14"/>
  <c r="G92" i="14"/>
  <c r="F92" i="14"/>
  <c r="G91" i="14"/>
  <c r="F91" i="14"/>
  <c r="G90" i="14"/>
  <c r="F90" i="14"/>
  <c r="G89" i="14"/>
  <c r="F89" i="14"/>
  <c r="G88" i="14"/>
  <c r="F88" i="14"/>
  <c r="G87" i="14"/>
  <c r="F87" i="14"/>
  <c r="G86" i="14"/>
  <c r="F86" i="14"/>
  <c r="G85" i="14"/>
  <c r="F85" i="14"/>
  <c r="G84" i="14"/>
  <c r="F84" i="14"/>
  <c r="G83" i="14"/>
  <c r="F83" i="14"/>
  <c r="G82" i="14"/>
  <c r="F82" i="14"/>
  <c r="G81" i="14"/>
  <c r="F81" i="14"/>
  <c r="G80" i="14"/>
  <c r="F80" i="14"/>
  <c r="G79" i="14"/>
  <c r="F79" i="14"/>
  <c r="G78" i="14"/>
  <c r="F78" i="14"/>
  <c r="G77" i="14"/>
  <c r="F77" i="14"/>
  <c r="G76" i="14"/>
  <c r="F76" i="14"/>
  <c r="G75" i="14"/>
  <c r="F75" i="14"/>
  <c r="G74" i="14"/>
  <c r="F74" i="14"/>
  <c r="G73" i="14"/>
  <c r="F73" i="14"/>
  <c r="G72" i="14"/>
  <c r="F72" i="14"/>
  <c r="G71" i="14"/>
  <c r="F71" i="14"/>
  <c r="G70" i="14"/>
  <c r="F70" i="14"/>
  <c r="G69" i="14"/>
  <c r="F69" i="14"/>
  <c r="G68" i="14"/>
  <c r="F68" i="14"/>
  <c r="G67" i="14"/>
  <c r="F67" i="14"/>
  <c r="G66" i="14"/>
  <c r="F66" i="14"/>
  <c r="G65" i="14"/>
  <c r="F65" i="14"/>
  <c r="G64" i="14"/>
  <c r="F64" i="14"/>
  <c r="G63" i="14"/>
  <c r="F63" i="14"/>
  <c r="G62" i="14"/>
  <c r="F62" i="14"/>
  <c r="G61" i="14"/>
  <c r="F61" i="14"/>
  <c r="G60" i="14"/>
  <c r="F60" i="14"/>
  <c r="G59" i="14"/>
  <c r="F59" i="14"/>
  <c r="G58" i="14"/>
  <c r="F58" i="14"/>
  <c r="G57" i="14"/>
  <c r="F57" i="14"/>
  <c r="G56" i="14"/>
  <c r="F56" i="14"/>
  <c r="G55" i="14"/>
  <c r="F55" i="14"/>
  <c r="G54" i="14"/>
  <c r="F54" i="14"/>
  <c r="G53" i="14"/>
  <c r="F53" i="14"/>
  <c r="G52" i="14"/>
  <c r="F52" i="14"/>
  <c r="G51" i="14"/>
  <c r="F51" i="14"/>
  <c r="G50" i="14"/>
  <c r="F50" i="14"/>
  <c r="G49" i="14"/>
  <c r="F49" i="14"/>
  <c r="G48" i="14"/>
  <c r="F48" i="14"/>
  <c r="G47" i="14"/>
  <c r="F47" i="14"/>
  <c r="G46" i="14"/>
  <c r="F46" i="14"/>
  <c r="G45" i="14"/>
  <c r="F45" i="14"/>
  <c r="G44" i="14"/>
  <c r="F44" i="14"/>
  <c r="G43" i="14"/>
  <c r="F43" i="14"/>
  <c r="G42" i="14"/>
  <c r="F42" i="14"/>
  <c r="G41" i="14"/>
  <c r="F41" i="14"/>
  <c r="G40" i="14"/>
  <c r="F40" i="14"/>
  <c r="G39" i="14"/>
  <c r="F39" i="14"/>
  <c r="G38" i="14"/>
  <c r="F38" i="14"/>
  <c r="G37" i="14"/>
  <c r="F37" i="14"/>
  <c r="G36" i="14"/>
  <c r="F36" i="14"/>
  <c r="G35" i="14"/>
  <c r="F35" i="14"/>
  <c r="G34" i="14"/>
  <c r="F34" i="14"/>
  <c r="G33" i="14"/>
  <c r="F33" i="14"/>
  <c r="G32" i="14"/>
  <c r="F32" i="14"/>
  <c r="G31" i="14"/>
  <c r="F31" i="14"/>
  <c r="G26" i="14"/>
  <c r="F26" i="14"/>
  <c r="G25" i="14"/>
  <c r="F25" i="14"/>
  <c r="G24" i="14"/>
  <c r="F24" i="14"/>
  <c r="G23" i="14"/>
  <c r="F23" i="14"/>
  <c r="G22" i="14"/>
  <c r="F22" i="14"/>
  <c r="G21" i="14"/>
  <c r="F21" i="14"/>
  <c r="G20" i="14"/>
  <c r="F20" i="14"/>
  <c r="G19" i="14"/>
  <c r="F19" i="14"/>
  <c r="G18" i="14"/>
  <c r="F18" i="14"/>
  <c r="G17" i="14"/>
  <c r="F17" i="14"/>
  <c r="D17" i="14"/>
  <c r="G16" i="14"/>
  <c r="F16" i="14"/>
  <c r="D16" i="14"/>
  <c r="G15" i="14"/>
  <c r="F15" i="14"/>
  <c r="G14" i="14"/>
  <c r="F14" i="14"/>
  <c r="D14" i="14"/>
  <c r="G13" i="14"/>
  <c r="F13" i="14"/>
  <c r="G12" i="14"/>
  <c r="F12" i="14"/>
  <c r="G11" i="14"/>
  <c r="F11" i="14"/>
  <c r="G10" i="14"/>
  <c r="F10" i="14"/>
  <c r="G9" i="14"/>
  <c r="F9" i="14"/>
  <c r="G8" i="14"/>
  <c r="F8" i="14"/>
  <c r="G7" i="14"/>
  <c r="F7" i="14"/>
  <c r="G6" i="14"/>
  <c r="F6" i="14"/>
  <c r="G5" i="14"/>
  <c r="F5" i="14"/>
  <c r="G4" i="14"/>
  <c r="F4" i="14"/>
  <c r="E176" i="13"/>
  <c r="G176" i="13" s="1"/>
  <c r="E175" i="13"/>
  <c r="G175" i="13" s="1"/>
  <c r="E174" i="13"/>
  <c r="G174" i="13" s="1"/>
  <c r="E173" i="13"/>
  <c r="E172" i="13"/>
  <c r="F172" i="13" s="1"/>
  <c r="E171" i="13"/>
  <c r="G171" i="13" s="1"/>
  <c r="E170" i="13"/>
  <c r="E169" i="13"/>
  <c r="G169" i="13" s="1"/>
  <c r="E168" i="13"/>
  <c r="G168" i="13" s="1"/>
  <c r="E167" i="13"/>
  <c r="G167" i="13" s="1"/>
  <c r="E166" i="13"/>
  <c r="G166" i="13" s="1"/>
  <c r="E165" i="13"/>
  <c r="F165" i="13" s="1"/>
  <c r="E164" i="13"/>
  <c r="F164" i="13" s="1"/>
  <c r="E163" i="13"/>
  <c r="G163" i="13" s="1"/>
  <c r="E162" i="13"/>
  <c r="G162" i="13" s="1"/>
  <c r="E161" i="13"/>
  <c r="G161" i="13" s="1"/>
  <c r="E160" i="13"/>
  <c r="G160" i="13" s="1"/>
  <c r="G159" i="13"/>
  <c r="F159" i="13"/>
  <c r="E159" i="13"/>
  <c r="E158" i="13"/>
  <c r="G158" i="13" s="1"/>
  <c r="E157" i="13"/>
  <c r="G156" i="13"/>
  <c r="E156" i="13"/>
  <c r="F156" i="13" s="1"/>
  <c r="E155" i="13"/>
  <c r="G155" i="13" s="1"/>
  <c r="E154" i="13"/>
  <c r="E153" i="13"/>
  <c r="G153" i="13" s="1"/>
  <c r="E152" i="13"/>
  <c r="G152" i="13" s="1"/>
  <c r="G151" i="13"/>
  <c r="E151" i="13"/>
  <c r="F151" i="13" s="1"/>
  <c r="E150" i="13"/>
  <c r="F150" i="13" s="1"/>
  <c r="E149" i="13"/>
  <c r="F149" i="13" s="1"/>
  <c r="E148" i="13"/>
  <c r="F148" i="13" s="1"/>
  <c r="E147" i="13"/>
  <c r="G147" i="13" s="1"/>
  <c r="E146" i="13"/>
  <c r="G146" i="13" s="1"/>
  <c r="G145" i="13"/>
  <c r="E145" i="13"/>
  <c r="F145" i="13" s="1"/>
  <c r="E144" i="13"/>
  <c r="G144" i="13" s="1"/>
  <c r="E143" i="13"/>
  <c r="G143" i="13" s="1"/>
  <c r="E142" i="13"/>
  <c r="G142" i="13" s="1"/>
  <c r="E141" i="13"/>
  <c r="E140" i="13"/>
  <c r="F140" i="13" s="1"/>
  <c r="E139" i="13"/>
  <c r="G139" i="13" s="1"/>
  <c r="E138" i="13"/>
  <c r="E137" i="13"/>
  <c r="G137" i="13" s="1"/>
  <c r="E136" i="13"/>
  <c r="G136" i="13" s="1"/>
  <c r="E135" i="13"/>
  <c r="G135" i="13" s="1"/>
  <c r="E134" i="13"/>
  <c r="F134" i="13" s="1"/>
  <c r="E133" i="13"/>
  <c r="F133" i="13" s="1"/>
  <c r="E132" i="13"/>
  <c r="F132" i="13" s="1"/>
  <c r="E131" i="13"/>
  <c r="G131" i="13" s="1"/>
  <c r="E130" i="13"/>
  <c r="G130" i="13" s="1"/>
  <c r="E129" i="13"/>
  <c r="F129" i="13" s="1"/>
  <c r="E128" i="13"/>
  <c r="G128" i="13" s="1"/>
  <c r="G127" i="13"/>
  <c r="F127" i="13"/>
  <c r="E127" i="13"/>
  <c r="E126" i="13"/>
  <c r="G126" i="13" s="1"/>
  <c r="E125" i="13"/>
  <c r="G124" i="13"/>
  <c r="E124" i="13"/>
  <c r="F124" i="13" s="1"/>
  <c r="E123" i="13"/>
  <c r="G123" i="13" s="1"/>
  <c r="E122" i="13"/>
  <c r="E121" i="13"/>
  <c r="G121" i="13" s="1"/>
  <c r="E120" i="13"/>
  <c r="G120" i="13" s="1"/>
  <c r="G119" i="13"/>
  <c r="E119" i="13"/>
  <c r="F119" i="13" s="1"/>
  <c r="E118" i="13"/>
  <c r="F118" i="13" s="1"/>
  <c r="E117" i="13"/>
  <c r="F117" i="13" s="1"/>
  <c r="E116" i="13"/>
  <c r="F116" i="13" s="1"/>
  <c r="E115" i="13"/>
  <c r="G115" i="13" s="1"/>
  <c r="E114" i="13"/>
  <c r="G114" i="13" s="1"/>
  <c r="G113" i="13"/>
  <c r="E113" i="13"/>
  <c r="F113" i="13" s="1"/>
  <c r="E112" i="13"/>
  <c r="G112" i="13" s="1"/>
  <c r="E111" i="13"/>
  <c r="G111" i="13" s="1"/>
  <c r="E110" i="13"/>
  <c r="G110" i="13" s="1"/>
  <c r="E109" i="13"/>
  <c r="E108" i="13"/>
  <c r="F108" i="13" s="1"/>
  <c r="E107" i="13"/>
  <c r="G107" i="13" s="1"/>
  <c r="E106" i="13"/>
  <c r="E105" i="13"/>
  <c r="G105" i="13" s="1"/>
  <c r="E104" i="13"/>
  <c r="G104" i="13" s="1"/>
  <c r="E103" i="13"/>
  <c r="G103" i="13" s="1"/>
  <c r="E102" i="13"/>
  <c r="F102" i="13" s="1"/>
  <c r="E101" i="13"/>
  <c r="F101" i="13" s="1"/>
  <c r="E100" i="13"/>
  <c r="F100" i="13" s="1"/>
  <c r="E99" i="13"/>
  <c r="G99" i="13" s="1"/>
  <c r="E98" i="13"/>
  <c r="G98" i="13" s="1"/>
  <c r="E97" i="13"/>
  <c r="G97" i="13" s="1"/>
  <c r="E96" i="13"/>
  <c r="G96" i="13" s="1"/>
  <c r="E95" i="13"/>
  <c r="G95" i="13" s="1"/>
  <c r="E94" i="13"/>
  <c r="G94" i="13" s="1"/>
  <c r="E93" i="13"/>
  <c r="E92" i="13"/>
  <c r="F92" i="13" s="1"/>
  <c r="E91" i="13"/>
  <c r="G91" i="13" s="1"/>
  <c r="E90" i="13"/>
  <c r="E89" i="13"/>
  <c r="G89" i="13" s="1"/>
  <c r="E88" i="13"/>
  <c r="G88" i="13" s="1"/>
  <c r="G87" i="13"/>
  <c r="F87" i="13"/>
  <c r="E87" i="13"/>
  <c r="E86" i="13"/>
  <c r="G86" i="13" s="1"/>
  <c r="E85" i="13"/>
  <c r="G85" i="13" s="1"/>
  <c r="E84" i="13"/>
  <c r="F84" i="13" s="1"/>
  <c r="E83" i="13"/>
  <c r="G83" i="13" s="1"/>
  <c r="E82" i="13"/>
  <c r="G82" i="13" s="1"/>
  <c r="E81" i="13"/>
  <c r="G81" i="13" s="1"/>
  <c r="E80" i="13"/>
  <c r="G80" i="13" s="1"/>
  <c r="E79" i="13"/>
  <c r="G79" i="13" s="1"/>
  <c r="E78" i="13"/>
  <c r="G78" i="13" s="1"/>
  <c r="E77" i="13"/>
  <c r="E76" i="13"/>
  <c r="F76" i="13" s="1"/>
  <c r="E75" i="13"/>
  <c r="G75" i="13" s="1"/>
  <c r="E74" i="13"/>
  <c r="E73" i="13"/>
  <c r="F73" i="13" s="1"/>
  <c r="E72" i="13"/>
  <c r="G72" i="13" s="1"/>
  <c r="F71" i="13"/>
  <c r="E71" i="13"/>
  <c r="G71" i="13" s="1"/>
  <c r="E70" i="13"/>
  <c r="F70" i="13" s="1"/>
  <c r="E69" i="13"/>
  <c r="G69" i="13" s="1"/>
  <c r="E68" i="13"/>
  <c r="F68" i="13" s="1"/>
  <c r="E67" i="13"/>
  <c r="G67" i="13" s="1"/>
  <c r="E66" i="13"/>
  <c r="G66" i="13" s="1"/>
  <c r="F65" i="13"/>
  <c r="E65" i="13"/>
  <c r="G65" i="13" s="1"/>
  <c r="E64" i="13"/>
  <c r="G64" i="13" s="1"/>
  <c r="E63" i="13"/>
  <c r="F63" i="13" s="1"/>
  <c r="E62" i="13"/>
  <c r="G62" i="13" s="1"/>
  <c r="E61" i="13"/>
  <c r="G60" i="13"/>
  <c r="E60" i="13"/>
  <c r="F60" i="13" s="1"/>
  <c r="E59" i="13"/>
  <c r="G59" i="13" s="1"/>
  <c r="E58" i="13"/>
  <c r="E57" i="13"/>
  <c r="F57" i="13" s="1"/>
  <c r="E56" i="13"/>
  <c r="G56" i="13" s="1"/>
  <c r="E55" i="13"/>
  <c r="F55" i="13" s="1"/>
  <c r="E54" i="13"/>
  <c r="F54" i="13" s="1"/>
  <c r="G53" i="13"/>
  <c r="F53" i="13"/>
  <c r="E53" i="13"/>
  <c r="E52" i="13"/>
  <c r="F52" i="13" s="1"/>
  <c r="E51" i="13"/>
  <c r="G51" i="13" s="1"/>
  <c r="E50" i="13"/>
  <c r="G50" i="13" s="1"/>
  <c r="E49" i="13"/>
  <c r="G49" i="13" s="1"/>
  <c r="E48" i="13"/>
  <c r="G48" i="13" s="1"/>
  <c r="E47" i="13"/>
  <c r="G47" i="13" s="1"/>
  <c r="E46" i="13"/>
  <c r="G46" i="13" s="1"/>
  <c r="E45" i="13"/>
  <c r="E44" i="13"/>
  <c r="F44" i="13" s="1"/>
  <c r="E43" i="13"/>
  <c r="G43" i="13" s="1"/>
  <c r="E42" i="13"/>
  <c r="E41" i="13"/>
  <c r="F41" i="13" s="1"/>
  <c r="E40" i="13"/>
  <c r="G40" i="13" s="1"/>
  <c r="E39" i="13"/>
  <c r="G39" i="13" s="1"/>
  <c r="G38" i="13"/>
  <c r="E38" i="13"/>
  <c r="F38" i="13" s="1"/>
  <c r="E37" i="13"/>
  <c r="G37" i="13" s="1"/>
  <c r="E36" i="13"/>
  <c r="F36" i="13" s="1"/>
  <c r="E35" i="13"/>
  <c r="G35" i="13" s="1"/>
  <c r="E34" i="13"/>
  <c r="G34" i="13" s="1"/>
  <c r="E33" i="13"/>
  <c r="G33" i="13" s="1"/>
  <c r="E32" i="13"/>
  <c r="G32" i="13" s="1"/>
  <c r="E31" i="13"/>
  <c r="G31" i="13" s="1"/>
  <c r="E24" i="13"/>
  <c r="G24" i="13" s="1"/>
  <c r="O23" i="13"/>
  <c r="E23" i="13"/>
  <c r="G23" i="13" s="1"/>
  <c r="E22" i="13"/>
  <c r="F22" i="13" s="1"/>
  <c r="E21" i="13"/>
  <c r="G21" i="13" s="1"/>
  <c r="E20" i="13"/>
  <c r="G20" i="13" s="1"/>
  <c r="E19" i="13"/>
  <c r="G19" i="13" s="1"/>
  <c r="E18" i="13"/>
  <c r="G18" i="13" s="1"/>
  <c r="D17" i="13"/>
  <c r="E17" i="13" s="1"/>
  <c r="G17" i="13" s="1"/>
  <c r="D16" i="13"/>
  <c r="E16" i="13" s="1"/>
  <c r="E15" i="13"/>
  <c r="G15" i="13" s="1"/>
  <c r="D14" i="13"/>
  <c r="E14" i="13" s="1"/>
  <c r="L13" i="13"/>
  <c r="E13" i="13"/>
  <c r="G13" i="13" s="1"/>
  <c r="E12" i="13"/>
  <c r="G12" i="13" s="1"/>
  <c r="E11" i="13"/>
  <c r="I11" i="13" s="1"/>
  <c r="E10" i="13"/>
  <c r="F10" i="13" s="1"/>
  <c r="E9" i="13"/>
  <c r="G9" i="13" s="1"/>
  <c r="E8" i="13"/>
  <c r="F8" i="13" s="1"/>
  <c r="E7" i="13"/>
  <c r="F7" i="13" s="1"/>
  <c r="E6" i="13"/>
  <c r="G6" i="13" s="1"/>
  <c r="G5" i="13"/>
  <c r="E5" i="13"/>
  <c r="F5" i="13" s="1"/>
  <c r="E4" i="13"/>
  <c r="G4" i="13" s="1"/>
  <c r="E191" i="12"/>
  <c r="G191" i="12" s="1"/>
  <c r="G190" i="12"/>
  <c r="E190" i="12"/>
  <c r="F190" i="12" s="1"/>
  <c r="E189" i="12"/>
  <c r="G189" i="12" s="1"/>
  <c r="E188" i="12"/>
  <c r="G188" i="12" s="1"/>
  <c r="E187" i="12"/>
  <c r="G187" i="12" s="1"/>
  <c r="E186" i="12"/>
  <c r="G185" i="12"/>
  <c r="F185" i="12"/>
  <c r="E185" i="12"/>
  <c r="E184" i="12"/>
  <c r="F184" i="12" s="1"/>
  <c r="E183" i="12"/>
  <c r="G182" i="12"/>
  <c r="E182" i="12"/>
  <c r="F182" i="12" s="1"/>
  <c r="E181" i="12"/>
  <c r="G181" i="12" s="1"/>
  <c r="E180" i="12"/>
  <c r="F180" i="12" s="1"/>
  <c r="E179" i="12"/>
  <c r="G179" i="12" s="1"/>
  <c r="E178" i="12"/>
  <c r="G178" i="12" s="1"/>
  <c r="E177" i="12"/>
  <c r="G177" i="12" s="1"/>
  <c r="E176" i="12"/>
  <c r="G176" i="12" s="1"/>
  <c r="F175" i="12"/>
  <c r="E175" i="12"/>
  <c r="G175" i="12" s="1"/>
  <c r="E174" i="12"/>
  <c r="F174" i="12" s="1"/>
  <c r="E173" i="12"/>
  <c r="G173" i="12" s="1"/>
  <c r="E172" i="12"/>
  <c r="G172" i="12" s="1"/>
  <c r="E171" i="12"/>
  <c r="G171" i="12" s="1"/>
  <c r="E170" i="12"/>
  <c r="E169" i="12"/>
  <c r="F169" i="12" s="1"/>
  <c r="E168" i="12"/>
  <c r="F168" i="12" s="1"/>
  <c r="E167" i="12"/>
  <c r="G167" i="12" s="1"/>
  <c r="E166" i="12"/>
  <c r="G166" i="12" s="1"/>
  <c r="E165" i="12"/>
  <c r="G165" i="12" s="1"/>
  <c r="E164" i="12"/>
  <c r="F164" i="12" s="1"/>
  <c r="E163" i="12"/>
  <c r="G163" i="12" s="1"/>
  <c r="E162" i="12"/>
  <c r="G161" i="12"/>
  <c r="E161" i="12"/>
  <c r="F161" i="12" s="1"/>
  <c r="E160" i="12"/>
  <c r="G160" i="12" s="1"/>
  <c r="E159" i="12"/>
  <c r="G159" i="12" s="1"/>
  <c r="G158" i="12"/>
  <c r="E158" i="12"/>
  <c r="F158" i="12" s="1"/>
  <c r="E157" i="12"/>
  <c r="G157" i="12" s="1"/>
  <c r="E156" i="12"/>
  <c r="G156" i="12" s="1"/>
  <c r="E155" i="12"/>
  <c r="G155" i="12" s="1"/>
  <c r="E154" i="12"/>
  <c r="F153" i="12"/>
  <c r="E153" i="12"/>
  <c r="G153" i="12" s="1"/>
  <c r="E152" i="12"/>
  <c r="F152" i="12" s="1"/>
  <c r="E151" i="12"/>
  <c r="G150" i="12"/>
  <c r="E150" i="12"/>
  <c r="F150" i="12" s="1"/>
  <c r="E149" i="12"/>
  <c r="G149" i="12" s="1"/>
  <c r="E148" i="12"/>
  <c r="F148" i="12" s="1"/>
  <c r="E147" i="12"/>
  <c r="G147" i="12" s="1"/>
  <c r="E146" i="12"/>
  <c r="E145" i="12"/>
  <c r="G145" i="12" s="1"/>
  <c r="E144" i="12"/>
  <c r="G144" i="12" s="1"/>
  <c r="E143" i="12"/>
  <c r="G143" i="12" s="1"/>
  <c r="G142" i="12"/>
  <c r="E142" i="12"/>
  <c r="F142" i="12" s="1"/>
  <c r="E141" i="12"/>
  <c r="G141" i="12" s="1"/>
  <c r="E140" i="12"/>
  <c r="G140" i="12" s="1"/>
  <c r="E139" i="12"/>
  <c r="G139" i="12" s="1"/>
  <c r="E138" i="12"/>
  <c r="E137" i="12"/>
  <c r="G137" i="12" s="1"/>
  <c r="E136" i="12"/>
  <c r="F136" i="12" s="1"/>
  <c r="E135" i="12"/>
  <c r="G135" i="12" s="1"/>
  <c r="G134" i="12"/>
  <c r="E134" i="12"/>
  <c r="F134" i="12" s="1"/>
  <c r="E133" i="12"/>
  <c r="G133" i="12" s="1"/>
  <c r="E132" i="12"/>
  <c r="F132" i="12" s="1"/>
  <c r="E131" i="12"/>
  <c r="G131" i="12" s="1"/>
  <c r="E130" i="12"/>
  <c r="E129" i="12"/>
  <c r="G129" i="12" s="1"/>
  <c r="E128" i="12"/>
  <c r="G128" i="12" s="1"/>
  <c r="F127" i="12"/>
  <c r="E127" i="12"/>
  <c r="G127" i="12" s="1"/>
  <c r="E126" i="12"/>
  <c r="F126" i="12" s="1"/>
  <c r="E125" i="12"/>
  <c r="G125" i="12" s="1"/>
  <c r="E124" i="12"/>
  <c r="G124" i="12" s="1"/>
  <c r="E123" i="12"/>
  <c r="G123" i="12" s="1"/>
  <c r="E122" i="12"/>
  <c r="E121" i="12"/>
  <c r="F121" i="12" s="1"/>
  <c r="G120" i="12"/>
  <c r="E120" i="12"/>
  <c r="F120" i="12" s="1"/>
  <c r="E119" i="12"/>
  <c r="G119" i="12" s="1"/>
  <c r="E118" i="12"/>
  <c r="F118" i="12" s="1"/>
  <c r="E117" i="12"/>
  <c r="G117" i="12" s="1"/>
  <c r="E116" i="12"/>
  <c r="F116" i="12" s="1"/>
  <c r="E115" i="12"/>
  <c r="G115" i="12" s="1"/>
  <c r="E114" i="12"/>
  <c r="G113" i="12"/>
  <c r="F113" i="12"/>
  <c r="E113" i="12"/>
  <c r="E112" i="12"/>
  <c r="G112" i="12" s="1"/>
  <c r="E111" i="12"/>
  <c r="G111" i="12" s="1"/>
  <c r="G110" i="12"/>
  <c r="E110" i="12"/>
  <c r="F110" i="12" s="1"/>
  <c r="E109" i="12"/>
  <c r="G109" i="12" s="1"/>
  <c r="E108" i="12"/>
  <c r="G108" i="12" s="1"/>
  <c r="E107" i="12"/>
  <c r="G107" i="12" s="1"/>
  <c r="E106" i="12"/>
  <c r="G105" i="12"/>
  <c r="F105" i="12"/>
  <c r="E105" i="12"/>
  <c r="E104" i="12"/>
  <c r="F104" i="12" s="1"/>
  <c r="E103" i="12"/>
  <c r="G103" i="12" s="1"/>
  <c r="G102" i="12"/>
  <c r="E102" i="12"/>
  <c r="F102" i="12" s="1"/>
  <c r="E101" i="12"/>
  <c r="G101" i="12" s="1"/>
  <c r="E100" i="12"/>
  <c r="F100" i="12" s="1"/>
  <c r="E99" i="12"/>
  <c r="G99" i="12" s="1"/>
  <c r="E98" i="12"/>
  <c r="E97" i="12"/>
  <c r="G97" i="12" s="1"/>
  <c r="E96" i="12"/>
  <c r="G96" i="12" s="1"/>
  <c r="F95" i="12"/>
  <c r="E95" i="12"/>
  <c r="G95" i="12" s="1"/>
  <c r="G94" i="12"/>
  <c r="E94" i="12"/>
  <c r="F94" i="12" s="1"/>
  <c r="E93" i="12"/>
  <c r="G93" i="12" s="1"/>
  <c r="E92" i="12"/>
  <c r="G92" i="12" s="1"/>
  <c r="E91" i="12"/>
  <c r="G91" i="12" s="1"/>
  <c r="E90" i="12"/>
  <c r="E89" i="12"/>
  <c r="G89" i="12" s="1"/>
  <c r="E88" i="12"/>
  <c r="F88" i="12" s="1"/>
  <c r="E87" i="12"/>
  <c r="G87" i="12" s="1"/>
  <c r="G86" i="12"/>
  <c r="E86" i="12"/>
  <c r="F86" i="12" s="1"/>
  <c r="E85" i="12"/>
  <c r="G85" i="12" s="1"/>
  <c r="E84" i="12"/>
  <c r="F84" i="12" s="1"/>
  <c r="F83" i="12"/>
  <c r="E83" i="12"/>
  <c r="G83" i="12" s="1"/>
  <c r="E82" i="12"/>
  <c r="E81" i="12"/>
  <c r="F81" i="12" s="1"/>
  <c r="E80" i="12"/>
  <c r="G80" i="12" s="1"/>
  <c r="F79" i="12"/>
  <c r="E79" i="12"/>
  <c r="G79" i="12" s="1"/>
  <c r="E78" i="12"/>
  <c r="F78" i="12" s="1"/>
  <c r="E77" i="12"/>
  <c r="G77" i="12" s="1"/>
  <c r="E76" i="12"/>
  <c r="G76" i="12" s="1"/>
  <c r="E75" i="12"/>
  <c r="G75" i="12" s="1"/>
  <c r="E74" i="12"/>
  <c r="E73" i="12"/>
  <c r="F73" i="12" s="1"/>
  <c r="E72" i="12"/>
  <c r="F72" i="12" s="1"/>
  <c r="E71" i="12"/>
  <c r="G71" i="12" s="1"/>
  <c r="E70" i="12"/>
  <c r="F70" i="12" s="1"/>
  <c r="E69" i="12"/>
  <c r="G69" i="12" s="1"/>
  <c r="G68" i="12"/>
  <c r="E68" i="12"/>
  <c r="F68" i="12" s="1"/>
  <c r="E67" i="12"/>
  <c r="F67" i="12" s="1"/>
  <c r="E66" i="12"/>
  <c r="E65" i="12"/>
  <c r="G65" i="12" s="1"/>
  <c r="E64" i="12"/>
  <c r="G64" i="12" s="1"/>
  <c r="E63" i="12"/>
  <c r="G63" i="12" s="1"/>
  <c r="G62" i="12"/>
  <c r="E62" i="12"/>
  <c r="F62" i="12" s="1"/>
  <c r="E61" i="12"/>
  <c r="G61" i="12" s="1"/>
  <c r="E60" i="12"/>
  <c r="G60" i="12" s="1"/>
  <c r="E59" i="12"/>
  <c r="G59" i="12" s="1"/>
  <c r="E58" i="12"/>
  <c r="E57" i="12"/>
  <c r="F57" i="12" s="1"/>
  <c r="E56" i="12"/>
  <c r="F56" i="12" s="1"/>
  <c r="E55" i="12"/>
  <c r="G55" i="12" s="1"/>
  <c r="E54" i="12"/>
  <c r="F54" i="12" s="1"/>
  <c r="E53" i="12"/>
  <c r="G53" i="12" s="1"/>
  <c r="E52" i="12"/>
  <c r="F52" i="12" s="1"/>
  <c r="F51" i="12"/>
  <c r="E51" i="12"/>
  <c r="G51" i="12" s="1"/>
  <c r="E50" i="12"/>
  <c r="E49" i="12"/>
  <c r="F49" i="12" s="1"/>
  <c r="E48" i="12"/>
  <c r="G48" i="12" s="1"/>
  <c r="E47" i="12"/>
  <c r="G47" i="12" s="1"/>
  <c r="E46" i="12"/>
  <c r="F46" i="12" s="1"/>
  <c r="E45" i="12"/>
  <c r="G45" i="12" s="1"/>
  <c r="E44" i="12"/>
  <c r="G44" i="12" s="1"/>
  <c r="E43" i="12"/>
  <c r="G43" i="12" s="1"/>
  <c r="E42" i="12"/>
  <c r="E41" i="12"/>
  <c r="F41" i="12" s="1"/>
  <c r="G40" i="12"/>
  <c r="E40" i="12"/>
  <c r="F40" i="12" s="1"/>
  <c r="E39" i="12"/>
  <c r="G39" i="12" s="1"/>
  <c r="E38" i="12"/>
  <c r="F38" i="12" s="1"/>
  <c r="E37" i="12"/>
  <c r="G37" i="12" s="1"/>
  <c r="G36" i="12"/>
  <c r="E36" i="12"/>
  <c r="F36" i="12" s="1"/>
  <c r="E35" i="12"/>
  <c r="G35" i="12" s="1"/>
  <c r="E34" i="12"/>
  <c r="E33" i="12"/>
  <c r="G33" i="12" s="1"/>
  <c r="E32" i="12"/>
  <c r="G32" i="12" s="1"/>
  <c r="F31" i="12"/>
  <c r="E31" i="12"/>
  <c r="G31" i="12" s="1"/>
  <c r="G26" i="12"/>
  <c r="E26" i="12"/>
  <c r="F26" i="12" s="1"/>
  <c r="E25" i="12"/>
  <c r="G25" i="12" s="1"/>
  <c r="E24" i="12"/>
  <c r="F24" i="12" s="1"/>
  <c r="E23" i="12"/>
  <c r="G23" i="12" s="1"/>
  <c r="E22" i="12"/>
  <c r="E21" i="12"/>
  <c r="F21" i="12" s="1"/>
  <c r="E20" i="12"/>
  <c r="F20" i="12" s="1"/>
  <c r="E19" i="12"/>
  <c r="G19" i="12" s="1"/>
  <c r="E18" i="12"/>
  <c r="F18" i="12" s="1"/>
  <c r="D17" i="12"/>
  <c r="E17" i="12" s="1"/>
  <c r="D16" i="12"/>
  <c r="E16" i="12" s="1"/>
  <c r="E15" i="12"/>
  <c r="G15" i="12" s="1"/>
  <c r="D14" i="12"/>
  <c r="E14" i="12" s="1"/>
  <c r="G14" i="12" s="1"/>
  <c r="G13" i="12"/>
  <c r="F12" i="12"/>
  <c r="E12" i="12"/>
  <c r="G12" i="12" s="1"/>
  <c r="G11" i="12"/>
  <c r="E11" i="12"/>
  <c r="F11" i="12" s="1"/>
  <c r="E10" i="12"/>
  <c r="G10" i="12" s="1"/>
  <c r="E9" i="12"/>
  <c r="G9" i="12" s="1"/>
  <c r="E8" i="12"/>
  <c r="G8" i="12" s="1"/>
  <c r="E7" i="12"/>
  <c r="E6" i="12"/>
  <c r="G6" i="12" s="1"/>
  <c r="E5" i="12"/>
  <c r="F5" i="12" s="1"/>
  <c r="E4" i="12"/>
  <c r="G4" i="12" s="1"/>
  <c r="G191" i="11"/>
  <c r="E191" i="11"/>
  <c r="F191" i="11" s="1"/>
  <c r="E190" i="11"/>
  <c r="G190" i="11" s="1"/>
  <c r="G189" i="11"/>
  <c r="E189" i="11"/>
  <c r="F189" i="11" s="1"/>
  <c r="G188" i="11"/>
  <c r="F188" i="11"/>
  <c r="E188" i="11"/>
  <c r="E187" i="11"/>
  <c r="G186" i="11"/>
  <c r="F186" i="11"/>
  <c r="E186" i="11"/>
  <c r="E185" i="11"/>
  <c r="G185" i="11" s="1"/>
  <c r="G184" i="11"/>
  <c r="F184" i="11"/>
  <c r="E184" i="11"/>
  <c r="G183" i="11"/>
  <c r="E183" i="11"/>
  <c r="F183" i="11" s="1"/>
  <c r="E182" i="11"/>
  <c r="G182" i="11" s="1"/>
  <c r="E181" i="11"/>
  <c r="G181" i="11" s="1"/>
  <c r="E180" i="11"/>
  <c r="G180" i="11" s="1"/>
  <c r="E179" i="11"/>
  <c r="F178" i="11"/>
  <c r="E178" i="11"/>
  <c r="G178" i="11" s="1"/>
  <c r="G177" i="11"/>
  <c r="E177" i="11"/>
  <c r="F177" i="11" s="1"/>
  <c r="E176" i="11"/>
  <c r="G176" i="11" s="1"/>
  <c r="G175" i="11"/>
  <c r="E175" i="11"/>
  <c r="F175" i="11" s="1"/>
  <c r="E174" i="11"/>
  <c r="G174" i="11" s="1"/>
  <c r="G173" i="11"/>
  <c r="E173" i="11"/>
  <c r="F173" i="11" s="1"/>
  <c r="G172" i="11"/>
  <c r="F172" i="11"/>
  <c r="E172" i="11"/>
  <c r="E171" i="11"/>
  <c r="G170" i="11"/>
  <c r="F170" i="11"/>
  <c r="E170" i="11"/>
  <c r="E169" i="11"/>
  <c r="G169" i="11" s="1"/>
  <c r="G168" i="11"/>
  <c r="F168" i="11"/>
  <c r="E168" i="11"/>
  <c r="E167" i="11"/>
  <c r="F167" i="11" s="1"/>
  <c r="E166" i="11"/>
  <c r="G166" i="11" s="1"/>
  <c r="E165" i="11"/>
  <c r="G165" i="11" s="1"/>
  <c r="E164" i="11"/>
  <c r="G164" i="11" s="1"/>
  <c r="E163" i="11"/>
  <c r="F162" i="11"/>
  <c r="E162" i="11"/>
  <c r="G162" i="11" s="1"/>
  <c r="G161" i="11"/>
  <c r="E161" i="11"/>
  <c r="F161" i="11" s="1"/>
  <c r="F160" i="11"/>
  <c r="E160" i="11"/>
  <c r="G160" i="11" s="1"/>
  <c r="G159" i="11"/>
  <c r="E159" i="11"/>
  <c r="F159" i="11" s="1"/>
  <c r="E158" i="11"/>
  <c r="G158" i="11" s="1"/>
  <c r="E157" i="11"/>
  <c r="F157" i="11" s="1"/>
  <c r="G156" i="11"/>
  <c r="F156" i="11"/>
  <c r="E156" i="11"/>
  <c r="E155" i="11"/>
  <c r="G154" i="11"/>
  <c r="F154" i="11"/>
  <c r="E154" i="11"/>
  <c r="E153" i="11"/>
  <c r="G153" i="11" s="1"/>
  <c r="G152" i="11"/>
  <c r="F152" i="11"/>
  <c r="E152" i="11"/>
  <c r="E151" i="11"/>
  <c r="F151" i="11" s="1"/>
  <c r="E150" i="11"/>
  <c r="G150" i="11" s="1"/>
  <c r="G149" i="11"/>
  <c r="F149" i="11"/>
  <c r="E149" i="11"/>
  <c r="E148" i="11"/>
  <c r="G148" i="11" s="1"/>
  <c r="F147" i="11"/>
  <c r="E147" i="11"/>
  <c r="G147" i="11" s="1"/>
  <c r="F146" i="11"/>
  <c r="E146" i="11"/>
  <c r="G146" i="11" s="1"/>
  <c r="G145" i="11"/>
  <c r="E145" i="11"/>
  <c r="F145" i="11" s="1"/>
  <c r="F144" i="11"/>
  <c r="E144" i="11"/>
  <c r="G144" i="11" s="1"/>
  <c r="G143" i="11"/>
  <c r="F143" i="11"/>
  <c r="E143" i="11"/>
  <c r="E142" i="11"/>
  <c r="E141" i="11"/>
  <c r="F141" i="11" s="1"/>
  <c r="G140" i="11"/>
  <c r="F140" i="11"/>
  <c r="E140" i="11"/>
  <c r="E139" i="11"/>
  <c r="G138" i="11"/>
  <c r="F138" i="11"/>
  <c r="E138" i="11"/>
  <c r="E137" i="11"/>
  <c r="G137" i="11" s="1"/>
  <c r="G136" i="11"/>
  <c r="F136" i="11"/>
  <c r="E136" i="11"/>
  <c r="E135" i="11"/>
  <c r="F135" i="11" s="1"/>
  <c r="E134" i="11"/>
  <c r="G133" i="11"/>
  <c r="F133" i="11"/>
  <c r="E133" i="11"/>
  <c r="G132" i="11"/>
  <c r="E132" i="11"/>
  <c r="F132" i="11" s="1"/>
  <c r="E131" i="11"/>
  <c r="G131" i="11" s="1"/>
  <c r="G130" i="11"/>
  <c r="F130" i="11"/>
  <c r="E130" i="11"/>
  <c r="G129" i="11"/>
  <c r="E129" i="11"/>
  <c r="F129" i="11" s="1"/>
  <c r="E128" i="11"/>
  <c r="G128" i="11" s="1"/>
  <c r="G127" i="11"/>
  <c r="F127" i="11"/>
  <c r="E127" i="11"/>
  <c r="E126" i="11"/>
  <c r="F125" i="11"/>
  <c r="E125" i="11"/>
  <c r="G125" i="11" s="1"/>
  <c r="G124" i="11"/>
  <c r="F124" i="11"/>
  <c r="E124" i="11"/>
  <c r="E123" i="11"/>
  <c r="G123" i="11" s="1"/>
  <c r="G122" i="11"/>
  <c r="F122" i="11"/>
  <c r="E122" i="11"/>
  <c r="E121" i="11"/>
  <c r="G121" i="11" s="1"/>
  <c r="E120" i="11"/>
  <c r="G120" i="11" s="1"/>
  <c r="E119" i="11"/>
  <c r="G119" i="11" s="1"/>
  <c r="E118" i="11"/>
  <c r="E117" i="11"/>
  <c r="G117" i="11" s="1"/>
  <c r="E116" i="11"/>
  <c r="G116" i="11" s="1"/>
  <c r="F115" i="11"/>
  <c r="E115" i="11"/>
  <c r="G115" i="11" s="1"/>
  <c r="E114" i="11"/>
  <c r="G114" i="11" s="1"/>
  <c r="E113" i="11"/>
  <c r="F113" i="11" s="1"/>
  <c r="G112" i="11"/>
  <c r="F112" i="11"/>
  <c r="E112" i="11"/>
  <c r="G111" i="11"/>
  <c r="E111" i="11"/>
  <c r="F111" i="11" s="1"/>
  <c r="E110" i="11"/>
  <c r="E109" i="11"/>
  <c r="G108" i="11"/>
  <c r="F108" i="11"/>
  <c r="E108" i="11"/>
  <c r="F107" i="11"/>
  <c r="E107" i="11"/>
  <c r="G107" i="11" s="1"/>
  <c r="G106" i="11"/>
  <c r="F106" i="11"/>
  <c r="E106" i="11"/>
  <c r="F105" i="11"/>
  <c r="E105" i="11"/>
  <c r="G105" i="11" s="1"/>
  <c r="E104" i="11"/>
  <c r="G104" i="11" s="1"/>
  <c r="G103" i="11"/>
  <c r="F103" i="11"/>
  <c r="E103" i="11"/>
  <c r="E102" i="11"/>
  <c r="G102" i="11" s="1"/>
  <c r="E101" i="11"/>
  <c r="G101" i="11" s="1"/>
  <c r="E100" i="11"/>
  <c r="G100" i="11" s="1"/>
  <c r="E99" i="11"/>
  <c r="G99" i="11" s="1"/>
  <c r="E98" i="11"/>
  <c r="G98" i="11" s="1"/>
  <c r="E97" i="11"/>
  <c r="G97" i="11" s="1"/>
  <c r="G96" i="11"/>
  <c r="E96" i="11"/>
  <c r="F96" i="11" s="1"/>
  <c r="G95" i="11"/>
  <c r="F95" i="11"/>
  <c r="E95" i="11"/>
  <c r="E94" i="11"/>
  <c r="G94" i="11" s="1"/>
  <c r="E93" i="11"/>
  <c r="G92" i="11"/>
  <c r="F92" i="11"/>
  <c r="E92" i="11"/>
  <c r="F91" i="11"/>
  <c r="E91" i="11"/>
  <c r="G91" i="11" s="1"/>
  <c r="G90" i="11"/>
  <c r="F90" i="11"/>
  <c r="E90" i="11"/>
  <c r="F89" i="11"/>
  <c r="E89" i="11"/>
  <c r="G89" i="11" s="1"/>
  <c r="E88" i="11"/>
  <c r="G88" i="11" s="1"/>
  <c r="G87" i="11"/>
  <c r="F87" i="11"/>
  <c r="E87" i="11"/>
  <c r="E86" i="11"/>
  <c r="G86" i="11" s="1"/>
  <c r="E85" i="11"/>
  <c r="G85" i="11" s="1"/>
  <c r="E84" i="11"/>
  <c r="G84" i="11" s="1"/>
  <c r="E83" i="11"/>
  <c r="G83" i="11" s="1"/>
  <c r="E82" i="11"/>
  <c r="G82" i="11" s="1"/>
  <c r="E81" i="11"/>
  <c r="G81" i="11" s="1"/>
  <c r="G80" i="11"/>
  <c r="E80" i="11"/>
  <c r="F80" i="11" s="1"/>
  <c r="G79" i="11"/>
  <c r="F79" i="11"/>
  <c r="E79" i="11"/>
  <c r="E78" i="11"/>
  <c r="G78" i="11" s="1"/>
  <c r="E77" i="11"/>
  <c r="G76" i="11"/>
  <c r="F76" i="11"/>
  <c r="E76" i="11"/>
  <c r="F75" i="11"/>
  <c r="E75" i="11"/>
  <c r="G75" i="11" s="1"/>
  <c r="G74" i="11"/>
  <c r="F74" i="11"/>
  <c r="E74" i="11"/>
  <c r="F73" i="11"/>
  <c r="E73" i="11"/>
  <c r="G73" i="11" s="1"/>
  <c r="E72" i="11"/>
  <c r="G72" i="11" s="1"/>
  <c r="G71" i="11"/>
  <c r="F71" i="11"/>
  <c r="E71" i="11"/>
  <c r="E70" i="11"/>
  <c r="G70" i="11" s="1"/>
  <c r="E69" i="11"/>
  <c r="G69" i="11" s="1"/>
  <c r="E68" i="11"/>
  <c r="G68" i="11" s="1"/>
  <c r="E67" i="11"/>
  <c r="G67" i="11" s="1"/>
  <c r="E66" i="11"/>
  <c r="G66" i="11" s="1"/>
  <c r="E65" i="11"/>
  <c r="G65" i="11" s="1"/>
  <c r="G64" i="11"/>
  <c r="E64" i="11"/>
  <c r="F64" i="11" s="1"/>
  <c r="G63" i="11"/>
  <c r="F63" i="11"/>
  <c r="E63" i="11"/>
  <c r="E62" i="11"/>
  <c r="G62" i="11" s="1"/>
  <c r="E61" i="11"/>
  <c r="G60" i="11"/>
  <c r="F60" i="11"/>
  <c r="E60" i="11"/>
  <c r="F59" i="11"/>
  <c r="E59" i="11"/>
  <c r="G59" i="11" s="1"/>
  <c r="G58" i="11"/>
  <c r="F58" i="11"/>
  <c r="E58" i="11"/>
  <c r="F57" i="11"/>
  <c r="E57" i="11"/>
  <c r="G57" i="11" s="1"/>
  <c r="E56" i="11"/>
  <c r="G56" i="11" s="1"/>
  <c r="G55" i="11"/>
  <c r="F55" i="11"/>
  <c r="E55" i="11"/>
  <c r="E54" i="11"/>
  <c r="G54" i="11" s="1"/>
  <c r="E53" i="11"/>
  <c r="G53" i="11" s="1"/>
  <c r="E52" i="11"/>
  <c r="G52" i="11" s="1"/>
  <c r="E51" i="11"/>
  <c r="G51" i="11" s="1"/>
  <c r="E50" i="11"/>
  <c r="G50" i="11" s="1"/>
  <c r="E49" i="11"/>
  <c r="G49" i="11" s="1"/>
  <c r="G48" i="11"/>
  <c r="E48" i="11"/>
  <c r="F48" i="11" s="1"/>
  <c r="G47" i="11"/>
  <c r="F47" i="11"/>
  <c r="E47" i="11"/>
  <c r="E46" i="11"/>
  <c r="G46" i="11" s="1"/>
  <c r="E45" i="11"/>
  <c r="G44" i="11"/>
  <c r="F44" i="11"/>
  <c r="E44" i="11"/>
  <c r="F43" i="11"/>
  <c r="E43" i="11"/>
  <c r="G43" i="11" s="1"/>
  <c r="G42" i="11"/>
  <c r="F42" i="11"/>
  <c r="E42" i="11"/>
  <c r="F41" i="11"/>
  <c r="E41" i="11"/>
  <c r="G41" i="11" s="1"/>
  <c r="E40" i="11"/>
  <c r="G40" i="11" s="1"/>
  <c r="G39" i="11"/>
  <c r="F39" i="11"/>
  <c r="E39" i="11"/>
  <c r="E38" i="11"/>
  <c r="G38" i="11" s="1"/>
  <c r="E37" i="11"/>
  <c r="G37" i="11" s="1"/>
  <c r="E36" i="11"/>
  <c r="G36" i="11" s="1"/>
  <c r="E35" i="11"/>
  <c r="G35" i="11" s="1"/>
  <c r="E34" i="11"/>
  <c r="G34" i="11" s="1"/>
  <c r="E33" i="11"/>
  <c r="G33" i="11" s="1"/>
  <c r="G32" i="11"/>
  <c r="E32" i="11"/>
  <c r="F32" i="11" s="1"/>
  <c r="G31" i="11"/>
  <c r="F31" i="11"/>
  <c r="E31" i="11"/>
  <c r="E26" i="11"/>
  <c r="G26" i="11" s="1"/>
  <c r="E25" i="11"/>
  <c r="G24" i="11"/>
  <c r="F24" i="11"/>
  <c r="E24" i="11"/>
  <c r="F23" i="11"/>
  <c r="E23" i="11"/>
  <c r="G23" i="11" s="1"/>
  <c r="G22" i="11"/>
  <c r="F22" i="11"/>
  <c r="E22" i="11"/>
  <c r="F21" i="11"/>
  <c r="E21" i="11"/>
  <c r="G21" i="11" s="1"/>
  <c r="E20" i="11"/>
  <c r="G20" i="11" s="1"/>
  <c r="G19" i="11"/>
  <c r="F19" i="11"/>
  <c r="E19" i="11"/>
  <c r="E18" i="11"/>
  <c r="G18" i="11" s="1"/>
  <c r="E17" i="11"/>
  <c r="G17" i="11" s="1"/>
  <c r="D17" i="11"/>
  <c r="D16" i="11"/>
  <c r="E16" i="11" s="1"/>
  <c r="E15" i="11"/>
  <c r="G14" i="11"/>
  <c r="D14" i="11"/>
  <c r="E14" i="11" s="1"/>
  <c r="F14" i="11" s="1"/>
  <c r="G13" i="11"/>
  <c r="F13" i="11"/>
  <c r="G12" i="11"/>
  <c r="F12" i="11"/>
  <c r="E12" i="11"/>
  <c r="F11" i="11"/>
  <c r="E11" i="11"/>
  <c r="G11" i="11" s="1"/>
  <c r="E10" i="11"/>
  <c r="G10" i="11" s="1"/>
  <c r="G9" i="11"/>
  <c r="F9" i="11"/>
  <c r="E9" i="11"/>
  <c r="E8" i="11"/>
  <c r="G8" i="11" s="1"/>
  <c r="E7" i="11"/>
  <c r="G7" i="11" s="1"/>
  <c r="E6" i="11"/>
  <c r="G6" i="11" s="1"/>
  <c r="E5" i="11"/>
  <c r="G5" i="11" s="1"/>
  <c r="F4" i="11"/>
  <c r="E4" i="11"/>
  <c r="G4" i="11" s="1"/>
  <c r="D212" i="10"/>
  <c r="E212" i="10" s="1"/>
  <c r="D211" i="10"/>
  <c r="E211" i="10" s="1"/>
  <c r="G211" i="10" s="1"/>
  <c r="D210" i="10"/>
  <c r="E210" i="10" s="1"/>
  <c r="D209" i="10"/>
  <c r="E209" i="10" s="1"/>
  <c r="D208" i="10"/>
  <c r="E208" i="10" s="1"/>
  <c r="D207" i="10"/>
  <c r="E207" i="10" s="1"/>
  <c r="G207" i="10" s="1"/>
  <c r="D206" i="10"/>
  <c r="E206" i="10" s="1"/>
  <c r="D205" i="10"/>
  <c r="E205" i="10" s="1"/>
  <c r="D204" i="10"/>
  <c r="E204" i="10" s="1"/>
  <c r="E203" i="10"/>
  <c r="G203" i="10" s="1"/>
  <c r="D203" i="10"/>
  <c r="D202" i="10"/>
  <c r="E202" i="10" s="1"/>
  <c r="D201" i="10"/>
  <c r="E201" i="10" s="1"/>
  <c r="D200" i="10"/>
  <c r="E200" i="10" s="1"/>
  <c r="E199" i="10"/>
  <c r="G199" i="10" s="1"/>
  <c r="D199" i="10"/>
  <c r="D198" i="10"/>
  <c r="E198" i="10" s="1"/>
  <c r="D197" i="10"/>
  <c r="E197" i="10" s="1"/>
  <c r="D196" i="10"/>
  <c r="E196" i="10" s="1"/>
  <c r="D195" i="10"/>
  <c r="E195" i="10" s="1"/>
  <c r="G195" i="10" s="1"/>
  <c r="D194" i="10"/>
  <c r="E194" i="10" s="1"/>
  <c r="D193" i="10"/>
  <c r="E193" i="10" s="1"/>
  <c r="E192" i="10"/>
  <c r="F192" i="10" s="1"/>
  <c r="E191" i="10"/>
  <c r="F191" i="10" s="1"/>
  <c r="E190" i="10"/>
  <c r="G190" i="10" s="1"/>
  <c r="E189" i="10"/>
  <c r="G189" i="10" s="1"/>
  <c r="E188" i="10"/>
  <c r="G187" i="10"/>
  <c r="F187" i="10"/>
  <c r="E187" i="10"/>
  <c r="E186" i="10"/>
  <c r="G186" i="10" s="1"/>
  <c r="F185" i="10"/>
  <c r="E185" i="10"/>
  <c r="G185" i="10" s="1"/>
  <c r="E184" i="10"/>
  <c r="G184" i="10" s="1"/>
  <c r="E183" i="10"/>
  <c r="G183" i="10" s="1"/>
  <c r="E182" i="10"/>
  <c r="G182" i="10" s="1"/>
  <c r="E181" i="10"/>
  <c r="G181" i="10" s="1"/>
  <c r="E180" i="10"/>
  <c r="G180" i="10" s="1"/>
  <c r="E179" i="10"/>
  <c r="G179" i="10" s="1"/>
  <c r="E178" i="10"/>
  <c r="G178" i="10" s="1"/>
  <c r="E177" i="10"/>
  <c r="G177" i="10" s="1"/>
  <c r="E176" i="10"/>
  <c r="F176" i="10" s="1"/>
  <c r="E175" i="10"/>
  <c r="F175" i="10" s="1"/>
  <c r="E174" i="10"/>
  <c r="F174" i="10" s="1"/>
  <c r="E173" i="10"/>
  <c r="G173" i="10" s="1"/>
  <c r="E172" i="10"/>
  <c r="E171" i="10"/>
  <c r="G171" i="10" s="1"/>
  <c r="E170" i="10"/>
  <c r="G170" i="10" s="1"/>
  <c r="E169" i="10"/>
  <c r="F169" i="10" s="1"/>
  <c r="E168" i="10"/>
  <c r="G168" i="10" s="1"/>
  <c r="E167" i="10"/>
  <c r="G167" i="10" s="1"/>
  <c r="F166" i="10"/>
  <c r="E166" i="10"/>
  <c r="G166" i="10" s="1"/>
  <c r="E165" i="10"/>
  <c r="G165" i="10" s="1"/>
  <c r="E164" i="10"/>
  <c r="G164" i="10" s="1"/>
  <c r="E163" i="10"/>
  <c r="G163" i="10" s="1"/>
  <c r="E162" i="10"/>
  <c r="G162" i="10" s="1"/>
  <c r="E161" i="10"/>
  <c r="G161" i="10" s="1"/>
  <c r="E160" i="10"/>
  <c r="F160" i="10" s="1"/>
  <c r="G159" i="10"/>
  <c r="E159" i="10"/>
  <c r="F159" i="10" s="1"/>
  <c r="F158" i="10"/>
  <c r="E158" i="10"/>
  <c r="G158" i="10" s="1"/>
  <c r="E157" i="10"/>
  <c r="G157" i="10" s="1"/>
  <c r="E156" i="10"/>
  <c r="E155" i="10"/>
  <c r="F155" i="10" s="1"/>
  <c r="E154" i="10"/>
  <c r="G154" i="10" s="1"/>
  <c r="G153" i="10"/>
  <c r="E153" i="10"/>
  <c r="F153" i="10" s="1"/>
  <c r="F152" i="10"/>
  <c r="E152" i="10"/>
  <c r="G152" i="10" s="1"/>
  <c r="E151" i="10"/>
  <c r="G151" i="10" s="1"/>
  <c r="E150" i="10"/>
  <c r="G150" i="10" s="1"/>
  <c r="E149" i="10"/>
  <c r="G149" i="10" s="1"/>
  <c r="E148" i="10"/>
  <c r="G148" i="10" s="1"/>
  <c r="E147" i="10"/>
  <c r="G147" i="10" s="1"/>
  <c r="E146" i="10"/>
  <c r="G146" i="10" s="1"/>
  <c r="E145" i="10"/>
  <c r="G145" i="10" s="1"/>
  <c r="G144" i="10"/>
  <c r="E144" i="10"/>
  <c r="F144" i="10" s="1"/>
  <c r="G143" i="10"/>
  <c r="E143" i="10"/>
  <c r="F143" i="10" s="1"/>
  <c r="E142" i="10"/>
  <c r="F142" i="10" s="1"/>
  <c r="E141" i="10"/>
  <c r="G141" i="10" s="1"/>
  <c r="E140" i="10"/>
  <c r="G139" i="10"/>
  <c r="E139" i="10"/>
  <c r="F139" i="10" s="1"/>
  <c r="F138" i="10"/>
  <c r="E138" i="10"/>
  <c r="G138" i="10" s="1"/>
  <c r="G137" i="10"/>
  <c r="E137" i="10"/>
  <c r="F137" i="10" s="1"/>
  <c r="E136" i="10"/>
  <c r="G136" i="10" s="1"/>
  <c r="E135" i="10"/>
  <c r="G135" i="10" s="1"/>
  <c r="G134" i="10"/>
  <c r="F134" i="10"/>
  <c r="E134" i="10"/>
  <c r="E133" i="10"/>
  <c r="G133" i="10" s="1"/>
  <c r="E132" i="10"/>
  <c r="G132" i="10" s="1"/>
  <c r="E131" i="10"/>
  <c r="G131" i="10" s="1"/>
  <c r="E130" i="10"/>
  <c r="G130" i="10" s="1"/>
  <c r="E129" i="10"/>
  <c r="G129" i="10" s="1"/>
  <c r="E128" i="10"/>
  <c r="G128" i="10" s="1"/>
  <c r="E127" i="10"/>
  <c r="F127" i="10" s="1"/>
  <c r="E126" i="10"/>
  <c r="F126" i="10" s="1"/>
  <c r="E125" i="10"/>
  <c r="G125" i="10" s="1"/>
  <c r="E124" i="10"/>
  <c r="G123" i="10"/>
  <c r="E123" i="10"/>
  <c r="F123" i="10" s="1"/>
  <c r="E122" i="10"/>
  <c r="G122" i="10" s="1"/>
  <c r="E121" i="10"/>
  <c r="G121" i="10" s="1"/>
  <c r="E120" i="10"/>
  <c r="G120" i="10" s="1"/>
  <c r="E119" i="10"/>
  <c r="G119" i="10" s="1"/>
  <c r="F118" i="10"/>
  <c r="E118" i="10"/>
  <c r="G118" i="10" s="1"/>
  <c r="E117" i="10"/>
  <c r="G117" i="10" s="1"/>
  <c r="E116" i="10"/>
  <c r="G116" i="10" s="1"/>
  <c r="E115" i="10"/>
  <c r="G115" i="10" s="1"/>
  <c r="E114" i="10"/>
  <c r="G114" i="10" s="1"/>
  <c r="E113" i="10"/>
  <c r="G113" i="10" s="1"/>
  <c r="E112" i="10"/>
  <c r="F112" i="10" s="1"/>
  <c r="G111" i="10"/>
  <c r="E111" i="10"/>
  <c r="F111" i="10" s="1"/>
  <c r="F110" i="10"/>
  <c r="E110" i="10"/>
  <c r="G110" i="10" s="1"/>
  <c r="E109" i="10"/>
  <c r="G109" i="10" s="1"/>
  <c r="E108" i="10"/>
  <c r="E107" i="10"/>
  <c r="F107" i="10" s="1"/>
  <c r="E106" i="10"/>
  <c r="G106" i="10" s="1"/>
  <c r="G105" i="10"/>
  <c r="E105" i="10"/>
  <c r="F105" i="10" s="1"/>
  <c r="F104" i="10"/>
  <c r="E104" i="10"/>
  <c r="G104" i="10" s="1"/>
  <c r="E103" i="10"/>
  <c r="G103" i="10" s="1"/>
  <c r="E102" i="10"/>
  <c r="G102" i="10" s="1"/>
  <c r="E101" i="10"/>
  <c r="G101" i="10" s="1"/>
  <c r="E100" i="10"/>
  <c r="G100" i="10" s="1"/>
  <c r="E99" i="10"/>
  <c r="G99" i="10" s="1"/>
  <c r="E98" i="10"/>
  <c r="G98" i="10" s="1"/>
  <c r="E97" i="10"/>
  <c r="G97" i="10" s="1"/>
  <c r="E96" i="10"/>
  <c r="G96" i="10" s="1"/>
  <c r="G95" i="10"/>
  <c r="E95" i="10"/>
  <c r="F95" i="10" s="1"/>
  <c r="G94" i="10"/>
  <c r="E94" i="10"/>
  <c r="F94" i="10" s="1"/>
  <c r="E93" i="10"/>
  <c r="G93" i="10" s="1"/>
  <c r="E92" i="10"/>
  <c r="E91" i="10"/>
  <c r="F91" i="10" s="1"/>
  <c r="E90" i="10"/>
  <c r="G90" i="10" s="1"/>
  <c r="G89" i="10"/>
  <c r="E89" i="10"/>
  <c r="F89" i="10" s="1"/>
  <c r="E88" i="10"/>
  <c r="G88" i="10" s="1"/>
  <c r="E87" i="10"/>
  <c r="G87" i="10" s="1"/>
  <c r="E86" i="10"/>
  <c r="G86" i="10" s="1"/>
  <c r="E85" i="10"/>
  <c r="G85" i="10" s="1"/>
  <c r="E84" i="10"/>
  <c r="G84" i="10" s="1"/>
  <c r="E83" i="10"/>
  <c r="G83" i="10" s="1"/>
  <c r="E82" i="10"/>
  <c r="G82" i="10" s="1"/>
  <c r="E81" i="10"/>
  <c r="G81" i="10" s="1"/>
  <c r="E80" i="10"/>
  <c r="G80" i="10" s="1"/>
  <c r="E79" i="10"/>
  <c r="F79" i="10" s="1"/>
  <c r="E78" i="10"/>
  <c r="F78" i="10" s="1"/>
  <c r="E77" i="10"/>
  <c r="G77" i="10" s="1"/>
  <c r="E76" i="10"/>
  <c r="E75" i="10"/>
  <c r="G75" i="10" s="1"/>
  <c r="E74" i="10"/>
  <c r="G74" i="10" s="1"/>
  <c r="E73" i="10"/>
  <c r="G73" i="10" s="1"/>
  <c r="E72" i="10"/>
  <c r="G72" i="10" s="1"/>
  <c r="E71" i="10"/>
  <c r="G71" i="10" s="1"/>
  <c r="G70" i="10"/>
  <c r="E70" i="10"/>
  <c r="F70" i="10" s="1"/>
  <c r="E69" i="10"/>
  <c r="G69" i="10" s="1"/>
  <c r="E68" i="10"/>
  <c r="G68" i="10" s="1"/>
  <c r="E67" i="10"/>
  <c r="G67" i="10" s="1"/>
  <c r="E66" i="10"/>
  <c r="G66" i="10" s="1"/>
  <c r="E65" i="10"/>
  <c r="G65" i="10" s="1"/>
  <c r="E64" i="10"/>
  <c r="G64" i="10" s="1"/>
  <c r="E63" i="10"/>
  <c r="F63" i="10" s="1"/>
  <c r="G62" i="10"/>
  <c r="F62" i="10"/>
  <c r="E62" i="10"/>
  <c r="E61" i="10"/>
  <c r="G61" i="10" s="1"/>
  <c r="E60" i="10"/>
  <c r="F59" i="10"/>
  <c r="E59" i="10"/>
  <c r="G59" i="10" s="1"/>
  <c r="E58" i="10"/>
  <c r="G58" i="10" s="1"/>
  <c r="E57" i="10"/>
  <c r="G57" i="10" s="1"/>
  <c r="F56" i="10"/>
  <c r="E56" i="10"/>
  <c r="G56" i="10" s="1"/>
  <c r="E55" i="10"/>
  <c r="G55" i="10" s="1"/>
  <c r="G54" i="10"/>
  <c r="E54" i="10"/>
  <c r="F54" i="10" s="1"/>
  <c r="E53" i="10"/>
  <c r="G53" i="10" s="1"/>
  <c r="E52" i="10"/>
  <c r="G52" i="10" s="1"/>
  <c r="E51" i="10"/>
  <c r="G51" i="10" s="1"/>
  <c r="E50" i="10"/>
  <c r="G50" i="10" s="1"/>
  <c r="E49" i="10"/>
  <c r="G49" i="10" s="1"/>
  <c r="E48" i="10"/>
  <c r="G48" i="10" s="1"/>
  <c r="E47" i="10"/>
  <c r="F47" i="10" s="1"/>
  <c r="G46" i="10"/>
  <c r="E46" i="10"/>
  <c r="F46" i="10" s="1"/>
  <c r="E45" i="10"/>
  <c r="G45" i="10" s="1"/>
  <c r="E44" i="10"/>
  <c r="E43" i="10"/>
  <c r="G43" i="10" s="1"/>
  <c r="E42" i="10"/>
  <c r="G42" i="10" s="1"/>
  <c r="E41" i="10"/>
  <c r="G41" i="10" s="1"/>
  <c r="E40" i="10"/>
  <c r="G40" i="10" s="1"/>
  <c r="E39" i="10"/>
  <c r="G39" i="10" s="1"/>
  <c r="E38" i="10"/>
  <c r="F38" i="10" s="1"/>
  <c r="E37" i="10"/>
  <c r="G37" i="10" s="1"/>
  <c r="E36" i="10"/>
  <c r="G36" i="10" s="1"/>
  <c r="E35" i="10"/>
  <c r="G35" i="10" s="1"/>
  <c r="E34" i="10"/>
  <c r="G34" i="10" s="1"/>
  <c r="E33" i="10"/>
  <c r="G33" i="10" s="1"/>
  <c r="E32" i="10"/>
  <c r="G32" i="10" s="1"/>
  <c r="D28" i="10"/>
  <c r="E28" i="10" s="1"/>
  <c r="D27" i="10"/>
  <c r="E27" i="10" s="1"/>
  <c r="E26" i="10"/>
  <c r="G26" i="10" s="1"/>
  <c r="E25" i="10"/>
  <c r="F25" i="10" s="1"/>
  <c r="E24" i="10"/>
  <c r="G24" i="10" s="1"/>
  <c r="E23" i="10"/>
  <c r="G23" i="10" s="1"/>
  <c r="E22" i="10"/>
  <c r="G22" i="10" s="1"/>
  <c r="E21" i="10"/>
  <c r="F21" i="10" s="1"/>
  <c r="E20" i="10"/>
  <c r="G20" i="10" s="1"/>
  <c r="E19" i="10"/>
  <c r="G19" i="10" s="1"/>
  <c r="G18" i="10"/>
  <c r="E18" i="10"/>
  <c r="F18" i="10" s="1"/>
  <c r="D17" i="10"/>
  <c r="E17" i="10" s="1"/>
  <c r="E16" i="10"/>
  <c r="F16" i="10" s="1"/>
  <c r="E15" i="10"/>
  <c r="G15" i="10" s="1"/>
  <c r="E14" i="10"/>
  <c r="G14" i="10" s="1"/>
  <c r="G13" i="10"/>
  <c r="E13" i="10"/>
  <c r="F13" i="10" s="1"/>
  <c r="F12" i="10"/>
  <c r="E12" i="10"/>
  <c r="G12" i="10" s="1"/>
  <c r="F11" i="10"/>
  <c r="E11" i="10"/>
  <c r="G11" i="10" s="1"/>
  <c r="E10" i="10"/>
  <c r="E9" i="10"/>
  <c r="F9" i="10" s="1"/>
  <c r="E8" i="10"/>
  <c r="G8" i="10" s="1"/>
  <c r="G7" i="10"/>
  <c r="E7" i="10"/>
  <c r="F7" i="10" s="1"/>
  <c r="E6" i="10"/>
  <c r="E5" i="10"/>
  <c r="G5" i="10" s="1"/>
  <c r="G4" i="10"/>
  <c r="F4" i="10"/>
  <c r="E4" i="10"/>
  <c r="G217" i="9"/>
  <c r="F217" i="9"/>
  <c r="D217" i="9"/>
  <c r="G216" i="9"/>
  <c r="F216" i="9"/>
  <c r="D216" i="9"/>
  <c r="G215" i="9"/>
  <c r="F215" i="9"/>
  <c r="D215" i="9"/>
  <c r="G214" i="9"/>
  <c r="F214" i="9"/>
  <c r="D214" i="9"/>
  <c r="G213" i="9"/>
  <c r="F213" i="9"/>
  <c r="D213" i="9"/>
  <c r="G212" i="9"/>
  <c r="F212" i="9"/>
  <c r="D212" i="9"/>
  <c r="G211" i="9"/>
  <c r="F211" i="9"/>
  <c r="D211" i="9"/>
  <c r="G210" i="9"/>
  <c r="F210" i="9"/>
  <c r="D210" i="9"/>
  <c r="G209" i="9"/>
  <c r="F209" i="9"/>
  <c r="D209" i="9"/>
  <c r="G208" i="9"/>
  <c r="F208" i="9"/>
  <c r="D208" i="9"/>
  <c r="G207" i="9"/>
  <c r="F207" i="9"/>
  <c r="D207" i="9"/>
  <c r="G206" i="9"/>
  <c r="F206" i="9"/>
  <c r="D206" i="9"/>
  <c r="G205" i="9"/>
  <c r="F205" i="9"/>
  <c r="D205" i="9"/>
  <c r="G204" i="9"/>
  <c r="F204" i="9"/>
  <c r="D204" i="9"/>
  <c r="G203" i="9"/>
  <c r="F203" i="9"/>
  <c r="D203" i="9"/>
  <c r="G202" i="9"/>
  <c r="F202" i="9"/>
  <c r="D202" i="9"/>
  <c r="G201" i="9"/>
  <c r="F201" i="9"/>
  <c r="D201" i="9"/>
  <c r="G200" i="9"/>
  <c r="F200" i="9"/>
  <c r="D200" i="9"/>
  <c r="G199" i="9"/>
  <c r="F199" i="9"/>
  <c r="D199" i="9"/>
  <c r="G198" i="9"/>
  <c r="F198" i="9"/>
  <c r="D198" i="9"/>
  <c r="G197" i="9"/>
  <c r="F197" i="9"/>
  <c r="D197" i="9"/>
  <c r="G196" i="9"/>
  <c r="F196" i="9"/>
  <c r="D196" i="9"/>
  <c r="G195" i="9"/>
  <c r="F195" i="9"/>
  <c r="D195" i="9"/>
  <c r="G194" i="9"/>
  <c r="F194" i="9"/>
  <c r="D194" i="9"/>
  <c r="G193" i="9"/>
  <c r="F193" i="9"/>
  <c r="D193" i="9"/>
  <c r="G192" i="9"/>
  <c r="F192" i="9"/>
  <c r="D192" i="9"/>
  <c r="G191" i="9"/>
  <c r="F191" i="9"/>
  <c r="G190" i="9"/>
  <c r="F190" i="9"/>
  <c r="G189" i="9"/>
  <c r="F189" i="9"/>
  <c r="G188" i="9"/>
  <c r="F188" i="9"/>
  <c r="G187" i="9"/>
  <c r="F187" i="9"/>
  <c r="G186" i="9"/>
  <c r="F186" i="9"/>
  <c r="G185" i="9"/>
  <c r="F185" i="9"/>
  <c r="G184" i="9"/>
  <c r="F184" i="9"/>
  <c r="G183" i="9"/>
  <c r="F183" i="9"/>
  <c r="G182" i="9"/>
  <c r="F182" i="9"/>
  <c r="G181" i="9"/>
  <c r="F181" i="9"/>
  <c r="G180" i="9"/>
  <c r="F180" i="9"/>
  <c r="G179" i="9"/>
  <c r="F179" i="9"/>
  <c r="G178" i="9"/>
  <c r="F178" i="9"/>
  <c r="G177" i="9"/>
  <c r="F177" i="9"/>
  <c r="G176" i="9"/>
  <c r="F176" i="9"/>
  <c r="G175" i="9"/>
  <c r="F175" i="9"/>
  <c r="G174" i="9"/>
  <c r="F174" i="9"/>
  <c r="G173" i="9"/>
  <c r="F173" i="9"/>
  <c r="G172" i="9"/>
  <c r="F172" i="9"/>
  <c r="G171" i="9"/>
  <c r="F171" i="9"/>
  <c r="G170" i="9"/>
  <c r="F170" i="9"/>
  <c r="G169" i="9"/>
  <c r="F169" i="9"/>
  <c r="G168" i="9"/>
  <c r="F168" i="9"/>
  <c r="G167" i="9"/>
  <c r="F167" i="9"/>
  <c r="G166" i="9"/>
  <c r="F166" i="9"/>
  <c r="G165" i="9"/>
  <c r="F165" i="9"/>
  <c r="G164" i="9"/>
  <c r="F164" i="9"/>
  <c r="G163" i="9"/>
  <c r="F163" i="9"/>
  <c r="G162" i="9"/>
  <c r="F162" i="9"/>
  <c r="G161" i="9"/>
  <c r="F161" i="9"/>
  <c r="G160" i="9"/>
  <c r="F160" i="9"/>
  <c r="G159" i="9"/>
  <c r="F159" i="9"/>
  <c r="G158" i="9"/>
  <c r="F158" i="9"/>
  <c r="G157" i="9"/>
  <c r="F157" i="9"/>
  <c r="G156" i="9"/>
  <c r="F156" i="9"/>
  <c r="G155" i="9"/>
  <c r="F155" i="9"/>
  <c r="G154" i="9"/>
  <c r="F154" i="9"/>
  <c r="G153" i="9"/>
  <c r="F153" i="9"/>
  <c r="G152" i="9"/>
  <c r="F152" i="9"/>
  <c r="G151" i="9"/>
  <c r="F151" i="9"/>
  <c r="G150" i="9"/>
  <c r="F150" i="9"/>
  <c r="G149" i="9"/>
  <c r="F149" i="9"/>
  <c r="G148" i="9"/>
  <c r="F148" i="9"/>
  <c r="G147" i="9"/>
  <c r="F147" i="9"/>
  <c r="G146" i="9"/>
  <c r="F146" i="9"/>
  <c r="G145" i="9"/>
  <c r="F145" i="9"/>
  <c r="G144" i="9"/>
  <c r="F144" i="9"/>
  <c r="G143" i="9"/>
  <c r="F143" i="9"/>
  <c r="G142" i="9"/>
  <c r="F142" i="9"/>
  <c r="G141" i="9"/>
  <c r="F141" i="9"/>
  <c r="G140" i="9"/>
  <c r="F140" i="9"/>
  <c r="G139" i="9"/>
  <c r="F139" i="9"/>
  <c r="G138" i="9"/>
  <c r="F138" i="9"/>
  <c r="G137" i="9"/>
  <c r="F137" i="9"/>
  <c r="G136" i="9"/>
  <c r="F136" i="9"/>
  <c r="G135" i="9"/>
  <c r="F135" i="9"/>
  <c r="G134" i="9"/>
  <c r="F134" i="9"/>
  <c r="G133" i="9"/>
  <c r="F133" i="9"/>
  <c r="G132" i="9"/>
  <c r="F132" i="9"/>
  <c r="G131" i="9"/>
  <c r="F131" i="9"/>
  <c r="G130" i="9"/>
  <c r="F130" i="9"/>
  <c r="G129" i="9"/>
  <c r="F129" i="9"/>
  <c r="G128" i="9"/>
  <c r="F128" i="9"/>
  <c r="G127" i="9"/>
  <c r="F127" i="9"/>
  <c r="G126" i="9"/>
  <c r="F126" i="9"/>
  <c r="G125" i="9"/>
  <c r="F125" i="9"/>
  <c r="G124" i="9"/>
  <c r="F124" i="9"/>
  <c r="G123" i="9"/>
  <c r="F123" i="9"/>
  <c r="G122" i="9"/>
  <c r="F122" i="9"/>
  <c r="G121" i="9"/>
  <c r="F121" i="9"/>
  <c r="G120" i="9"/>
  <c r="F120" i="9"/>
  <c r="G119" i="9"/>
  <c r="F119" i="9"/>
  <c r="G118" i="9"/>
  <c r="F118" i="9"/>
  <c r="G117" i="9"/>
  <c r="F117" i="9"/>
  <c r="G116" i="9"/>
  <c r="F116" i="9"/>
  <c r="G115" i="9"/>
  <c r="F115" i="9"/>
  <c r="G114" i="9"/>
  <c r="F114" i="9"/>
  <c r="G113" i="9"/>
  <c r="F113" i="9"/>
  <c r="G112" i="9"/>
  <c r="F112" i="9"/>
  <c r="G111" i="9"/>
  <c r="F111" i="9"/>
  <c r="G110" i="9"/>
  <c r="F110" i="9"/>
  <c r="G109" i="9"/>
  <c r="F109" i="9"/>
  <c r="G108" i="9"/>
  <c r="F108" i="9"/>
  <c r="G107" i="9"/>
  <c r="F107" i="9"/>
  <c r="G106" i="9"/>
  <c r="F106" i="9"/>
  <c r="G105" i="9"/>
  <c r="F105" i="9"/>
  <c r="G104" i="9"/>
  <c r="F104" i="9"/>
  <c r="G103" i="9"/>
  <c r="F103" i="9"/>
  <c r="G102" i="9"/>
  <c r="F102" i="9"/>
  <c r="G101" i="9"/>
  <c r="F101" i="9"/>
  <c r="G100" i="9"/>
  <c r="F100" i="9"/>
  <c r="G99" i="9"/>
  <c r="F99" i="9"/>
  <c r="G98" i="9"/>
  <c r="F98" i="9"/>
  <c r="G97" i="9"/>
  <c r="F97" i="9"/>
  <c r="G96" i="9"/>
  <c r="F96" i="9"/>
  <c r="G95" i="9"/>
  <c r="F95" i="9"/>
  <c r="G94" i="9"/>
  <c r="F94" i="9"/>
  <c r="G93" i="9"/>
  <c r="F93" i="9"/>
  <c r="G92" i="9"/>
  <c r="F92" i="9"/>
  <c r="G91" i="9"/>
  <c r="F91" i="9"/>
  <c r="G90" i="9"/>
  <c r="F90" i="9"/>
  <c r="G89" i="9"/>
  <c r="F89" i="9"/>
  <c r="G88" i="9"/>
  <c r="F88" i="9"/>
  <c r="G87" i="9"/>
  <c r="F87" i="9"/>
  <c r="G86" i="9"/>
  <c r="F86" i="9"/>
  <c r="G85" i="9"/>
  <c r="F85" i="9"/>
  <c r="G84" i="9"/>
  <c r="F84" i="9"/>
  <c r="G83" i="9"/>
  <c r="F83" i="9"/>
  <c r="G82" i="9"/>
  <c r="F82" i="9"/>
  <c r="G81" i="9"/>
  <c r="F81" i="9"/>
  <c r="G80" i="9"/>
  <c r="F80" i="9"/>
  <c r="G79" i="9"/>
  <c r="F79" i="9"/>
  <c r="G78" i="9"/>
  <c r="F78" i="9"/>
  <c r="G77" i="9"/>
  <c r="F77" i="9"/>
  <c r="G76" i="9"/>
  <c r="F76" i="9"/>
  <c r="G75" i="9"/>
  <c r="F75" i="9"/>
  <c r="G74" i="9"/>
  <c r="F74" i="9"/>
  <c r="G73" i="9"/>
  <c r="F73" i="9"/>
  <c r="G72" i="9"/>
  <c r="F72" i="9"/>
  <c r="G71" i="9"/>
  <c r="F71" i="9"/>
  <c r="G70" i="9"/>
  <c r="F70" i="9"/>
  <c r="G69" i="9"/>
  <c r="F69" i="9"/>
  <c r="G68" i="9"/>
  <c r="F68" i="9"/>
  <c r="G67" i="9"/>
  <c r="F67" i="9"/>
  <c r="G66" i="9"/>
  <c r="F66" i="9"/>
  <c r="G65" i="9"/>
  <c r="F65" i="9"/>
  <c r="G64" i="9"/>
  <c r="F64" i="9"/>
  <c r="G63" i="9"/>
  <c r="F63" i="9"/>
  <c r="G62" i="9"/>
  <c r="F62" i="9"/>
  <c r="G61" i="9"/>
  <c r="F61" i="9"/>
  <c r="G60" i="9"/>
  <c r="F60" i="9"/>
  <c r="G59" i="9"/>
  <c r="F59" i="9"/>
  <c r="G58" i="9"/>
  <c r="F58" i="9"/>
  <c r="G57" i="9"/>
  <c r="F57" i="9"/>
  <c r="G56" i="9"/>
  <c r="F56" i="9"/>
  <c r="G55" i="9"/>
  <c r="F55" i="9"/>
  <c r="G54" i="9"/>
  <c r="F54" i="9"/>
  <c r="G53" i="9"/>
  <c r="F53" i="9"/>
  <c r="G52" i="9"/>
  <c r="F52" i="9"/>
  <c r="G51" i="9"/>
  <c r="F51" i="9"/>
  <c r="G50" i="9"/>
  <c r="F50" i="9"/>
  <c r="G49" i="9"/>
  <c r="F49" i="9"/>
  <c r="G48" i="9"/>
  <c r="F48" i="9"/>
  <c r="G47" i="9"/>
  <c r="F47" i="9"/>
  <c r="G46" i="9"/>
  <c r="F46" i="9"/>
  <c r="G45" i="9"/>
  <c r="F45" i="9"/>
  <c r="G44" i="9"/>
  <c r="F44" i="9"/>
  <c r="G43" i="9"/>
  <c r="F43" i="9"/>
  <c r="G42" i="9"/>
  <c r="F42" i="9"/>
  <c r="G41" i="9"/>
  <c r="F41" i="9"/>
  <c r="G40" i="9"/>
  <c r="F40" i="9"/>
  <c r="G39" i="9"/>
  <c r="F39" i="9"/>
  <c r="G38" i="9"/>
  <c r="F38" i="9"/>
  <c r="G37" i="9"/>
  <c r="F37" i="9"/>
  <c r="G36" i="9"/>
  <c r="F36" i="9"/>
  <c r="G35" i="9"/>
  <c r="F35" i="9"/>
  <c r="G34" i="9"/>
  <c r="F34" i="9"/>
  <c r="G33" i="9"/>
  <c r="F33" i="9"/>
  <c r="G32" i="9"/>
  <c r="F32" i="9"/>
  <c r="G31" i="9"/>
  <c r="F31" i="9"/>
  <c r="G27" i="9"/>
  <c r="F27" i="9"/>
  <c r="D27" i="9"/>
  <c r="G26" i="9"/>
  <c r="F26" i="9"/>
  <c r="G25" i="9"/>
  <c r="F25" i="9"/>
  <c r="G24" i="9"/>
  <c r="F24" i="9"/>
  <c r="G23" i="9"/>
  <c r="F23" i="9"/>
  <c r="G22" i="9"/>
  <c r="F22" i="9"/>
  <c r="G21" i="9"/>
  <c r="F21" i="9"/>
  <c r="G20" i="9"/>
  <c r="F20" i="9"/>
  <c r="G19" i="9"/>
  <c r="F19" i="9"/>
  <c r="G18" i="9"/>
  <c r="F18" i="9"/>
  <c r="G17" i="9"/>
  <c r="F17" i="9"/>
  <c r="D17" i="9"/>
  <c r="G16" i="9"/>
  <c r="F16" i="9"/>
  <c r="G15" i="9"/>
  <c r="F15" i="9"/>
  <c r="G14" i="9"/>
  <c r="F14" i="9"/>
  <c r="G13" i="9"/>
  <c r="F13" i="9"/>
  <c r="G12" i="9"/>
  <c r="F12" i="9"/>
  <c r="G11" i="9"/>
  <c r="F11" i="9"/>
  <c r="G10" i="9"/>
  <c r="F10" i="9"/>
  <c r="G9" i="9"/>
  <c r="F9" i="9"/>
  <c r="G8" i="9"/>
  <c r="F8" i="9"/>
  <c r="G7" i="9"/>
  <c r="F7" i="9"/>
  <c r="G6" i="9"/>
  <c r="F6" i="9"/>
  <c r="G5" i="9"/>
  <c r="F5" i="9"/>
  <c r="G4" i="9"/>
  <c r="F4" i="9"/>
  <c r="G191" i="8"/>
  <c r="F191" i="8"/>
  <c r="E191" i="8"/>
  <c r="G190" i="8"/>
  <c r="F190" i="8"/>
  <c r="E190" i="8"/>
  <c r="F189" i="8"/>
  <c r="E189" i="8"/>
  <c r="G189" i="8" s="1"/>
  <c r="E188" i="8"/>
  <c r="G187" i="8"/>
  <c r="F187" i="8"/>
  <c r="E187" i="8"/>
  <c r="F186" i="8"/>
  <c r="E186" i="8"/>
  <c r="G186" i="8" s="1"/>
  <c r="F185" i="8"/>
  <c r="E185" i="8"/>
  <c r="G185" i="8" s="1"/>
  <c r="E184" i="8"/>
  <c r="E183" i="8"/>
  <c r="G183" i="8" s="1"/>
  <c r="G182" i="8"/>
  <c r="F182" i="8"/>
  <c r="E182" i="8"/>
  <c r="E181" i="8"/>
  <c r="G181" i="8" s="1"/>
  <c r="E180" i="8"/>
  <c r="G180" i="8" s="1"/>
  <c r="E179" i="8"/>
  <c r="G179" i="8" s="1"/>
  <c r="G178" i="8"/>
  <c r="E178" i="8"/>
  <c r="F178" i="8" s="1"/>
  <c r="F177" i="8"/>
  <c r="E177" i="8"/>
  <c r="G177" i="8" s="1"/>
  <c r="G176" i="8"/>
  <c r="E176" i="8"/>
  <c r="F176" i="8" s="1"/>
  <c r="G175" i="8"/>
  <c r="F175" i="8"/>
  <c r="E175" i="8"/>
  <c r="G174" i="8"/>
  <c r="F174" i="8"/>
  <c r="E174" i="8"/>
  <c r="F173" i="8"/>
  <c r="E173" i="8"/>
  <c r="G173" i="8" s="1"/>
  <c r="E172" i="8"/>
  <c r="G171" i="8"/>
  <c r="F171" i="8"/>
  <c r="E171" i="8"/>
  <c r="F170" i="8"/>
  <c r="E170" i="8"/>
  <c r="G170" i="8" s="1"/>
  <c r="F169" i="8"/>
  <c r="E169" i="8"/>
  <c r="G169" i="8" s="1"/>
  <c r="E168" i="8"/>
  <c r="E167" i="8"/>
  <c r="G167" i="8" s="1"/>
  <c r="G166" i="8"/>
  <c r="F166" i="8"/>
  <c r="E166" i="8"/>
  <c r="E165" i="8"/>
  <c r="G165" i="8" s="1"/>
  <c r="E164" i="8"/>
  <c r="G164" i="8" s="1"/>
  <c r="E163" i="8"/>
  <c r="G163" i="8" s="1"/>
  <c r="G162" i="8"/>
  <c r="E162" i="8"/>
  <c r="F162" i="8" s="1"/>
  <c r="E161" i="8"/>
  <c r="G161" i="8" s="1"/>
  <c r="G160" i="8"/>
  <c r="E160" i="8"/>
  <c r="F160" i="8" s="1"/>
  <c r="G159" i="8"/>
  <c r="F159" i="8"/>
  <c r="E159" i="8"/>
  <c r="G158" i="8"/>
  <c r="F158" i="8"/>
  <c r="E158" i="8"/>
  <c r="F157" i="8"/>
  <c r="E157" i="8"/>
  <c r="G157" i="8" s="1"/>
  <c r="E156" i="8"/>
  <c r="G155" i="8"/>
  <c r="F155" i="8"/>
  <c r="E155" i="8"/>
  <c r="F154" i="8"/>
  <c r="E154" i="8"/>
  <c r="G154" i="8" s="1"/>
  <c r="F153" i="8"/>
  <c r="E153" i="8"/>
  <c r="G153" i="8" s="1"/>
  <c r="E152" i="8"/>
  <c r="E151" i="8"/>
  <c r="G151" i="8" s="1"/>
  <c r="G150" i="8"/>
  <c r="F150" i="8"/>
  <c r="E150" i="8"/>
  <c r="E149" i="8"/>
  <c r="G149" i="8" s="1"/>
  <c r="E148" i="8"/>
  <c r="G148" i="8" s="1"/>
  <c r="E147" i="8"/>
  <c r="G147" i="8" s="1"/>
  <c r="G146" i="8"/>
  <c r="E146" i="8"/>
  <c r="F146" i="8" s="1"/>
  <c r="E145" i="8"/>
  <c r="G145" i="8" s="1"/>
  <c r="G144" i="8"/>
  <c r="E144" i="8"/>
  <c r="F144" i="8" s="1"/>
  <c r="G143" i="8"/>
  <c r="E143" i="8"/>
  <c r="F143" i="8" s="1"/>
  <c r="G142" i="8"/>
  <c r="F142" i="8"/>
  <c r="E142" i="8"/>
  <c r="F141" i="8"/>
  <c r="E141" i="8"/>
  <c r="G141" i="8" s="1"/>
  <c r="E140" i="8"/>
  <c r="G139" i="8"/>
  <c r="F139" i="8"/>
  <c r="E139" i="8"/>
  <c r="F138" i="8"/>
  <c r="E138" i="8"/>
  <c r="G138" i="8" s="1"/>
  <c r="F137" i="8"/>
  <c r="E137" i="8"/>
  <c r="G137" i="8" s="1"/>
  <c r="E136" i="8"/>
  <c r="E135" i="8"/>
  <c r="G135" i="8" s="1"/>
  <c r="G134" i="8"/>
  <c r="F134" i="8"/>
  <c r="E134" i="8"/>
  <c r="E133" i="8"/>
  <c r="G133" i="8" s="1"/>
  <c r="E132" i="8"/>
  <c r="G132" i="8" s="1"/>
  <c r="E131" i="8"/>
  <c r="G131" i="8" s="1"/>
  <c r="G130" i="8"/>
  <c r="E130" i="8"/>
  <c r="F130" i="8" s="1"/>
  <c r="F129" i="8"/>
  <c r="E129" i="8"/>
  <c r="G129" i="8" s="1"/>
  <c r="G128" i="8"/>
  <c r="E128" i="8"/>
  <c r="F128" i="8" s="1"/>
  <c r="G127" i="8"/>
  <c r="E127" i="8"/>
  <c r="F127" i="8" s="1"/>
  <c r="G126" i="8"/>
  <c r="F126" i="8"/>
  <c r="E126" i="8"/>
  <c r="F125" i="8"/>
  <c r="E125" i="8"/>
  <c r="G125" i="8" s="1"/>
  <c r="E124" i="8"/>
  <c r="G123" i="8"/>
  <c r="F123" i="8"/>
  <c r="E123" i="8"/>
  <c r="F122" i="8"/>
  <c r="E122" i="8"/>
  <c r="G122" i="8" s="1"/>
  <c r="F121" i="8"/>
  <c r="E121" i="8"/>
  <c r="G121" i="8" s="1"/>
  <c r="E120" i="8"/>
  <c r="E119" i="8"/>
  <c r="G119" i="8" s="1"/>
  <c r="G118" i="8"/>
  <c r="F118" i="8"/>
  <c r="E118" i="8"/>
  <c r="E117" i="8"/>
  <c r="G117" i="8" s="1"/>
  <c r="E116" i="8"/>
  <c r="G116" i="8" s="1"/>
  <c r="E115" i="8"/>
  <c r="G115" i="8" s="1"/>
  <c r="G114" i="8"/>
  <c r="E114" i="8"/>
  <c r="F114" i="8" s="1"/>
  <c r="E113" i="8"/>
  <c r="G113" i="8" s="1"/>
  <c r="G112" i="8"/>
  <c r="E112" i="8"/>
  <c r="F112" i="8" s="1"/>
  <c r="G111" i="8"/>
  <c r="E111" i="8"/>
  <c r="F111" i="8" s="1"/>
  <c r="G110" i="8"/>
  <c r="E110" i="8"/>
  <c r="F110" i="8" s="1"/>
  <c r="F109" i="8"/>
  <c r="E109" i="8"/>
  <c r="G109" i="8" s="1"/>
  <c r="E108" i="8"/>
  <c r="G107" i="8"/>
  <c r="F107" i="8"/>
  <c r="E107" i="8"/>
  <c r="F106" i="8"/>
  <c r="E106" i="8"/>
  <c r="G106" i="8" s="1"/>
  <c r="E105" i="8"/>
  <c r="G105" i="8" s="1"/>
  <c r="E104" i="8"/>
  <c r="E103" i="8"/>
  <c r="G103" i="8" s="1"/>
  <c r="G102" i="8"/>
  <c r="F102" i="8"/>
  <c r="E102" i="8"/>
  <c r="E101" i="8"/>
  <c r="G101" i="8" s="1"/>
  <c r="E100" i="8"/>
  <c r="G100" i="8" s="1"/>
  <c r="E99" i="8"/>
  <c r="G99" i="8" s="1"/>
  <c r="G98" i="8"/>
  <c r="E98" i="8"/>
  <c r="F98" i="8" s="1"/>
  <c r="F97" i="8"/>
  <c r="E97" i="8"/>
  <c r="G97" i="8" s="1"/>
  <c r="G96" i="8"/>
  <c r="E96" i="8"/>
  <c r="F96" i="8" s="1"/>
  <c r="G95" i="8"/>
  <c r="E95" i="8"/>
  <c r="F95" i="8" s="1"/>
  <c r="E94" i="8"/>
  <c r="G94" i="8" s="1"/>
  <c r="F93" i="8"/>
  <c r="E93" i="8"/>
  <c r="G93" i="8" s="1"/>
  <c r="E92" i="8"/>
  <c r="G91" i="8"/>
  <c r="F91" i="8"/>
  <c r="E91" i="8"/>
  <c r="F90" i="8"/>
  <c r="E90" i="8"/>
  <c r="G90" i="8" s="1"/>
  <c r="F89" i="8"/>
  <c r="E89" i="8"/>
  <c r="G89" i="8" s="1"/>
  <c r="E88" i="8"/>
  <c r="E87" i="8"/>
  <c r="G87" i="8" s="1"/>
  <c r="G86" i="8"/>
  <c r="F86" i="8"/>
  <c r="E86" i="8"/>
  <c r="E85" i="8"/>
  <c r="G85" i="8" s="1"/>
  <c r="E84" i="8"/>
  <c r="G84" i="8" s="1"/>
  <c r="E83" i="8"/>
  <c r="G83" i="8" s="1"/>
  <c r="G82" i="8"/>
  <c r="E82" i="8"/>
  <c r="F82" i="8" s="1"/>
  <c r="E81" i="8"/>
  <c r="G81" i="8" s="1"/>
  <c r="G80" i="8"/>
  <c r="E80" i="8"/>
  <c r="F80" i="8" s="1"/>
  <c r="G79" i="8"/>
  <c r="E79" i="8"/>
  <c r="F79" i="8" s="1"/>
  <c r="G78" i="8"/>
  <c r="E78" i="8"/>
  <c r="F78" i="8" s="1"/>
  <c r="F77" i="8"/>
  <c r="E77" i="8"/>
  <c r="G77" i="8" s="1"/>
  <c r="E76" i="8"/>
  <c r="G75" i="8"/>
  <c r="F75" i="8"/>
  <c r="E75" i="8"/>
  <c r="F74" i="8"/>
  <c r="E74" i="8"/>
  <c r="G74" i="8" s="1"/>
  <c r="E73" i="8"/>
  <c r="G73" i="8" s="1"/>
  <c r="E72" i="8"/>
  <c r="E71" i="8"/>
  <c r="G71" i="8" s="1"/>
  <c r="G70" i="8"/>
  <c r="F70" i="8"/>
  <c r="E70" i="8"/>
  <c r="E69" i="8"/>
  <c r="G69" i="8" s="1"/>
  <c r="E68" i="8"/>
  <c r="G68" i="8" s="1"/>
  <c r="E67" i="8"/>
  <c r="G67" i="8" s="1"/>
  <c r="G66" i="8"/>
  <c r="E66" i="8"/>
  <c r="F66" i="8" s="1"/>
  <c r="E65" i="8"/>
  <c r="G65" i="8" s="1"/>
  <c r="G64" i="8"/>
  <c r="E64" i="8"/>
  <c r="F64" i="8" s="1"/>
  <c r="G63" i="8"/>
  <c r="E63" i="8"/>
  <c r="F63" i="8" s="1"/>
  <c r="E62" i="8"/>
  <c r="G62" i="8" s="1"/>
  <c r="F61" i="8"/>
  <c r="E61" i="8"/>
  <c r="G61" i="8" s="1"/>
  <c r="E60" i="8"/>
  <c r="G59" i="8"/>
  <c r="F59" i="8"/>
  <c r="E59" i="8"/>
  <c r="F58" i="8"/>
  <c r="E58" i="8"/>
  <c r="G58" i="8" s="1"/>
  <c r="G57" i="8"/>
  <c r="F57" i="8"/>
  <c r="E57" i="8"/>
  <c r="E56" i="8"/>
  <c r="E55" i="8"/>
  <c r="G55" i="8" s="1"/>
  <c r="G54" i="8"/>
  <c r="F54" i="8"/>
  <c r="E54" i="8"/>
  <c r="E53" i="8"/>
  <c r="G53" i="8" s="1"/>
  <c r="E52" i="8"/>
  <c r="G52" i="8" s="1"/>
  <c r="E51" i="8"/>
  <c r="G51" i="8" s="1"/>
  <c r="G50" i="8"/>
  <c r="E50" i="8"/>
  <c r="F50" i="8" s="1"/>
  <c r="E49" i="8"/>
  <c r="G49" i="8" s="1"/>
  <c r="G48" i="8"/>
  <c r="E48" i="8"/>
  <c r="F48" i="8" s="1"/>
  <c r="G47" i="8"/>
  <c r="E47" i="8"/>
  <c r="F47" i="8" s="1"/>
  <c r="G46" i="8"/>
  <c r="E46" i="8"/>
  <c r="F46" i="8" s="1"/>
  <c r="F45" i="8"/>
  <c r="E45" i="8"/>
  <c r="G45" i="8" s="1"/>
  <c r="E44" i="8"/>
  <c r="G43" i="8"/>
  <c r="F43" i="8"/>
  <c r="E43" i="8"/>
  <c r="F42" i="8"/>
  <c r="E42" i="8"/>
  <c r="G42" i="8" s="1"/>
  <c r="G41" i="8"/>
  <c r="F41" i="8"/>
  <c r="E41" i="8"/>
  <c r="E40" i="8"/>
  <c r="E39" i="8"/>
  <c r="G39" i="8" s="1"/>
  <c r="G38" i="8"/>
  <c r="F38" i="8"/>
  <c r="E38" i="8"/>
  <c r="E37" i="8"/>
  <c r="G37" i="8" s="1"/>
  <c r="E36" i="8"/>
  <c r="G36" i="8" s="1"/>
  <c r="E35" i="8"/>
  <c r="G35" i="8" s="1"/>
  <c r="G34" i="8"/>
  <c r="E34" i="8"/>
  <c r="F34" i="8" s="1"/>
  <c r="E33" i="8"/>
  <c r="G33" i="8" s="1"/>
  <c r="G32" i="8"/>
  <c r="E32" i="8"/>
  <c r="F32" i="8" s="1"/>
  <c r="G31" i="8"/>
  <c r="E31" i="8"/>
  <c r="F31" i="8" s="1"/>
  <c r="E26" i="8"/>
  <c r="G26" i="8" s="1"/>
  <c r="F25" i="8"/>
  <c r="E25" i="8"/>
  <c r="G25" i="8" s="1"/>
  <c r="E24" i="8"/>
  <c r="G23" i="8"/>
  <c r="F23" i="8"/>
  <c r="E23" i="8"/>
  <c r="F22" i="8"/>
  <c r="E22" i="8"/>
  <c r="G22" i="8" s="1"/>
  <c r="G21" i="8"/>
  <c r="F21" i="8"/>
  <c r="E21" i="8"/>
  <c r="E20" i="8"/>
  <c r="E19" i="8"/>
  <c r="G19" i="8" s="1"/>
  <c r="G18" i="8"/>
  <c r="F18" i="8"/>
  <c r="E18" i="8"/>
  <c r="E17" i="8"/>
  <c r="G17" i="8" s="1"/>
  <c r="D17" i="8"/>
  <c r="G16" i="8"/>
  <c r="F16" i="8"/>
  <c r="E16" i="8"/>
  <c r="E15" i="8"/>
  <c r="E14" i="8"/>
  <c r="G14" i="8" s="1"/>
  <c r="G13" i="8"/>
  <c r="F13" i="8"/>
  <c r="G12" i="8"/>
  <c r="E12" i="8"/>
  <c r="F12" i="8" s="1"/>
  <c r="G11" i="8"/>
  <c r="E11" i="8"/>
  <c r="F11" i="8" s="1"/>
  <c r="E10" i="8"/>
  <c r="G10" i="8" s="1"/>
  <c r="F9" i="8"/>
  <c r="E9" i="8"/>
  <c r="G9" i="8" s="1"/>
  <c r="E8" i="8"/>
  <c r="G7" i="8"/>
  <c r="F7" i="8"/>
  <c r="E7" i="8"/>
  <c r="F6" i="8"/>
  <c r="E6" i="8"/>
  <c r="G6" i="8" s="1"/>
  <c r="G5" i="8"/>
  <c r="F5" i="8"/>
  <c r="E5" i="8"/>
  <c r="E4" i="8"/>
  <c r="G191" i="7"/>
  <c r="F191" i="7"/>
  <c r="G190" i="7"/>
  <c r="F190" i="7"/>
  <c r="G189" i="7"/>
  <c r="F189" i="7"/>
  <c r="G188" i="7"/>
  <c r="F188" i="7"/>
  <c r="G186" i="7"/>
  <c r="F186" i="7"/>
  <c r="G183" i="7"/>
  <c r="G182" i="7"/>
  <c r="F182" i="7"/>
  <c r="G181" i="7"/>
  <c r="F181" i="7"/>
  <c r="G180" i="7"/>
  <c r="F180" i="7"/>
  <c r="G179" i="7"/>
  <c r="F179" i="7"/>
  <c r="G178" i="7"/>
  <c r="F178" i="7"/>
  <c r="G177" i="7"/>
  <c r="F177" i="7"/>
  <c r="G176" i="7"/>
  <c r="F176" i="7"/>
  <c r="G174" i="7"/>
  <c r="F174" i="7"/>
  <c r="G171" i="7"/>
  <c r="G170" i="7"/>
  <c r="F170" i="7"/>
  <c r="G169" i="7"/>
  <c r="F169" i="7"/>
  <c r="G168" i="7"/>
  <c r="F168" i="7"/>
  <c r="G167" i="7"/>
  <c r="F167" i="7"/>
  <c r="G166" i="7"/>
  <c r="F166" i="7"/>
  <c r="G165" i="7"/>
  <c r="F165" i="7"/>
  <c r="G164" i="7"/>
  <c r="F164" i="7"/>
  <c r="G162" i="7"/>
  <c r="F162" i="7"/>
  <c r="G159" i="7"/>
  <c r="G158" i="7"/>
  <c r="F158" i="7"/>
  <c r="G157" i="7"/>
  <c r="F157" i="7"/>
  <c r="G156" i="7"/>
  <c r="F156" i="7"/>
  <c r="G155" i="7"/>
  <c r="F155" i="7"/>
  <c r="G154" i="7"/>
  <c r="F154" i="7"/>
  <c r="G153" i="7"/>
  <c r="F153" i="7"/>
  <c r="G152" i="7"/>
  <c r="F152" i="7"/>
  <c r="G150" i="7"/>
  <c r="F150" i="7"/>
  <c r="G147" i="7"/>
  <c r="G146" i="7"/>
  <c r="F146" i="7"/>
  <c r="G145" i="7"/>
  <c r="F145" i="7"/>
  <c r="G144" i="7"/>
  <c r="F144" i="7"/>
  <c r="G143" i="7"/>
  <c r="F143" i="7"/>
  <c r="G142" i="7"/>
  <c r="F142" i="7"/>
  <c r="G141" i="7"/>
  <c r="F141" i="7"/>
  <c r="G140" i="7"/>
  <c r="F140" i="7"/>
  <c r="G138" i="7"/>
  <c r="F138" i="7"/>
  <c r="G135" i="7"/>
  <c r="G134" i="7"/>
  <c r="F134" i="7"/>
  <c r="G133" i="7"/>
  <c r="F133" i="7"/>
  <c r="G132" i="7"/>
  <c r="F132" i="7"/>
  <c r="G131" i="7"/>
  <c r="F131" i="7"/>
  <c r="G130" i="7"/>
  <c r="F130" i="7"/>
  <c r="G129" i="7"/>
  <c r="F129" i="7"/>
  <c r="G128" i="7"/>
  <c r="F128" i="7"/>
  <c r="G126" i="7"/>
  <c r="F126" i="7"/>
  <c r="G123" i="7"/>
  <c r="G122" i="7"/>
  <c r="F122" i="7"/>
  <c r="G121" i="7"/>
  <c r="F121" i="7"/>
  <c r="G120" i="7"/>
  <c r="F120" i="7"/>
  <c r="G119" i="7"/>
  <c r="F119" i="7"/>
  <c r="G118" i="7"/>
  <c r="F118" i="7"/>
  <c r="G117" i="7"/>
  <c r="F117" i="7"/>
  <c r="G116" i="7"/>
  <c r="F116" i="7"/>
  <c r="G114" i="7"/>
  <c r="F114" i="7"/>
  <c r="G111" i="7"/>
  <c r="F102" i="7"/>
  <c r="G97" i="7"/>
  <c r="G96" i="7"/>
  <c r="F96" i="7"/>
  <c r="G95" i="7"/>
  <c r="F95" i="7"/>
  <c r="G94" i="7"/>
  <c r="F94" i="7"/>
  <c r="G85" i="7"/>
  <c r="G84" i="7"/>
  <c r="F84" i="7"/>
  <c r="G83" i="7"/>
  <c r="F83" i="7"/>
  <c r="G82" i="7"/>
  <c r="F82" i="7"/>
  <c r="G66" i="7"/>
  <c r="F66" i="7"/>
  <c r="G44" i="7"/>
  <c r="F44" i="7"/>
  <c r="G33" i="7"/>
  <c r="F33" i="7"/>
  <c r="G32" i="7"/>
  <c r="F32" i="7"/>
  <c r="F31" i="7"/>
  <c r="G27" i="7"/>
  <c r="F27" i="7"/>
  <c r="G22" i="7"/>
  <c r="F22" i="7"/>
  <c r="G21" i="7"/>
  <c r="F21" i="7"/>
  <c r="G19" i="7"/>
  <c r="F19" i="7"/>
  <c r="F18" i="7"/>
  <c r="G17" i="7"/>
  <c r="F17" i="7"/>
  <c r="D17" i="7"/>
  <c r="U13" i="7"/>
  <c r="U12" i="7"/>
  <c r="G12" i="7"/>
  <c r="F12" i="7"/>
  <c r="G5" i="7"/>
  <c r="F5" i="7"/>
  <c r="D217" i="6"/>
  <c r="D216" i="6"/>
  <c r="D215" i="6"/>
  <c r="D214" i="6"/>
  <c r="D213" i="6"/>
  <c r="D212" i="6"/>
  <c r="D211" i="6"/>
  <c r="D210" i="6"/>
  <c r="D209" i="6"/>
  <c r="D208" i="6"/>
  <c r="D207" i="6"/>
  <c r="D206" i="6"/>
  <c r="D205" i="6"/>
  <c r="D204" i="6"/>
  <c r="D203" i="6"/>
  <c r="D202" i="6"/>
  <c r="G201" i="6"/>
  <c r="F201" i="6"/>
  <c r="D201" i="6"/>
  <c r="G200" i="6"/>
  <c r="F200" i="6"/>
  <c r="D200" i="6"/>
  <c r="G199" i="6"/>
  <c r="F199" i="6"/>
  <c r="D199" i="6"/>
  <c r="G198" i="6"/>
  <c r="F198" i="6"/>
  <c r="D198" i="6"/>
  <c r="G197" i="6"/>
  <c r="F197" i="6"/>
  <c r="D197" i="6"/>
  <c r="G196" i="6"/>
  <c r="F196" i="6"/>
  <c r="D196" i="6"/>
  <c r="G195" i="6"/>
  <c r="F195" i="6"/>
  <c r="D195" i="6"/>
  <c r="G194" i="6"/>
  <c r="F194" i="6"/>
  <c r="D194" i="6"/>
  <c r="G193" i="6"/>
  <c r="F193" i="6"/>
  <c r="D193" i="6"/>
  <c r="G192" i="6"/>
  <c r="F192" i="6"/>
  <c r="D192" i="6"/>
  <c r="G191" i="6"/>
  <c r="F191" i="6"/>
  <c r="G190" i="6"/>
  <c r="F190" i="6"/>
  <c r="G189" i="6"/>
  <c r="F189" i="6"/>
  <c r="G188" i="6"/>
  <c r="F188" i="6"/>
  <c r="G187" i="6"/>
  <c r="F187" i="6"/>
  <c r="G186" i="6"/>
  <c r="F186" i="6"/>
  <c r="G185" i="6"/>
  <c r="F185" i="6"/>
  <c r="G184" i="6"/>
  <c r="F184" i="6"/>
  <c r="G183" i="6"/>
  <c r="F183" i="6"/>
  <c r="G182" i="6"/>
  <c r="F182" i="6"/>
  <c r="G181" i="6"/>
  <c r="F181" i="6"/>
  <c r="G180" i="6"/>
  <c r="F180" i="6"/>
  <c r="G179" i="6"/>
  <c r="F179" i="6"/>
  <c r="G178" i="6"/>
  <c r="F178" i="6"/>
  <c r="G177" i="6"/>
  <c r="F177" i="6"/>
  <c r="G176" i="6"/>
  <c r="F176" i="6"/>
  <c r="G175" i="6"/>
  <c r="F175" i="6"/>
  <c r="G174" i="6"/>
  <c r="F174" i="6"/>
  <c r="G173" i="6"/>
  <c r="F173" i="6"/>
  <c r="G172" i="6"/>
  <c r="F172" i="6"/>
  <c r="G171" i="6"/>
  <c r="F171" i="6"/>
  <c r="G170" i="6"/>
  <c r="F170" i="6"/>
  <c r="G169" i="6"/>
  <c r="F169" i="6"/>
  <c r="G168" i="6"/>
  <c r="F168" i="6"/>
  <c r="G167" i="6"/>
  <c r="F167" i="6"/>
  <c r="G166" i="6"/>
  <c r="F166" i="6"/>
  <c r="G165" i="6"/>
  <c r="F165" i="6"/>
  <c r="G164" i="6"/>
  <c r="F164" i="6"/>
  <c r="G163" i="6"/>
  <c r="F163" i="6"/>
  <c r="G162" i="6"/>
  <c r="F162" i="6"/>
  <c r="G161" i="6"/>
  <c r="F161" i="6"/>
  <c r="G160" i="6"/>
  <c r="F160" i="6"/>
  <c r="G159" i="6"/>
  <c r="F159" i="6"/>
  <c r="G158" i="6"/>
  <c r="F158" i="6"/>
  <c r="G157" i="6"/>
  <c r="F157" i="6"/>
  <c r="G156" i="6"/>
  <c r="F156" i="6"/>
  <c r="G155" i="6"/>
  <c r="F155" i="6"/>
  <c r="G154" i="6"/>
  <c r="F154" i="6"/>
  <c r="G153" i="6"/>
  <c r="F153" i="6"/>
  <c r="G152" i="6"/>
  <c r="F152" i="6"/>
  <c r="G151" i="6"/>
  <c r="F151" i="6"/>
  <c r="G150" i="6"/>
  <c r="F150" i="6"/>
  <c r="G149" i="6"/>
  <c r="F149" i="6"/>
  <c r="G148" i="6"/>
  <c r="F148" i="6"/>
  <c r="G147" i="6"/>
  <c r="F147" i="6"/>
  <c r="G146" i="6"/>
  <c r="F146" i="6"/>
  <c r="G145" i="6"/>
  <c r="F145" i="6"/>
  <c r="G144" i="6"/>
  <c r="F144" i="6"/>
  <c r="G143" i="6"/>
  <c r="F143" i="6"/>
  <c r="G142" i="6"/>
  <c r="F142" i="6"/>
  <c r="G141" i="6"/>
  <c r="F141" i="6"/>
  <c r="G140" i="6"/>
  <c r="F140" i="6"/>
  <c r="G139" i="6"/>
  <c r="F139" i="6"/>
  <c r="G138" i="6"/>
  <c r="F138" i="6"/>
  <c r="G137" i="6"/>
  <c r="F137" i="6"/>
  <c r="G136" i="6"/>
  <c r="F136" i="6"/>
  <c r="G135" i="6"/>
  <c r="F135" i="6"/>
  <c r="G134" i="6"/>
  <c r="F134" i="6"/>
  <c r="G133" i="6"/>
  <c r="F133" i="6"/>
  <c r="G132" i="6"/>
  <c r="F132" i="6"/>
  <c r="G131" i="6"/>
  <c r="F131" i="6"/>
  <c r="G130" i="6"/>
  <c r="F130" i="6"/>
  <c r="G129" i="6"/>
  <c r="F129" i="6"/>
  <c r="G128" i="6"/>
  <c r="F128" i="6"/>
  <c r="G127" i="6"/>
  <c r="F127" i="6"/>
  <c r="G126" i="6"/>
  <c r="F126" i="6"/>
  <c r="G125" i="6"/>
  <c r="F125" i="6"/>
  <c r="G124" i="6"/>
  <c r="F124" i="6"/>
  <c r="G123" i="6"/>
  <c r="F123" i="6"/>
  <c r="G122" i="6"/>
  <c r="F122" i="6"/>
  <c r="G121" i="6"/>
  <c r="F121" i="6"/>
  <c r="G120" i="6"/>
  <c r="F120" i="6"/>
  <c r="G119" i="6"/>
  <c r="F119" i="6"/>
  <c r="G118" i="6"/>
  <c r="F118" i="6"/>
  <c r="G117" i="6"/>
  <c r="F117" i="6"/>
  <c r="G116" i="6"/>
  <c r="F116" i="6"/>
  <c r="G115" i="6"/>
  <c r="F115" i="6"/>
  <c r="G114" i="6"/>
  <c r="F114" i="6"/>
  <c r="G113" i="6"/>
  <c r="F113" i="6"/>
  <c r="G112" i="6"/>
  <c r="F112" i="6"/>
  <c r="G111" i="6"/>
  <c r="F111" i="6"/>
  <c r="G110" i="6"/>
  <c r="F110" i="6"/>
  <c r="G109" i="6"/>
  <c r="F109" i="6"/>
  <c r="G108" i="6"/>
  <c r="F108" i="6"/>
  <c r="G107" i="6"/>
  <c r="F107" i="6"/>
  <c r="G106" i="6"/>
  <c r="F106" i="6"/>
  <c r="G105" i="6"/>
  <c r="F105" i="6"/>
  <c r="G104" i="6"/>
  <c r="F104" i="6"/>
  <c r="G103" i="6"/>
  <c r="F103" i="6"/>
  <c r="G102" i="6"/>
  <c r="F102" i="6"/>
  <c r="G101" i="6"/>
  <c r="F101" i="6"/>
  <c r="G100" i="6"/>
  <c r="F100" i="6"/>
  <c r="G99" i="6"/>
  <c r="F99" i="6"/>
  <c r="G98" i="6"/>
  <c r="F98" i="6"/>
  <c r="G97" i="6"/>
  <c r="F97" i="6"/>
  <c r="G96" i="6"/>
  <c r="F96" i="6"/>
  <c r="G95" i="6"/>
  <c r="F95" i="6"/>
  <c r="G94" i="6"/>
  <c r="F94" i="6"/>
  <c r="G93" i="6"/>
  <c r="F93" i="6"/>
  <c r="G92" i="6"/>
  <c r="F92" i="6"/>
  <c r="G91" i="6"/>
  <c r="F91" i="6"/>
  <c r="G90" i="6"/>
  <c r="F90" i="6"/>
  <c r="G89" i="6"/>
  <c r="F89" i="6"/>
  <c r="G88" i="6"/>
  <c r="F88" i="6"/>
  <c r="G87" i="6"/>
  <c r="F87" i="6"/>
  <c r="G86" i="6"/>
  <c r="F86" i="6"/>
  <c r="G85" i="6"/>
  <c r="F85" i="6"/>
  <c r="G84" i="6"/>
  <c r="F84" i="6"/>
  <c r="G83" i="6"/>
  <c r="F83" i="6"/>
  <c r="G82" i="6"/>
  <c r="F82" i="6"/>
  <c r="G81" i="6"/>
  <c r="F81" i="6"/>
  <c r="G80" i="6"/>
  <c r="F80" i="6"/>
  <c r="G79" i="6"/>
  <c r="F79" i="6"/>
  <c r="G78" i="6"/>
  <c r="F78" i="6"/>
  <c r="G77" i="6"/>
  <c r="F77" i="6"/>
  <c r="G76" i="6"/>
  <c r="F76" i="6"/>
  <c r="G75" i="6"/>
  <c r="F75" i="6"/>
  <c r="G74" i="6"/>
  <c r="F74" i="6"/>
  <c r="G73" i="6"/>
  <c r="F73" i="6"/>
  <c r="G72" i="6"/>
  <c r="F72" i="6"/>
  <c r="G71" i="6"/>
  <c r="F71" i="6"/>
  <c r="G70" i="6"/>
  <c r="F70" i="6"/>
  <c r="G69" i="6"/>
  <c r="F69" i="6"/>
  <c r="G68" i="6"/>
  <c r="F68" i="6"/>
  <c r="G67" i="6"/>
  <c r="F67" i="6"/>
  <c r="G66" i="6"/>
  <c r="F66" i="6"/>
  <c r="G65" i="6"/>
  <c r="F65" i="6"/>
  <c r="G64" i="6"/>
  <c r="F64" i="6"/>
  <c r="G63" i="6"/>
  <c r="F63" i="6"/>
  <c r="G62" i="6"/>
  <c r="F62" i="6"/>
  <c r="G61" i="6"/>
  <c r="F61" i="6"/>
  <c r="G60" i="6"/>
  <c r="F60" i="6"/>
  <c r="G59" i="6"/>
  <c r="F59" i="6"/>
  <c r="G58" i="6"/>
  <c r="F58" i="6"/>
  <c r="G57" i="6"/>
  <c r="F57" i="6"/>
  <c r="G56" i="6"/>
  <c r="F56" i="6"/>
  <c r="G55" i="6"/>
  <c r="F55" i="6"/>
  <c r="G54" i="6"/>
  <c r="F54" i="6"/>
  <c r="G53" i="6"/>
  <c r="F53" i="6"/>
  <c r="G52" i="6"/>
  <c r="F52" i="6"/>
  <c r="G51" i="6"/>
  <c r="F51" i="6"/>
  <c r="G50" i="6"/>
  <c r="F50" i="6"/>
  <c r="G49" i="6"/>
  <c r="F49" i="6"/>
  <c r="G48" i="6"/>
  <c r="F48" i="6"/>
  <c r="G47" i="6"/>
  <c r="F47" i="6"/>
  <c r="G46" i="6"/>
  <c r="F46" i="6"/>
  <c r="G45" i="6"/>
  <c r="F45" i="6"/>
  <c r="G44" i="6"/>
  <c r="F44" i="6"/>
  <c r="G43" i="6"/>
  <c r="F43" i="6"/>
  <c r="G42" i="6"/>
  <c r="F42" i="6"/>
  <c r="G41" i="6"/>
  <c r="F41" i="6"/>
  <c r="G40" i="6"/>
  <c r="F40" i="6"/>
  <c r="G39" i="6"/>
  <c r="F39" i="6"/>
  <c r="G38" i="6"/>
  <c r="F38" i="6"/>
  <c r="G37" i="6"/>
  <c r="F37" i="6"/>
  <c r="G36" i="6"/>
  <c r="F36" i="6"/>
  <c r="G35" i="6"/>
  <c r="F35" i="6"/>
  <c r="G34" i="6"/>
  <c r="F34" i="6"/>
  <c r="G33" i="6"/>
  <c r="F33" i="6"/>
  <c r="G32" i="6"/>
  <c r="F32" i="6"/>
  <c r="G31" i="6"/>
  <c r="F31" i="6"/>
  <c r="G28" i="6"/>
  <c r="F28" i="6"/>
  <c r="D28" i="6"/>
  <c r="G27" i="6"/>
  <c r="F27" i="6"/>
  <c r="D27" i="6"/>
  <c r="G26" i="6"/>
  <c r="F26" i="6"/>
  <c r="G25" i="6"/>
  <c r="F25" i="6"/>
  <c r="G24" i="6"/>
  <c r="F24" i="6"/>
  <c r="G23" i="6"/>
  <c r="F23" i="6"/>
  <c r="G22" i="6"/>
  <c r="F22" i="6"/>
  <c r="G21" i="6"/>
  <c r="F21" i="6"/>
  <c r="G20" i="6"/>
  <c r="F20" i="6"/>
  <c r="G19" i="6"/>
  <c r="F19" i="6"/>
  <c r="G18" i="6"/>
  <c r="F18" i="6"/>
  <c r="G17" i="6"/>
  <c r="F17" i="6"/>
  <c r="D17" i="6"/>
  <c r="G16" i="6"/>
  <c r="F16" i="6"/>
  <c r="G15" i="6"/>
  <c r="F15" i="6"/>
  <c r="G14" i="6"/>
  <c r="F14" i="6"/>
  <c r="G13" i="6"/>
  <c r="F13" i="6"/>
  <c r="G12" i="6"/>
  <c r="F12" i="6"/>
  <c r="G11" i="6"/>
  <c r="F11" i="6"/>
  <c r="G10" i="6"/>
  <c r="F10" i="6"/>
  <c r="G9" i="6"/>
  <c r="F9" i="6"/>
  <c r="G8" i="6"/>
  <c r="F8" i="6"/>
  <c r="G7" i="6"/>
  <c r="F7" i="6"/>
  <c r="G6" i="6"/>
  <c r="F6" i="6"/>
  <c r="G5" i="6"/>
  <c r="F5" i="6"/>
  <c r="G4" i="6"/>
  <c r="F4" i="6"/>
  <c r="D255" i="5"/>
  <c r="D254" i="5"/>
  <c r="D253" i="5"/>
  <c r="D252" i="5"/>
  <c r="D251" i="5"/>
  <c r="D250" i="5"/>
  <c r="D249" i="5"/>
  <c r="D248" i="5"/>
  <c r="D247" i="5"/>
  <c r="D246" i="5"/>
  <c r="D245" i="5"/>
  <c r="D244" i="5"/>
  <c r="D243" i="5"/>
  <c r="D242" i="5"/>
  <c r="D241" i="5"/>
  <c r="D203" i="5"/>
  <c r="D202" i="5"/>
  <c r="D201" i="5"/>
  <c r="G200" i="5"/>
  <c r="F200" i="5"/>
  <c r="D200" i="5"/>
  <c r="D199" i="5"/>
  <c r="D198" i="5"/>
  <c r="D197" i="5"/>
  <c r="D196" i="5"/>
  <c r="G195" i="5"/>
  <c r="F195" i="5"/>
  <c r="D195" i="5"/>
  <c r="D194" i="5"/>
  <c r="G192" i="5"/>
  <c r="F192" i="5"/>
  <c r="G191" i="5"/>
  <c r="G188" i="5"/>
  <c r="F188" i="5"/>
  <c r="G187" i="5"/>
  <c r="F187" i="5"/>
  <c r="F184" i="5"/>
  <c r="G183" i="5"/>
  <c r="F183" i="5"/>
  <c r="G177" i="5"/>
  <c r="F177" i="5"/>
  <c r="G176" i="5"/>
  <c r="F176" i="5"/>
  <c r="G175" i="5"/>
  <c r="F175" i="5"/>
  <c r="F172" i="5"/>
  <c r="G171" i="5"/>
  <c r="F171" i="5"/>
  <c r="G168" i="5"/>
  <c r="F168" i="5"/>
  <c r="G167" i="5"/>
  <c r="F167" i="5"/>
  <c r="G166" i="5"/>
  <c r="F166" i="5"/>
  <c r="G165" i="5"/>
  <c r="F165" i="5"/>
  <c r="G164" i="5"/>
  <c r="F164" i="5"/>
  <c r="G163" i="5"/>
  <c r="F163" i="5"/>
  <c r="F160" i="5"/>
  <c r="G159" i="5"/>
  <c r="F159" i="5"/>
  <c r="G156" i="5"/>
  <c r="F156" i="5"/>
  <c r="G155" i="5"/>
  <c r="F155" i="5"/>
  <c r="G154" i="5"/>
  <c r="F154" i="5"/>
  <c r="G153" i="5"/>
  <c r="F153" i="5"/>
  <c r="G152" i="5"/>
  <c r="F152" i="5"/>
  <c r="G151" i="5"/>
  <c r="F151" i="5"/>
  <c r="F148" i="5"/>
  <c r="G147" i="5"/>
  <c r="F147" i="5"/>
  <c r="G144" i="5"/>
  <c r="F144" i="5"/>
  <c r="G143" i="5"/>
  <c r="F143" i="5"/>
  <c r="G142" i="5"/>
  <c r="F142" i="5"/>
  <c r="G141" i="5"/>
  <c r="F141" i="5"/>
  <c r="G140" i="5"/>
  <c r="F140" i="5"/>
  <c r="G139" i="5"/>
  <c r="F139" i="5"/>
  <c r="F136" i="5"/>
  <c r="G135" i="5"/>
  <c r="F135" i="5"/>
  <c r="G132" i="5"/>
  <c r="F132" i="5"/>
  <c r="G131" i="5"/>
  <c r="F131" i="5"/>
  <c r="G130" i="5"/>
  <c r="F130" i="5"/>
  <c r="G129" i="5"/>
  <c r="F129" i="5"/>
  <c r="G128" i="5"/>
  <c r="F128" i="5"/>
  <c r="G127" i="5"/>
  <c r="F127" i="5"/>
  <c r="F124" i="5"/>
  <c r="G123" i="5"/>
  <c r="F123" i="5"/>
  <c r="G120" i="5"/>
  <c r="F120" i="5"/>
  <c r="G119" i="5"/>
  <c r="F119" i="5"/>
  <c r="G118" i="5"/>
  <c r="F118" i="5"/>
  <c r="G117" i="5"/>
  <c r="F117" i="5"/>
  <c r="G116" i="5"/>
  <c r="F116" i="5"/>
  <c r="G115" i="5"/>
  <c r="F115" i="5"/>
  <c r="F112" i="5"/>
  <c r="G111" i="5"/>
  <c r="F111" i="5"/>
  <c r="G108" i="5"/>
  <c r="F108" i="5"/>
  <c r="G107" i="5"/>
  <c r="F107" i="5"/>
  <c r="G106" i="5"/>
  <c r="F106" i="5"/>
  <c r="G105" i="5"/>
  <c r="F105" i="5"/>
  <c r="G104" i="5"/>
  <c r="F104" i="5"/>
  <c r="G103" i="5"/>
  <c r="F103" i="5"/>
  <c r="F100" i="5"/>
  <c r="G99" i="5"/>
  <c r="F99" i="5"/>
  <c r="G96" i="5"/>
  <c r="F96" i="5"/>
  <c r="G95" i="5"/>
  <c r="F95" i="5"/>
  <c r="G94" i="5"/>
  <c r="F94" i="5"/>
  <c r="G93" i="5"/>
  <c r="F93" i="5"/>
  <c r="G92" i="5"/>
  <c r="F92" i="5"/>
  <c r="G91" i="5"/>
  <c r="F91" i="5"/>
  <c r="F88" i="5"/>
  <c r="G87" i="5"/>
  <c r="F87" i="5"/>
  <c r="G85" i="5"/>
  <c r="F85" i="5"/>
  <c r="G84" i="5"/>
  <c r="F84" i="5"/>
  <c r="G83" i="5"/>
  <c r="F83" i="5"/>
  <c r="G81" i="5"/>
  <c r="F78" i="5"/>
  <c r="G77" i="5"/>
  <c r="F77" i="5"/>
  <c r="G76" i="5"/>
  <c r="F76" i="5"/>
  <c r="G75" i="5"/>
  <c r="F75" i="5"/>
  <c r="G74" i="5"/>
  <c r="F74" i="5"/>
  <c r="G73" i="5"/>
  <c r="F73" i="5"/>
  <c r="G72" i="5"/>
  <c r="F72" i="5"/>
  <c r="G71" i="5"/>
  <c r="F71" i="5"/>
  <c r="G68" i="5"/>
  <c r="F68" i="5"/>
  <c r="G67" i="5"/>
  <c r="F67" i="5"/>
  <c r="G64" i="5"/>
  <c r="F64" i="5"/>
  <c r="G63" i="5"/>
  <c r="F63" i="5"/>
  <c r="G62" i="5"/>
  <c r="F62" i="5"/>
  <c r="G61" i="5"/>
  <c r="F61" i="5"/>
  <c r="G60" i="5"/>
  <c r="F60" i="5"/>
  <c r="G56" i="5"/>
  <c r="F56" i="5"/>
  <c r="G55" i="5"/>
  <c r="F55" i="5"/>
  <c r="G54" i="5"/>
  <c r="F54" i="5"/>
  <c r="G53" i="5"/>
  <c r="F53" i="5"/>
  <c r="G52" i="5"/>
  <c r="F52" i="5"/>
  <c r="G51" i="5"/>
  <c r="F51" i="5"/>
  <c r="G50" i="5"/>
  <c r="F50" i="5"/>
  <c r="G48" i="5"/>
  <c r="F48" i="5"/>
  <c r="G47" i="5"/>
  <c r="F47" i="5"/>
  <c r="G45" i="5"/>
  <c r="F45" i="5"/>
  <c r="G44" i="5"/>
  <c r="F44" i="5"/>
  <c r="G43" i="5"/>
  <c r="F43" i="5"/>
  <c r="G42" i="5"/>
  <c r="F42" i="5"/>
  <c r="G41" i="5"/>
  <c r="F41" i="5"/>
  <c r="G40" i="5"/>
  <c r="F40" i="5"/>
  <c r="G38" i="5"/>
  <c r="F38" i="5"/>
  <c r="G37" i="5"/>
  <c r="F37" i="5"/>
  <c r="G36" i="5"/>
  <c r="F36" i="5"/>
  <c r="G35" i="5"/>
  <c r="F35" i="5"/>
  <c r="G34" i="5"/>
  <c r="F34" i="5"/>
  <c r="G33" i="5"/>
  <c r="F33" i="5"/>
  <c r="G27" i="5"/>
  <c r="F27" i="5"/>
  <c r="D27" i="5"/>
  <c r="G26" i="5"/>
  <c r="F26" i="5"/>
  <c r="G25" i="5"/>
  <c r="F25" i="5"/>
  <c r="G24" i="5"/>
  <c r="F24" i="5"/>
  <c r="G23" i="5"/>
  <c r="F23" i="5"/>
  <c r="G22" i="5"/>
  <c r="F22" i="5"/>
  <c r="G21" i="5"/>
  <c r="F21" i="5"/>
  <c r="G20" i="5"/>
  <c r="F20" i="5"/>
  <c r="G19" i="5"/>
  <c r="F19" i="5"/>
  <c r="G18" i="5"/>
  <c r="F18" i="5"/>
  <c r="G17" i="5"/>
  <c r="F17" i="5"/>
  <c r="D17" i="5"/>
  <c r="G16" i="5"/>
  <c r="F16" i="5"/>
  <c r="G15" i="5"/>
  <c r="F15" i="5"/>
  <c r="G14" i="5"/>
  <c r="F14" i="5"/>
  <c r="G13" i="5"/>
  <c r="F13" i="5"/>
  <c r="G12" i="5"/>
  <c r="F12" i="5"/>
  <c r="G11" i="5"/>
  <c r="F11" i="5"/>
  <c r="G10" i="5"/>
  <c r="F10" i="5"/>
  <c r="G9" i="5"/>
  <c r="F9" i="5"/>
  <c r="G8" i="5"/>
  <c r="F8" i="5"/>
  <c r="G7" i="5"/>
  <c r="F7" i="5"/>
  <c r="G6" i="5"/>
  <c r="F6" i="5"/>
  <c r="G5" i="5"/>
  <c r="F5" i="5"/>
  <c r="G4" i="5"/>
  <c r="F4" i="5"/>
  <c r="E202" i="4"/>
  <c r="G202" i="4" s="1"/>
  <c r="D202" i="4"/>
  <c r="F201" i="4"/>
  <c r="D201" i="4"/>
  <c r="E201" i="4" s="1"/>
  <c r="G201" i="4" s="1"/>
  <c r="F200" i="4"/>
  <c r="E200" i="4"/>
  <c r="G200" i="4" s="1"/>
  <c r="D200" i="4"/>
  <c r="G199" i="4"/>
  <c r="F199" i="4"/>
  <c r="E199" i="4"/>
  <c r="D199" i="4"/>
  <c r="E198" i="4"/>
  <c r="G198" i="4" s="1"/>
  <c r="D198" i="4"/>
  <c r="F197" i="4"/>
  <c r="D197" i="4"/>
  <c r="E197" i="4" s="1"/>
  <c r="G197" i="4" s="1"/>
  <c r="G196" i="4"/>
  <c r="E196" i="4"/>
  <c r="F196" i="4" s="1"/>
  <c r="D196" i="4"/>
  <c r="G195" i="4"/>
  <c r="F195" i="4"/>
  <c r="E195" i="4"/>
  <c r="D195" i="4"/>
  <c r="E194" i="4"/>
  <c r="G194" i="4" s="1"/>
  <c r="D194" i="4"/>
  <c r="D193" i="4"/>
  <c r="E193" i="4" s="1"/>
  <c r="G193" i="4" s="1"/>
  <c r="E192" i="4"/>
  <c r="F192" i="4" s="1"/>
  <c r="D192" i="4"/>
  <c r="G191" i="4"/>
  <c r="F191" i="4"/>
  <c r="E191" i="4"/>
  <c r="G190" i="4"/>
  <c r="F190" i="4"/>
  <c r="E190" i="4"/>
  <c r="E189" i="4"/>
  <c r="G189" i="4" s="1"/>
  <c r="E188" i="4"/>
  <c r="F188" i="4" s="1"/>
  <c r="G187" i="4"/>
  <c r="E187" i="4"/>
  <c r="F187" i="4" s="1"/>
  <c r="G186" i="4"/>
  <c r="E186" i="4"/>
  <c r="F186" i="4" s="1"/>
  <c r="E185" i="4"/>
  <c r="G185" i="4" s="1"/>
  <c r="F184" i="4"/>
  <c r="E184" i="4"/>
  <c r="G184" i="4" s="1"/>
  <c r="G183" i="4"/>
  <c r="F183" i="4"/>
  <c r="E183" i="4"/>
  <c r="F182" i="4"/>
  <c r="E182" i="4"/>
  <c r="G182" i="4" s="1"/>
  <c r="G181" i="4"/>
  <c r="F181" i="4"/>
  <c r="E181" i="4"/>
  <c r="G180" i="4"/>
  <c r="F180" i="4"/>
  <c r="E180" i="4"/>
  <c r="E179" i="4"/>
  <c r="G179" i="4" s="1"/>
  <c r="E178" i="4"/>
  <c r="E177" i="4"/>
  <c r="G177" i="4" s="1"/>
  <c r="G176" i="4"/>
  <c r="F176" i="4"/>
  <c r="E176" i="4"/>
  <c r="F175" i="4"/>
  <c r="E175" i="4"/>
  <c r="G175" i="4" s="1"/>
  <c r="G174" i="4"/>
  <c r="F174" i="4"/>
  <c r="E174" i="4"/>
  <c r="E173" i="4"/>
  <c r="G173" i="4" s="1"/>
  <c r="E172" i="4"/>
  <c r="F172" i="4" s="1"/>
  <c r="E171" i="4"/>
  <c r="G171" i="4" s="1"/>
  <c r="G170" i="4"/>
  <c r="E170" i="4"/>
  <c r="F170" i="4" s="1"/>
  <c r="E169" i="4"/>
  <c r="G169" i="4" s="1"/>
  <c r="F168" i="4"/>
  <c r="E168" i="4"/>
  <c r="G168" i="4" s="1"/>
  <c r="G167" i="4"/>
  <c r="F167" i="4"/>
  <c r="E167" i="4"/>
  <c r="E166" i="4"/>
  <c r="G166" i="4" s="1"/>
  <c r="G165" i="4"/>
  <c r="F165" i="4"/>
  <c r="E165" i="4"/>
  <c r="G164" i="4"/>
  <c r="F164" i="4"/>
  <c r="E164" i="4"/>
  <c r="E163" i="4"/>
  <c r="G163" i="4" s="1"/>
  <c r="E162" i="4"/>
  <c r="F161" i="4"/>
  <c r="E161" i="4"/>
  <c r="G161" i="4" s="1"/>
  <c r="G160" i="4"/>
  <c r="F160" i="4"/>
  <c r="E160" i="4"/>
  <c r="F159" i="4"/>
  <c r="E159" i="4"/>
  <c r="G159" i="4" s="1"/>
  <c r="G158" i="4"/>
  <c r="F158" i="4"/>
  <c r="E158" i="4"/>
  <c r="E157" i="4"/>
  <c r="G157" i="4" s="1"/>
  <c r="E156" i="4"/>
  <c r="F156" i="4" s="1"/>
  <c r="G155" i="4"/>
  <c r="F155" i="4"/>
  <c r="E155" i="4"/>
  <c r="G154" i="4"/>
  <c r="E154" i="4"/>
  <c r="F154" i="4" s="1"/>
  <c r="E153" i="4"/>
  <c r="G153" i="4" s="1"/>
  <c r="F152" i="4"/>
  <c r="E152" i="4"/>
  <c r="G152" i="4" s="1"/>
  <c r="G151" i="4"/>
  <c r="F151" i="4"/>
  <c r="E151" i="4"/>
  <c r="E150" i="4"/>
  <c r="G150" i="4" s="1"/>
  <c r="G149" i="4"/>
  <c r="F149" i="4"/>
  <c r="E149" i="4"/>
  <c r="G148" i="4"/>
  <c r="F148" i="4"/>
  <c r="E148" i="4"/>
  <c r="E147" i="4"/>
  <c r="G147" i="4" s="1"/>
  <c r="E146" i="4"/>
  <c r="G146" i="4" s="1"/>
  <c r="F145" i="4"/>
  <c r="E145" i="4"/>
  <c r="G145" i="4" s="1"/>
  <c r="G144" i="4"/>
  <c r="F144" i="4"/>
  <c r="E144" i="4"/>
  <c r="E143" i="4"/>
  <c r="G143" i="4" s="1"/>
  <c r="G142" i="4"/>
  <c r="F142" i="4"/>
  <c r="E142" i="4"/>
  <c r="E141" i="4"/>
  <c r="F141" i="4" s="1"/>
  <c r="E140" i="4"/>
  <c r="F140" i="4" s="1"/>
  <c r="G139" i="4"/>
  <c r="F139" i="4"/>
  <c r="E139" i="4"/>
  <c r="G138" i="4"/>
  <c r="F138" i="4"/>
  <c r="E138" i="4"/>
  <c r="E137" i="4"/>
  <c r="F137" i="4" s="1"/>
  <c r="G135" i="4"/>
  <c r="F135" i="4"/>
  <c r="E135" i="4"/>
  <c r="E134" i="4"/>
  <c r="G134" i="4" s="1"/>
  <c r="G133" i="4"/>
  <c r="F133" i="4"/>
  <c r="E133" i="4"/>
  <c r="E132" i="4"/>
  <c r="G132" i="4" s="1"/>
  <c r="E131" i="4"/>
  <c r="F131" i="4" s="1"/>
  <c r="G130" i="4"/>
  <c r="E130" i="4"/>
  <c r="F130" i="4" s="1"/>
  <c r="G129" i="4"/>
  <c r="E129" i="4"/>
  <c r="F129" i="4" s="1"/>
  <c r="E128" i="4"/>
  <c r="F128" i="4" s="1"/>
  <c r="F127" i="4"/>
  <c r="E127" i="4"/>
  <c r="G127" i="4" s="1"/>
  <c r="G126" i="4"/>
  <c r="F126" i="4"/>
  <c r="E126" i="4"/>
  <c r="E125" i="4"/>
  <c r="F125" i="4" s="1"/>
  <c r="G124" i="4"/>
  <c r="F124" i="4"/>
  <c r="E124" i="4"/>
  <c r="G123" i="4"/>
  <c r="F123" i="4"/>
  <c r="E123" i="4"/>
  <c r="E122" i="4"/>
  <c r="F122" i="4" s="1"/>
  <c r="G121" i="4"/>
  <c r="F121" i="4"/>
  <c r="E121" i="4"/>
  <c r="E120" i="4"/>
  <c r="G120" i="4" s="1"/>
  <c r="E119" i="4"/>
  <c r="F119" i="4" s="1"/>
  <c r="E118" i="4"/>
  <c r="G117" i="4"/>
  <c r="F117" i="4"/>
  <c r="E117" i="4"/>
  <c r="G116" i="4"/>
  <c r="F116" i="4"/>
  <c r="E116" i="4"/>
  <c r="E115" i="4"/>
  <c r="F115" i="4" s="1"/>
  <c r="E114" i="4"/>
  <c r="G114" i="4" s="1"/>
  <c r="G113" i="4"/>
  <c r="E113" i="4"/>
  <c r="F113" i="4" s="1"/>
  <c r="E112" i="4"/>
  <c r="F112" i="4" s="1"/>
  <c r="E111" i="4"/>
  <c r="G111" i="4" s="1"/>
  <c r="G110" i="4"/>
  <c r="F110" i="4"/>
  <c r="E110" i="4"/>
  <c r="E109" i="4"/>
  <c r="G109" i="4" s="1"/>
  <c r="G108" i="4"/>
  <c r="F108" i="4"/>
  <c r="E108" i="4"/>
  <c r="G107" i="4"/>
  <c r="F107" i="4"/>
  <c r="E107" i="4"/>
  <c r="E106" i="4"/>
  <c r="F106" i="4" s="1"/>
  <c r="G105" i="4"/>
  <c r="F105" i="4"/>
  <c r="E105" i="4"/>
  <c r="G104" i="4"/>
  <c r="F104" i="4"/>
  <c r="E104" i="4"/>
  <c r="E103" i="4"/>
  <c r="G103" i="4" s="1"/>
  <c r="E102" i="4"/>
  <c r="G102" i="4" s="1"/>
  <c r="G101" i="4"/>
  <c r="F101" i="4"/>
  <c r="E101" i="4"/>
  <c r="E100" i="4"/>
  <c r="G100" i="4" s="1"/>
  <c r="G99" i="4"/>
  <c r="F99" i="4"/>
  <c r="E99" i="4"/>
  <c r="E98" i="4"/>
  <c r="G98" i="4" s="1"/>
  <c r="G97" i="4"/>
  <c r="F97" i="4"/>
  <c r="E97" i="4"/>
  <c r="E96" i="4"/>
  <c r="F96" i="4" s="1"/>
  <c r="E95" i="4"/>
  <c r="G95" i="4" s="1"/>
  <c r="E94" i="4"/>
  <c r="G94" i="4" s="1"/>
  <c r="G93" i="4"/>
  <c r="F93" i="4"/>
  <c r="E93" i="4"/>
  <c r="E92" i="4"/>
  <c r="G92" i="4" s="1"/>
  <c r="G91" i="4"/>
  <c r="F91" i="4"/>
  <c r="E91" i="4"/>
  <c r="E90" i="4"/>
  <c r="F90" i="4" s="1"/>
  <c r="E89" i="4"/>
  <c r="F89" i="4" s="1"/>
  <c r="G88" i="4"/>
  <c r="F88" i="4"/>
  <c r="E88" i="4"/>
  <c r="G87" i="4"/>
  <c r="F87" i="4"/>
  <c r="E87" i="4"/>
  <c r="E86" i="4"/>
  <c r="G86" i="4" s="1"/>
  <c r="G85" i="4"/>
  <c r="F85" i="4"/>
  <c r="E85" i="4"/>
  <c r="E84" i="4"/>
  <c r="G84" i="4" s="1"/>
  <c r="E83" i="4"/>
  <c r="G83" i="4" s="1"/>
  <c r="G82" i="4"/>
  <c r="F82" i="4"/>
  <c r="E82" i="4"/>
  <c r="E81" i="4"/>
  <c r="G81" i="4" s="1"/>
  <c r="G80" i="4"/>
  <c r="F80" i="4"/>
  <c r="E80" i="4"/>
  <c r="F79" i="4"/>
  <c r="E79" i="4"/>
  <c r="G79" i="4" s="1"/>
  <c r="E78" i="4"/>
  <c r="G78" i="4" s="1"/>
  <c r="G77" i="4"/>
  <c r="E77" i="4"/>
  <c r="F77" i="4" s="1"/>
  <c r="G76" i="4"/>
  <c r="F76" i="4"/>
  <c r="E76" i="4"/>
  <c r="F75" i="4"/>
  <c r="E75" i="4"/>
  <c r="G75" i="4" s="1"/>
  <c r="E74" i="4"/>
  <c r="G74" i="4" s="1"/>
  <c r="E73" i="4"/>
  <c r="F73" i="4" s="1"/>
  <c r="G72" i="4"/>
  <c r="F72" i="4"/>
  <c r="E72" i="4"/>
  <c r="G71" i="4"/>
  <c r="F71" i="4"/>
  <c r="E71" i="4"/>
  <c r="E70" i="4"/>
  <c r="G70" i="4" s="1"/>
  <c r="E69" i="4"/>
  <c r="G69" i="4" s="1"/>
  <c r="E68" i="4"/>
  <c r="G68" i="4" s="1"/>
  <c r="E67" i="4"/>
  <c r="F67" i="4" s="1"/>
  <c r="G66" i="4"/>
  <c r="F66" i="4"/>
  <c r="E66" i="4"/>
  <c r="E65" i="4"/>
  <c r="G65" i="4" s="1"/>
  <c r="G64" i="4"/>
  <c r="F64" i="4"/>
  <c r="E64" i="4"/>
  <c r="F63" i="4"/>
  <c r="E63" i="4"/>
  <c r="G63" i="4" s="1"/>
  <c r="E62" i="4"/>
  <c r="F62" i="4" s="1"/>
  <c r="G61" i="4"/>
  <c r="E61" i="4"/>
  <c r="F61" i="4" s="1"/>
  <c r="G60" i="4"/>
  <c r="F60" i="4"/>
  <c r="E60" i="4"/>
  <c r="F59" i="4"/>
  <c r="E59" i="4"/>
  <c r="G59" i="4" s="1"/>
  <c r="E58" i="4"/>
  <c r="G58" i="4" s="1"/>
  <c r="E57" i="4"/>
  <c r="F57" i="4" s="1"/>
  <c r="G56" i="4"/>
  <c r="F56" i="4"/>
  <c r="E56" i="4"/>
  <c r="G55" i="4"/>
  <c r="F55" i="4"/>
  <c r="E55" i="4"/>
  <c r="E54" i="4"/>
  <c r="G54" i="4" s="1"/>
  <c r="E53" i="4"/>
  <c r="G53" i="4" s="1"/>
  <c r="E52" i="4"/>
  <c r="G52" i="4" s="1"/>
  <c r="E51" i="4"/>
  <c r="G51" i="4" s="1"/>
  <c r="G50" i="4"/>
  <c r="F50" i="4"/>
  <c r="E50" i="4"/>
  <c r="E49" i="4"/>
  <c r="G49" i="4" s="1"/>
  <c r="G48" i="4"/>
  <c r="F48" i="4"/>
  <c r="E48" i="4"/>
  <c r="F47" i="4"/>
  <c r="E47" i="4"/>
  <c r="G47" i="4" s="1"/>
  <c r="E46" i="4"/>
  <c r="G46" i="4" s="1"/>
  <c r="G45" i="4"/>
  <c r="E45" i="4"/>
  <c r="F45" i="4" s="1"/>
  <c r="G44" i="4"/>
  <c r="F44" i="4"/>
  <c r="E44" i="4"/>
  <c r="F43" i="4"/>
  <c r="E43" i="4"/>
  <c r="G43" i="4" s="1"/>
  <c r="E42" i="4"/>
  <c r="G42" i="4" s="1"/>
  <c r="E41" i="4"/>
  <c r="F41" i="4" s="1"/>
  <c r="G40" i="4"/>
  <c r="F40" i="4"/>
  <c r="E40" i="4"/>
  <c r="G39" i="4"/>
  <c r="F39" i="4"/>
  <c r="E39" i="4"/>
  <c r="E38" i="4"/>
  <c r="G38" i="4" s="1"/>
  <c r="E37" i="4"/>
  <c r="G37" i="4" s="1"/>
  <c r="E36" i="4"/>
  <c r="G36" i="4" s="1"/>
  <c r="E35" i="4"/>
  <c r="G35" i="4" s="1"/>
  <c r="G34" i="4"/>
  <c r="F34" i="4"/>
  <c r="E34" i="4"/>
  <c r="E33" i="4"/>
  <c r="G33" i="4" s="1"/>
  <c r="G32" i="4"/>
  <c r="F32" i="4"/>
  <c r="E32" i="4"/>
  <c r="F31" i="4"/>
  <c r="E31" i="4"/>
  <c r="G31" i="4" s="1"/>
  <c r="D27" i="4"/>
  <c r="E27" i="4" s="1"/>
  <c r="G26" i="4"/>
  <c r="F26" i="4"/>
  <c r="E26" i="4"/>
  <c r="E25" i="4"/>
  <c r="G25" i="4" s="1"/>
  <c r="G24" i="4"/>
  <c r="F24" i="4"/>
  <c r="E24" i="4"/>
  <c r="F23" i="4"/>
  <c r="E23" i="4"/>
  <c r="G23" i="4" s="1"/>
  <c r="E22" i="4"/>
  <c r="F22" i="4" s="1"/>
  <c r="G21" i="4"/>
  <c r="E21" i="4"/>
  <c r="F21" i="4" s="1"/>
  <c r="G20" i="4"/>
  <c r="F20" i="4"/>
  <c r="E20" i="4"/>
  <c r="F19" i="4"/>
  <c r="E19" i="4"/>
  <c r="G19" i="4" s="1"/>
  <c r="E18" i="4"/>
  <c r="G18" i="4" s="1"/>
  <c r="D17" i="4"/>
  <c r="E17" i="4" s="1"/>
  <c r="G16" i="4"/>
  <c r="E16" i="4"/>
  <c r="F16" i="4" s="1"/>
  <c r="G15" i="4"/>
  <c r="F15" i="4"/>
  <c r="E15" i="4"/>
  <c r="F14" i="4"/>
  <c r="E14" i="4"/>
  <c r="G14" i="4" s="1"/>
  <c r="E13" i="4"/>
  <c r="G13" i="4" s="1"/>
  <c r="E12" i="4"/>
  <c r="F12" i="4" s="1"/>
  <c r="G11" i="4"/>
  <c r="F11" i="4"/>
  <c r="E11" i="4"/>
  <c r="G10" i="4"/>
  <c r="F10" i="4"/>
  <c r="E10" i="4"/>
  <c r="E9" i="4"/>
  <c r="G9" i="4" s="1"/>
  <c r="E8" i="4"/>
  <c r="G8" i="4" s="1"/>
  <c r="E7" i="4"/>
  <c r="G7" i="4" s="1"/>
  <c r="E6" i="4"/>
  <c r="F6" i="4" s="1"/>
  <c r="G5" i="4"/>
  <c r="F5" i="4"/>
  <c r="E5" i="4"/>
  <c r="E4" i="4"/>
  <c r="G4" i="4" s="1"/>
  <c r="E119" i="3"/>
  <c r="D104" i="3"/>
  <c r="D103" i="3"/>
  <c r="D102" i="3"/>
  <c r="L91" i="3"/>
  <c r="L90" i="3"/>
  <c r="L89" i="3"/>
  <c r="L88" i="3"/>
  <c r="L87" i="3"/>
  <c r="L86" i="3"/>
  <c r="L85" i="3"/>
  <c r="I84" i="3"/>
  <c r="L83" i="3"/>
  <c r="I83" i="3"/>
  <c r="L82" i="3"/>
  <c r="L81" i="3"/>
  <c r="L80" i="3"/>
  <c r="L79" i="3"/>
  <c r="L78" i="3"/>
  <c r="L77" i="3"/>
  <c r="L76" i="3"/>
  <c r="L75" i="3"/>
  <c r="L74" i="3"/>
  <c r="L73" i="3"/>
  <c r="L72" i="3"/>
  <c r="L71" i="3"/>
  <c r="L70" i="3"/>
  <c r="L69" i="3"/>
  <c r="L68" i="3"/>
  <c r="L67" i="3"/>
  <c r="AB65" i="3"/>
  <c r="AE64" i="3"/>
  <c r="AC64" i="3"/>
  <c r="AB64" i="3"/>
  <c r="V64" i="3"/>
  <c r="N64" i="3"/>
  <c r="M64" i="3"/>
  <c r="K64" i="3"/>
  <c r="D64" i="3"/>
  <c r="E64" i="3" s="1"/>
  <c r="AE63" i="3"/>
  <c r="AC63" i="3"/>
  <c r="AB63" i="3"/>
  <c r="N63" i="3"/>
  <c r="M63" i="3"/>
  <c r="K63" i="3"/>
  <c r="G63" i="3"/>
  <c r="F63" i="3"/>
  <c r="E63" i="3"/>
  <c r="AE62" i="3"/>
  <c r="AC62" i="3"/>
  <c r="AB62" i="3"/>
  <c r="N62" i="3"/>
  <c r="M62" i="3"/>
  <c r="K62" i="3"/>
  <c r="G62" i="3"/>
  <c r="E62" i="3"/>
  <c r="F62" i="3" s="1"/>
  <c r="AE61" i="3"/>
  <c r="AC61" i="3"/>
  <c r="AB61" i="3"/>
  <c r="N61" i="3"/>
  <c r="M61" i="3"/>
  <c r="K61" i="3"/>
  <c r="E61" i="3"/>
  <c r="G61" i="3" s="1"/>
  <c r="AE60" i="3"/>
  <c r="AC60" i="3"/>
  <c r="AB60" i="3"/>
  <c r="N60" i="3"/>
  <c r="M60" i="3"/>
  <c r="K60" i="3"/>
  <c r="G60" i="3"/>
  <c r="E60" i="3"/>
  <c r="F60" i="3" s="1"/>
  <c r="AE59" i="3"/>
  <c r="AC59" i="3"/>
  <c r="AB59" i="3"/>
  <c r="N59" i="3"/>
  <c r="M59" i="3"/>
  <c r="K59" i="3"/>
  <c r="E59" i="3"/>
  <c r="F59" i="3" s="1"/>
  <c r="AE58" i="3"/>
  <c r="AC58" i="3"/>
  <c r="AB58" i="3"/>
  <c r="N58" i="3"/>
  <c r="M58" i="3"/>
  <c r="K58" i="3"/>
  <c r="E58" i="3"/>
  <c r="G58" i="3" s="1"/>
  <c r="AE57" i="3"/>
  <c r="AB57" i="3"/>
  <c r="N57" i="3"/>
  <c r="M57" i="3"/>
  <c r="K57" i="3"/>
  <c r="G57" i="3"/>
  <c r="F57" i="3"/>
  <c r="K56" i="3"/>
  <c r="G56" i="3"/>
  <c r="F56" i="3"/>
  <c r="AE55" i="3"/>
  <c r="AC55" i="3"/>
  <c r="AB55" i="3"/>
  <c r="N55" i="3"/>
  <c r="M55" i="3"/>
  <c r="K55" i="3"/>
  <c r="G55" i="3"/>
  <c r="F55" i="3"/>
  <c r="E55" i="3"/>
  <c r="AE54" i="3"/>
  <c r="AC54" i="3"/>
  <c r="AB54" i="3"/>
  <c r="N54" i="3"/>
  <c r="M54" i="3"/>
  <c r="K54" i="3"/>
  <c r="G54" i="3"/>
  <c r="E54" i="3"/>
  <c r="F54" i="3" s="1"/>
  <c r="AE53" i="3"/>
  <c r="AC53" i="3"/>
  <c r="AB53" i="3"/>
  <c r="V53" i="3"/>
  <c r="N53" i="3"/>
  <c r="M53" i="3"/>
  <c r="K53" i="3"/>
  <c r="D53" i="3"/>
  <c r="E53" i="3" s="1"/>
  <c r="AE52" i="3"/>
  <c r="AC52" i="3"/>
  <c r="AB52" i="3"/>
  <c r="N52" i="3"/>
  <c r="M52" i="3"/>
  <c r="K52" i="3"/>
  <c r="E52" i="3"/>
  <c r="G52" i="3" s="1"/>
  <c r="AE51" i="3"/>
  <c r="AC51" i="3"/>
  <c r="AB51" i="3"/>
  <c r="N51" i="3"/>
  <c r="M51" i="3"/>
  <c r="K51" i="3"/>
  <c r="E51" i="3"/>
  <c r="G51" i="3" s="1"/>
  <c r="AE50" i="3"/>
  <c r="AC50" i="3"/>
  <c r="AB50" i="3"/>
  <c r="N50" i="3"/>
  <c r="M50" i="3"/>
  <c r="K50" i="3"/>
  <c r="D50" i="3"/>
  <c r="E50" i="3" s="1"/>
  <c r="G50" i="3" s="1"/>
  <c r="AE49" i="3"/>
  <c r="AC49" i="3"/>
  <c r="AB49" i="3"/>
  <c r="N49" i="3"/>
  <c r="M49" i="3"/>
  <c r="K49" i="3"/>
  <c r="D49" i="3"/>
  <c r="E49" i="3" s="1"/>
  <c r="F49" i="3" s="1"/>
  <c r="AE48" i="3"/>
  <c r="AC48" i="3"/>
  <c r="AB48" i="3"/>
  <c r="N48" i="3"/>
  <c r="M48" i="3"/>
  <c r="K48" i="3"/>
  <c r="E48" i="3"/>
  <c r="F48" i="3" s="1"/>
  <c r="AE47" i="3"/>
  <c r="AC47" i="3"/>
  <c r="AB47" i="3"/>
  <c r="N47" i="3"/>
  <c r="M47" i="3"/>
  <c r="K47" i="3"/>
  <c r="G47" i="3"/>
  <c r="E47" i="3"/>
  <c r="F47" i="3" s="1"/>
  <c r="AE46" i="3"/>
  <c r="AC46" i="3"/>
  <c r="AB46" i="3"/>
  <c r="N46" i="3"/>
  <c r="M46" i="3"/>
  <c r="K46" i="3"/>
  <c r="E46" i="3"/>
  <c r="F46" i="3" s="1"/>
  <c r="AE45" i="3"/>
  <c r="AC45" i="3"/>
  <c r="AB45" i="3"/>
  <c r="N45" i="3"/>
  <c r="M45" i="3"/>
  <c r="K45" i="3"/>
  <c r="E45" i="3"/>
  <c r="F45" i="3" s="1"/>
  <c r="AE44" i="3"/>
  <c r="AC44" i="3"/>
  <c r="AB44" i="3"/>
  <c r="N44" i="3"/>
  <c r="M44" i="3"/>
  <c r="K44" i="3"/>
  <c r="E44" i="3"/>
  <c r="G44" i="3" s="1"/>
  <c r="AE43" i="3"/>
  <c r="AC43" i="3"/>
  <c r="AB43" i="3"/>
  <c r="N43" i="3"/>
  <c r="M43" i="3"/>
  <c r="K43" i="3"/>
  <c r="G43" i="3"/>
  <c r="F43" i="3"/>
  <c r="E43" i="3"/>
  <c r="AE42" i="3"/>
  <c r="AC42" i="3"/>
  <c r="AB42" i="3"/>
  <c r="N42" i="3"/>
  <c r="M42" i="3"/>
  <c r="K42" i="3"/>
  <c r="G42" i="3"/>
  <c r="E42" i="3"/>
  <c r="F42" i="3" s="1"/>
  <c r="AE41" i="3"/>
  <c r="AC41" i="3"/>
  <c r="AB41" i="3"/>
  <c r="N41" i="3"/>
  <c r="M41" i="3"/>
  <c r="K41" i="3"/>
  <c r="E41" i="3"/>
  <c r="F41" i="3" s="1"/>
  <c r="AE40" i="3"/>
  <c r="AC40" i="3"/>
  <c r="AB40" i="3"/>
  <c r="N40" i="3"/>
  <c r="M40" i="3"/>
  <c r="K40" i="3"/>
  <c r="G40" i="3"/>
  <c r="E40" i="3"/>
  <c r="F40" i="3" s="1"/>
  <c r="F22" i="1"/>
  <c r="F39" i="5" l="1"/>
  <c r="J39" i="5"/>
  <c r="F49" i="5"/>
  <c r="J49" i="5"/>
  <c r="F46" i="5"/>
  <c r="J46" i="5"/>
  <c r="F57" i="5"/>
  <c r="G57" i="5"/>
  <c r="J59" i="5"/>
  <c r="F58" i="5"/>
  <c r="J58" i="5"/>
  <c r="F59" i="5"/>
  <c r="G69" i="5"/>
  <c r="F70" i="5"/>
  <c r="G70" i="5"/>
  <c r="F65" i="5"/>
  <c r="J69" i="5"/>
  <c r="F66" i="5"/>
  <c r="G66" i="5"/>
  <c r="F82" i="5"/>
  <c r="J82" i="5"/>
  <c r="G78" i="5"/>
  <c r="J81" i="5"/>
  <c r="F79" i="5"/>
  <c r="J80" i="5"/>
  <c r="J79" i="5"/>
  <c r="F80" i="5"/>
  <c r="F178" i="5"/>
  <c r="J205" i="5"/>
  <c r="J181" i="5"/>
  <c r="G178" i="5"/>
  <c r="F189" i="5"/>
  <c r="J180" i="5"/>
  <c r="F179" i="5"/>
  <c r="J199" i="5"/>
  <c r="F190" i="5"/>
  <c r="F180" i="5"/>
  <c r="J193" i="5"/>
  <c r="J179" i="5"/>
  <c r="J125" i="5"/>
  <c r="G160" i="5"/>
  <c r="G184" i="5"/>
  <c r="J136" i="5"/>
  <c r="J88" i="5"/>
  <c r="F89" i="5"/>
  <c r="F101" i="5"/>
  <c r="F113" i="5"/>
  <c r="F125" i="5"/>
  <c r="F137" i="5"/>
  <c r="F149" i="5"/>
  <c r="F161" i="5"/>
  <c r="F173" i="5"/>
  <c r="F185" i="5"/>
  <c r="F207" i="5"/>
  <c r="J210" i="5"/>
  <c r="F209" i="5"/>
  <c r="J114" i="5"/>
  <c r="J197" i="5"/>
  <c r="J173" i="5"/>
  <c r="J161" i="5"/>
  <c r="J137" i="5"/>
  <c r="J113" i="5"/>
  <c r="J101" i="5"/>
  <c r="G112" i="5"/>
  <c r="F196" i="5"/>
  <c r="G206" i="5"/>
  <c r="J194" i="5"/>
  <c r="J182" i="5"/>
  <c r="J170" i="5"/>
  <c r="J158" i="5"/>
  <c r="J146" i="5"/>
  <c r="J134" i="5"/>
  <c r="J122" i="5"/>
  <c r="J110" i="5"/>
  <c r="J98" i="5"/>
  <c r="J86" i="5"/>
  <c r="G208" i="5"/>
  <c r="J138" i="5"/>
  <c r="J124" i="5"/>
  <c r="G89" i="5"/>
  <c r="G149" i="5"/>
  <c r="G185" i="5"/>
  <c r="F90" i="5"/>
  <c r="F102" i="5"/>
  <c r="F114" i="5"/>
  <c r="F126" i="5"/>
  <c r="F138" i="5"/>
  <c r="F150" i="5"/>
  <c r="F162" i="5"/>
  <c r="F174" i="5"/>
  <c r="F186" i="5"/>
  <c r="G196" i="5"/>
  <c r="F206" i="5"/>
  <c r="J198" i="5"/>
  <c r="J162" i="5"/>
  <c r="J126" i="5"/>
  <c r="J100" i="5"/>
  <c r="G90" i="5"/>
  <c r="G102" i="5"/>
  <c r="G150" i="5"/>
  <c r="G174" i="5"/>
  <c r="G186" i="5"/>
  <c r="F97" i="5"/>
  <c r="F109" i="5"/>
  <c r="F121" i="5"/>
  <c r="F133" i="5"/>
  <c r="F145" i="5"/>
  <c r="F157" i="5"/>
  <c r="F169" i="5"/>
  <c r="F181" i="5"/>
  <c r="F193" i="5"/>
  <c r="F197" i="5"/>
  <c r="F205" i="5"/>
  <c r="G148" i="5"/>
  <c r="G172" i="5"/>
  <c r="F210" i="5"/>
  <c r="G204" i="5"/>
  <c r="F86" i="5"/>
  <c r="F98" i="5"/>
  <c r="F110" i="5"/>
  <c r="F122" i="5"/>
  <c r="F134" i="5"/>
  <c r="F146" i="5"/>
  <c r="F158" i="5"/>
  <c r="F170" i="5"/>
  <c r="F182" i="5"/>
  <c r="F204" i="5"/>
  <c r="G198" i="5"/>
  <c r="F201" i="5"/>
  <c r="G201" i="5"/>
  <c r="F202" i="5"/>
  <c r="G209" i="5"/>
  <c r="J203" i="5"/>
  <c r="G202" i="5"/>
  <c r="F199" i="5"/>
  <c r="F203" i="5"/>
  <c r="F216" i="5"/>
  <c r="J219" i="5"/>
  <c r="G220" i="5"/>
  <c r="G219" i="5"/>
  <c r="J223" i="5"/>
  <c r="J224" i="5"/>
  <c r="G224" i="5"/>
  <c r="G218" i="5"/>
  <c r="J218" i="5"/>
  <c r="J217" i="5"/>
  <c r="G223" i="5"/>
  <c r="G217" i="5"/>
  <c r="G19" i="21"/>
  <c r="I26" i="21"/>
  <c r="G26" i="21"/>
  <c r="G43" i="21"/>
  <c r="G160" i="21"/>
  <c r="G157" i="21"/>
  <c r="G154" i="21"/>
  <c r="G151" i="21"/>
  <c r="F44" i="21"/>
  <c r="G44" i="21"/>
  <c r="I24" i="13"/>
  <c r="I23" i="13"/>
  <c r="I22" i="13"/>
  <c r="I19" i="13"/>
  <c r="I18" i="13"/>
  <c r="I12" i="13"/>
  <c r="I17" i="13"/>
  <c r="I15" i="13"/>
  <c r="G22" i="13"/>
  <c r="G68" i="13"/>
  <c r="F95" i="13"/>
  <c r="G101" i="13"/>
  <c r="G133" i="13"/>
  <c r="G165" i="13"/>
  <c r="F39" i="13"/>
  <c r="F47" i="13"/>
  <c r="F83" i="13"/>
  <c r="G108" i="13"/>
  <c r="G140" i="13"/>
  <c r="G7" i="13"/>
  <c r="F15" i="13"/>
  <c r="F23" i="13"/>
  <c r="F35" i="13"/>
  <c r="G54" i="13"/>
  <c r="F69" i="13"/>
  <c r="G76" i="13"/>
  <c r="G102" i="13"/>
  <c r="F115" i="13"/>
  <c r="F121" i="13"/>
  <c r="F128" i="13"/>
  <c r="G134" i="13"/>
  <c r="F147" i="13"/>
  <c r="F153" i="13"/>
  <c r="F160" i="13"/>
  <c r="F166" i="13"/>
  <c r="G172" i="13"/>
  <c r="F89" i="13"/>
  <c r="F49" i="13"/>
  <c r="G63" i="13"/>
  <c r="F103" i="13"/>
  <c r="F135" i="13"/>
  <c r="G148" i="13"/>
  <c r="F161" i="13"/>
  <c r="F97" i="13"/>
  <c r="G36" i="13"/>
  <c r="G41" i="13"/>
  <c r="G55" i="13"/>
  <c r="G70" i="13"/>
  <c r="F85" i="13"/>
  <c r="F111" i="13"/>
  <c r="G129" i="13"/>
  <c r="F143" i="13"/>
  <c r="F167" i="13"/>
  <c r="G116" i="13"/>
  <c r="G10" i="13"/>
  <c r="F17" i="13"/>
  <c r="F79" i="13"/>
  <c r="F98" i="13"/>
  <c r="G117" i="13"/>
  <c r="G149" i="13"/>
  <c r="F175" i="13"/>
  <c r="F51" i="13"/>
  <c r="F37" i="13"/>
  <c r="G84" i="13"/>
  <c r="F4" i="13"/>
  <c r="F86" i="13"/>
  <c r="G92" i="13"/>
  <c r="F99" i="13"/>
  <c r="F105" i="13"/>
  <c r="F112" i="13"/>
  <c r="G118" i="13"/>
  <c r="F131" i="13"/>
  <c r="F137" i="13"/>
  <c r="F144" i="13"/>
  <c r="G150" i="13"/>
  <c r="F163" i="13"/>
  <c r="F31" i="13"/>
  <c r="G44" i="13"/>
  <c r="G52" i="13"/>
  <c r="F66" i="13"/>
  <c r="F169" i="13"/>
  <c r="F13" i="13"/>
  <c r="F81" i="13"/>
  <c r="G100" i="13"/>
  <c r="G132" i="13"/>
  <c r="G164" i="13"/>
  <c r="G25" i="13"/>
  <c r="F25" i="13"/>
  <c r="F176" i="13"/>
  <c r="I135" i="12"/>
  <c r="G27" i="12"/>
  <c r="F27" i="12"/>
  <c r="G195" i="12"/>
  <c r="F195" i="12"/>
  <c r="I195" i="12"/>
  <c r="G136" i="12"/>
  <c r="G41" i="12"/>
  <c r="F179" i="12"/>
  <c r="F35" i="12"/>
  <c r="G78" i="12"/>
  <c r="G121" i="12"/>
  <c r="G174" i="12"/>
  <c r="G57" i="12"/>
  <c r="F65" i="12"/>
  <c r="F71" i="12"/>
  <c r="G100" i="12"/>
  <c r="F115" i="12"/>
  <c r="F137" i="12"/>
  <c r="F145" i="12"/>
  <c r="G49" i="12"/>
  <c r="F99" i="12"/>
  <c r="F129" i="12"/>
  <c r="G152" i="12"/>
  <c r="G20" i="12"/>
  <c r="G72" i="12"/>
  <c r="F131" i="12"/>
  <c r="G168" i="12"/>
  <c r="F63" i="12"/>
  <c r="F143" i="12"/>
  <c r="G24" i="12"/>
  <c r="G70" i="12"/>
  <c r="F166" i="12"/>
  <c r="G18" i="12"/>
  <c r="G56" i="12"/>
  <c r="G84" i="12"/>
  <c r="F159" i="12"/>
  <c r="G21" i="12"/>
  <c r="G67" i="12"/>
  <c r="G73" i="12"/>
  <c r="G81" i="12"/>
  <c r="F111" i="12"/>
  <c r="G126" i="12"/>
  <c r="G169" i="12"/>
  <c r="F177" i="12"/>
  <c r="F191" i="12"/>
  <c r="G5" i="12"/>
  <c r="G46" i="12"/>
  <c r="F60" i="12"/>
  <c r="G118" i="12"/>
  <c r="G132" i="12"/>
  <c r="F147" i="12"/>
  <c r="F6" i="12"/>
  <c r="F33" i="12"/>
  <c r="F47" i="12"/>
  <c r="G54" i="12"/>
  <c r="F89" i="12"/>
  <c r="F97" i="12"/>
  <c r="G104" i="12"/>
  <c r="F119" i="12"/>
  <c r="F163" i="12"/>
  <c r="G184" i="12"/>
  <c r="G180" i="12"/>
  <c r="G38" i="12"/>
  <c r="G88" i="12"/>
  <c r="F182" i="10"/>
  <c r="G91" i="10"/>
  <c r="G112" i="10"/>
  <c r="F154" i="10"/>
  <c r="G174" i="10"/>
  <c r="F8" i="10"/>
  <c r="F57" i="10"/>
  <c r="G126" i="10"/>
  <c r="F42" i="10"/>
  <c r="F120" i="10"/>
  <c r="F168" i="10"/>
  <c r="F49" i="10"/>
  <c r="F86" i="10"/>
  <c r="F106" i="10"/>
  <c r="G25" i="10"/>
  <c r="G38" i="10"/>
  <c r="F58" i="10"/>
  <c r="F73" i="10"/>
  <c r="F102" i="10"/>
  <c r="G107" i="10"/>
  <c r="G142" i="10"/>
  <c r="F150" i="10"/>
  <c r="G155" i="10"/>
  <c r="F184" i="10"/>
  <c r="F190" i="10"/>
  <c r="G160" i="10"/>
  <c r="F43" i="10"/>
  <c r="F72" i="10"/>
  <c r="F121" i="10"/>
  <c r="G9" i="10"/>
  <c r="G16" i="10"/>
  <c r="G78" i="10"/>
  <c r="G127" i="10"/>
  <c r="F136" i="10"/>
  <c r="G169" i="10"/>
  <c r="G175" i="10"/>
  <c r="G79" i="10"/>
  <c r="F88" i="10"/>
  <c r="F122" i="10"/>
  <c r="F170" i="10"/>
  <c r="G176" i="10"/>
  <c r="G63" i="10"/>
  <c r="F40" i="10"/>
  <c r="F74" i="10"/>
  <c r="F171" i="10"/>
  <c r="G191" i="10"/>
  <c r="F41" i="10"/>
  <c r="F75" i="10"/>
  <c r="F186" i="10"/>
  <c r="G192" i="10"/>
  <c r="G21" i="10"/>
  <c r="G47" i="10"/>
  <c r="F90" i="10"/>
  <c r="F145" i="10"/>
  <c r="F37" i="7"/>
  <c r="F62" i="7"/>
  <c r="G62" i="7"/>
  <c r="G63" i="7"/>
  <c r="F24" i="7"/>
  <c r="G24" i="7"/>
  <c r="G23" i="7"/>
  <c r="F23" i="7"/>
  <c r="G20" i="7"/>
  <c r="F7" i="7"/>
  <c r="G7" i="7"/>
  <c r="F6" i="7"/>
  <c r="I15" i="7"/>
  <c r="G15" i="7"/>
  <c r="F15" i="7"/>
  <c r="I9" i="7"/>
  <c r="I13" i="7"/>
  <c r="I11" i="7"/>
  <c r="I10" i="7"/>
  <c r="F8" i="7"/>
  <c r="F9" i="7"/>
  <c r="I8" i="7"/>
  <c r="F10" i="7"/>
  <c r="F11" i="7"/>
  <c r="F106" i="7"/>
  <c r="G106" i="7"/>
  <c r="G110" i="7"/>
  <c r="F110" i="7"/>
  <c r="I110" i="7"/>
  <c r="G109" i="7"/>
  <c r="F109" i="7"/>
  <c r="I109" i="7"/>
  <c r="G108" i="7"/>
  <c r="F108" i="7"/>
  <c r="I108" i="7"/>
  <c r="F107" i="7"/>
  <c r="F104" i="7"/>
  <c r="G104" i="7"/>
  <c r="G107" i="7"/>
  <c r="F105" i="7"/>
  <c r="G105" i="7"/>
  <c r="G102" i="7"/>
  <c r="I92" i="7"/>
  <c r="G90" i="7"/>
  <c r="G98" i="7"/>
  <c r="F98" i="7"/>
  <c r="I98" i="7"/>
  <c r="I86" i="7"/>
  <c r="F86" i="7"/>
  <c r="G86" i="7"/>
  <c r="I93" i="7"/>
  <c r="G93" i="7"/>
  <c r="F93" i="7"/>
  <c r="G87" i="7"/>
  <c r="F90" i="7"/>
  <c r="F97" i="7"/>
  <c r="F92" i="7"/>
  <c r="G99" i="7"/>
  <c r="I85" i="7"/>
  <c r="I81" i="7"/>
  <c r="G81" i="7"/>
  <c r="I78" i="7"/>
  <c r="F78" i="7"/>
  <c r="G78" i="7"/>
  <c r="G75" i="7"/>
  <c r="G72" i="7"/>
  <c r="F72" i="7"/>
  <c r="I72" i="7"/>
  <c r="F74" i="7"/>
  <c r="I74" i="7"/>
  <c r="G74" i="7"/>
  <c r="G73" i="7"/>
  <c r="F73" i="7"/>
  <c r="I73" i="7"/>
  <c r="I68" i="7"/>
  <c r="G68" i="7"/>
  <c r="I71" i="7"/>
  <c r="F69" i="7"/>
  <c r="G69" i="7"/>
  <c r="F70" i="7"/>
  <c r="I70" i="7"/>
  <c r="F80" i="7"/>
  <c r="I80" i="7"/>
  <c r="F71" i="7"/>
  <c r="F81" i="7"/>
  <c r="I59" i="7"/>
  <c r="F46" i="7"/>
  <c r="G46" i="7"/>
  <c r="G45" i="7"/>
  <c r="F56" i="7"/>
  <c r="I56" i="7"/>
  <c r="G56" i="7"/>
  <c r="F51" i="7"/>
  <c r="G51" i="7"/>
  <c r="G50" i="7"/>
  <c r="I50" i="7"/>
  <c r="F50" i="7"/>
  <c r="I54" i="7"/>
  <c r="G54" i="7"/>
  <c r="F54" i="7"/>
  <c r="F49" i="7"/>
  <c r="I49" i="7"/>
  <c r="G49" i="7"/>
  <c r="I61" i="7"/>
  <c r="G61" i="7"/>
  <c r="F61" i="7"/>
  <c r="F48" i="7"/>
  <c r="G57" i="7"/>
  <c r="G48" i="7"/>
  <c r="F58" i="7"/>
  <c r="I47" i="7"/>
  <c r="F59" i="7"/>
  <c r="F47" i="7"/>
  <c r="G58" i="7"/>
  <c r="I60" i="7"/>
  <c r="F57" i="7"/>
  <c r="F60" i="7"/>
  <c r="F45" i="7"/>
  <c r="I36" i="7"/>
  <c r="F36" i="7"/>
  <c r="I35" i="7"/>
  <c r="I42" i="7"/>
  <c r="G42" i="7"/>
  <c r="F42" i="7"/>
  <c r="F38" i="7"/>
  <c r="I34" i="7"/>
  <c r="G38" i="7"/>
  <c r="G39" i="7"/>
  <c r="F34" i="7"/>
  <c r="F35" i="7"/>
  <c r="F43" i="7"/>
  <c r="F55" i="7"/>
  <c r="F67" i="7"/>
  <c r="F79" i="7"/>
  <c r="F115" i="7"/>
  <c r="F127" i="7"/>
  <c r="F139" i="7"/>
  <c r="F151" i="7"/>
  <c r="F163" i="7"/>
  <c r="F175" i="7"/>
  <c r="F187" i="7"/>
  <c r="G43" i="7"/>
  <c r="G55" i="7"/>
  <c r="G67" i="7"/>
  <c r="G103" i="7"/>
  <c r="G115" i="7"/>
  <c r="G127" i="7"/>
  <c r="G139" i="7"/>
  <c r="G151" i="7"/>
  <c r="G163" i="7"/>
  <c r="G175" i="7"/>
  <c r="G187" i="7"/>
  <c r="I39" i="7"/>
  <c r="I51" i="7"/>
  <c r="I63" i="7"/>
  <c r="I75" i="7"/>
  <c r="I87" i="7"/>
  <c r="I99" i="7"/>
  <c r="I111" i="7"/>
  <c r="I123" i="7"/>
  <c r="I135" i="7"/>
  <c r="I147" i="7"/>
  <c r="I159" i="7"/>
  <c r="I171" i="7"/>
  <c r="I183" i="7"/>
  <c r="I40" i="7"/>
  <c r="I52" i="7"/>
  <c r="I64" i="7"/>
  <c r="I76" i="7"/>
  <c r="I88" i="7"/>
  <c r="I100" i="7"/>
  <c r="I112" i="7"/>
  <c r="I124" i="7"/>
  <c r="I136" i="7"/>
  <c r="I148" i="7"/>
  <c r="I160" i="7"/>
  <c r="I172" i="7"/>
  <c r="I184" i="7"/>
  <c r="F103" i="7"/>
  <c r="I41" i="7"/>
  <c r="I53" i="7"/>
  <c r="I65" i="7"/>
  <c r="I77" i="7"/>
  <c r="I89" i="7"/>
  <c r="I101" i="7"/>
  <c r="I113" i="7"/>
  <c r="I125" i="7"/>
  <c r="I137" i="7"/>
  <c r="I149" i="7"/>
  <c r="I161" i="7"/>
  <c r="I173" i="7"/>
  <c r="I185" i="7"/>
  <c r="G91" i="7"/>
  <c r="F100" i="7"/>
  <c r="G40" i="7"/>
  <c r="G52" i="7"/>
  <c r="G64" i="7"/>
  <c r="G76" i="7"/>
  <c r="G88" i="7"/>
  <c r="G112" i="7"/>
  <c r="G124" i="7"/>
  <c r="G136" i="7"/>
  <c r="G148" i="7"/>
  <c r="G160" i="7"/>
  <c r="G172" i="7"/>
  <c r="G184" i="7"/>
  <c r="I79" i="7"/>
  <c r="I91" i="7"/>
  <c r="F53" i="7"/>
  <c r="F65" i="7"/>
  <c r="F77" i="7"/>
  <c r="F89" i="7"/>
  <c r="F101" i="7"/>
  <c r="F113" i="7"/>
  <c r="F125" i="7"/>
  <c r="F137" i="7"/>
  <c r="F149" i="7"/>
  <c r="F161" i="7"/>
  <c r="F173" i="7"/>
  <c r="F185" i="7"/>
  <c r="F41" i="7"/>
  <c r="F16" i="7"/>
  <c r="I25" i="7"/>
  <c r="F13" i="7"/>
  <c r="F25" i="7"/>
  <c r="F14" i="7"/>
  <c r="F4" i="7"/>
  <c r="G4" i="7"/>
  <c r="G26" i="7"/>
  <c r="F26" i="7"/>
  <c r="G192" i="7"/>
  <c r="F37" i="20"/>
  <c r="G37" i="20"/>
  <c r="H49" i="20"/>
  <c r="F49" i="20"/>
  <c r="G49" i="20"/>
  <c r="H38" i="20"/>
  <c r="F38" i="20"/>
  <c r="G38" i="20"/>
  <c r="F50" i="20"/>
  <c r="G50" i="20"/>
  <c r="H40" i="20"/>
  <c r="F40" i="20"/>
  <c r="G40" i="20"/>
  <c r="G52" i="20"/>
  <c r="F52" i="20"/>
  <c r="H103" i="20"/>
  <c r="H67" i="20"/>
  <c r="H183" i="20"/>
  <c r="H96" i="20"/>
  <c r="H66" i="20"/>
  <c r="H25" i="20"/>
  <c r="G212" i="20"/>
  <c r="G205" i="20"/>
  <c r="F188" i="20"/>
  <c r="F180" i="20"/>
  <c r="G173" i="20"/>
  <c r="G165" i="20"/>
  <c r="G158" i="20"/>
  <c r="G99" i="20"/>
  <c r="G88" i="20"/>
  <c r="G82" i="20"/>
  <c r="F70" i="20"/>
  <c r="H209" i="20"/>
  <c r="H175" i="20"/>
  <c r="H150" i="20"/>
  <c r="H122" i="20"/>
  <c r="H24" i="20"/>
  <c r="H9" i="20"/>
  <c r="H102" i="20"/>
  <c r="H184" i="20"/>
  <c r="F212" i="20"/>
  <c r="F196" i="20"/>
  <c r="F165" i="20"/>
  <c r="F134" i="20"/>
  <c r="F99" i="20"/>
  <c r="G93" i="20"/>
  <c r="F82" i="20"/>
  <c r="H208" i="20"/>
  <c r="H90" i="20"/>
  <c r="H23" i="20"/>
  <c r="H8" i="20"/>
  <c r="H26" i="20"/>
  <c r="H206" i="20"/>
  <c r="H173" i="20"/>
  <c r="H115" i="20"/>
  <c r="H22" i="20"/>
  <c r="H7" i="20"/>
  <c r="H172" i="20"/>
  <c r="H114" i="20"/>
  <c r="H88" i="20"/>
  <c r="F22" i="20"/>
  <c r="F20" i="20"/>
  <c r="H231" i="20"/>
  <c r="H199" i="20"/>
  <c r="H171" i="20"/>
  <c r="H112" i="20"/>
  <c r="H53" i="20"/>
  <c r="G169" i="20"/>
  <c r="G64" i="20"/>
  <c r="G77" i="20"/>
  <c r="G67" i="20"/>
  <c r="H221" i="20"/>
  <c r="H198" i="20"/>
  <c r="H170" i="20"/>
  <c r="H137" i="20"/>
  <c r="H79" i="20"/>
  <c r="H19" i="20"/>
  <c r="H3" i="20"/>
  <c r="F81" i="20"/>
  <c r="G176" i="20"/>
  <c r="F169" i="20"/>
  <c r="F96" i="20"/>
  <c r="G85" i="20"/>
  <c r="F64" i="20"/>
  <c r="F77" i="20"/>
  <c r="G72" i="20"/>
  <c r="H220" i="20"/>
  <c r="H197" i="20"/>
  <c r="H136" i="20"/>
  <c r="H109" i="20"/>
  <c r="H18" i="20"/>
  <c r="H12" i="20"/>
  <c r="H4" i="20"/>
  <c r="G4" i="20"/>
  <c r="F4" i="20"/>
  <c r="F41" i="20"/>
  <c r="H41" i="20"/>
  <c r="G41" i="20"/>
  <c r="F34" i="20"/>
  <c r="H34" i="20"/>
  <c r="G34" i="20"/>
  <c r="F46" i="20"/>
  <c r="H46" i="20"/>
  <c r="G46" i="20"/>
  <c r="F58" i="20"/>
  <c r="H58" i="20"/>
  <c r="G58" i="20"/>
  <c r="F223" i="20"/>
  <c r="H223" i="20"/>
  <c r="H52" i="20"/>
  <c r="G18" i="20"/>
  <c r="H207" i="20"/>
  <c r="H195" i="20"/>
  <c r="H159" i="20"/>
  <c r="H147" i="20"/>
  <c r="H123" i="20"/>
  <c r="H111" i="20"/>
  <c r="H63" i="20"/>
  <c r="H113" i="20"/>
  <c r="H194" i="20"/>
  <c r="H182" i="20"/>
  <c r="H146" i="20"/>
  <c r="H86" i="20"/>
  <c r="H50" i="20"/>
  <c r="H162" i="20"/>
  <c r="H126" i="20"/>
  <c r="H161" i="20"/>
  <c r="F12" i="20"/>
  <c r="G66" i="20"/>
  <c r="H193" i="20"/>
  <c r="H181" i="20"/>
  <c r="H145" i="20"/>
  <c r="H133" i="20"/>
  <c r="H97" i="20"/>
  <c r="H73" i="20"/>
  <c r="H37" i="20"/>
  <c r="G11" i="20"/>
  <c r="G177" i="20"/>
  <c r="F142" i="20"/>
  <c r="G136" i="20"/>
  <c r="F104" i="20"/>
  <c r="H216" i="20"/>
  <c r="H204" i="20"/>
  <c r="H192" i="20"/>
  <c r="H180" i="20"/>
  <c r="H168" i="20"/>
  <c r="H144" i="20"/>
  <c r="H132" i="20"/>
  <c r="H120" i="20"/>
  <c r="H84" i="20"/>
  <c r="H72" i="20"/>
  <c r="G19" i="20"/>
  <c r="F10" i="20"/>
  <c r="H227" i="20"/>
  <c r="H215" i="20"/>
  <c r="H203" i="20"/>
  <c r="H191" i="20"/>
  <c r="H179" i="20"/>
  <c r="H167" i="20"/>
  <c r="H155" i="20"/>
  <c r="H143" i="20"/>
  <c r="H131" i="20"/>
  <c r="H119" i="20"/>
  <c r="H107" i="20"/>
  <c r="H95" i="20"/>
  <c r="H83" i="20"/>
  <c r="H196" i="20"/>
  <c r="H160" i="20"/>
  <c r="H148" i="20"/>
  <c r="H214" i="20"/>
  <c r="H202" i="20"/>
  <c r="H178" i="20"/>
  <c r="H166" i="20"/>
  <c r="H154" i="20"/>
  <c r="H130" i="20"/>
  <c r="H118" i="20"/>
  <c r="F8" i="20"/>
  <c r="F24" i="20"/>
  <c r="G189" i="20"/>
  <c r="G148" i="20"/>
  <c r="G120" i="20"/>
  <c r="G86" i="20"/>
  <c r="G69" i="20"/>
  <c r="H201" i="20"/>
  <c r="H189" i="20"/>
  <c r="H177" i="20"/>
  <c r="H153" i="20"/>
  <c r="H129" i="20"/>
  <c r="H105" i="20"/>
  <c r="H93" i="20"/>
  <c r="H81" i="20"/>
  <c r="H69" i="20"/>
  <c r="H101" i="20"/>
  <c r="H100" i="20"/>
  <c r="G23" i="20"/>
  <c r="F204" i="20"/>
  <c r="F182" i="20"/>
  <c r="G168" i="20"/>
  <c r="G101" i="20"/>
  <c r="H188" i="20"/>
  <c r="H176" i="20"/>
  <c r="H140" i="20"/>
  <c r="H128" i="20"/>
  <c r="H104" i="20"/>
  <c r="H92" i="20"/>
  <c r="H80" i="20"/>
  <c r="H68" i="20"/>
  <c r="F31" i="20"/>
  <c r="G31" i="20"/>
  <c r="F43" i="20"/>
  <c r="G43" i="20"/>
  <c r="F55" i="20"/>
  <c r="G55" i="20"/>
  <c r="F42" i="20"/>
  <c r="G42" i="20"/>
  <c r="F32" i="20"/>
  <c r="G32" i="20"/>
  <c r="F44" i="20"/>
  <c r="G44" i="20"/>
  <c r="F56" i="20"/>
  <c r="G56" i="20"/>
  <c r="F33" i="20"/>
  <c r="G33" i="20"/>
  <c r="G45" i="20"/>
  <c r="F45" i="20"/>
  <c r="F57" i="20"/>
  <c r="G57" i="20"/>
  <c r="G226" i="20"/>
  <c r="F226" i="20"/>
  <c r="G35" i="20"/>
  <c r="F35" i="20"/>
  <c r="F47" i="20"/>
  <c r="G47" i="20"/>
  <c r="F59" i="20"/>
  <c r="G59" i="20"/>
  <c r="G228" i="20"/>
  <c r="F228" i="20"/>
  <c r="F36" i="20"/>
  <c r="G36" i="20"/>
  <c r="F48" i="20"/>
  <c r="G48" i="20"/>
  <c r="F60" i="20"/>
  <c r="G60" i="20"/>
  <c r="F230" i="20"/>
  <c r="G230" i="20"/>
  <c r="F39" i="20"/>
  <c r="G39" i="20"/>
  <c r="F51" i="20"/>
  <c r="G51" i="20"/>
  <c r="F54" i="20"/>
  <c r="G54" i="20"/>
  <c r="G208" i="20"/>
  <c r="G202" i="20"/>
  <c r="G197" i="20"/>
  <c r="G192" i="20"/>
  <c r="G160" i="20"/>
  <c r="G154" i="20"/>
  <c r="G149" i="20"/>
  <c r="G144" i="20"/>
  <c r="G112" i="20"/>
  <c r="G102" i="20"/>
  <c r="F218" i="20"/>
  <c r="G181" i="20"/>
  <c r="F170" i="20"/>
  <c r="G133" i="20"/>
  <c r="F122" i="20"/>
  <c r="G97" i="20"/>
  <c r="F26" i="20"/>
  <c r="F14" i="20"/>
  <c r="F194" i="20"/>
  <c r="F146" i="20"/>
  <c r="G25" i="20"/>
  <c r="G13" i="20"/>
  <c r="G220" i="20"/>
  <c r="G198" i="20"/>
  <c r="G193" i="20"/>
  <c r="G172" i="20"/>
  <c r="G150" i="20"/>
  <c r="G145" i="20"/>
  <c r="G124" i="20"/>
  <c r="G103" i="20"/>
  <c r="F225" i="20"/>
  <c r="G225" i="20"/>
  <c r="F234" i="20"/>
  <c r="G234" i="20"/>
  <c r="F229" i="20"/>
  <c r="G229" i="20"/>
  <c r="F232" i="20"/>
  <c r="G232" i="20"/>
  <c r="F27" i="20"/>
  <c r="G27" i="20"/>
  <c r="F222" i="20"/>
  <c r="G222" i="20"/>
  <c r="F224" i="20"/>
  <c r="G224" i="20"/>
  <c r="F79" i="20"/>
  <c r="G7" i="20"/>
  <c r="G17" i="20"/>
  <c r="F5" i="20"/>
  <c r="F6" i="20"/>
  <c r="G16" i="20"/>
  <c r="F3" i="20"/>
  <c r="G21" i="20"/>
  <c r="G15" i="20"/>
  <c r="G9" i="20"/>
  <c r="G233" i="20"/>
  <c r="G209" i="20"/>
  <c r="G185" i="20"/>
  <c r="G161" i="20"/>
  <c r="G137" i="20"/>
  <c r="G113" i="20"/>
  <c r="G92" i="20"/>
  <c r="F61" i="20"/>
  <c r="G231" i="20"/>
  <c r="G227" i="20"/>
  <c r="G223" i="20"/>
  <c r="G219" i="20"/>
  <c r="G215" i="20"/>
  <c r="G211" i="20"/>
  <c r="G207" i="20"/>
  <c r="G203" i="20"/>
  <c r="G199" i="20"/>
  <c r="G195" i="20"/>
  <c r="G191" i="20"/>
  <c r="G187" i="20"/>
  <c r="G183" i="20"/>
  <c r="G179" i="20"/>
  <c r="G175" i="20"/>
  <c r="G171" i="20"/>
  <c r="G167" i="20"/>
  <c r="G163" i="20"/>
  <c r="G159" i="20"/>
  <c r="G155" i="20"/>
  <c r="G151" i="20"/>
  <c r="G147" i="20"/>
  <c r="G143" i="20"/>
  <c r="G139" i="20"/>
  <c r="G135" i="20"/>
  <c r="G131" i="20"/>
  <c r="G127" i="20"/>
  <c r="G123" i="20"/>
  <c r="G119" i="20"/>
  <c r="G115" i="20"/>
  <c r="G111" i="20"/>
  <c r="G83" i="20"/>
  <c r="F80" i="20"/>
  <c r="J136" i="4"/>
  <c r="G49" i="3"/>
  <c r="F50" i="3"/>
  <c r="G53" i="3"/>
  <c r="F53" i="3"/>
  <c r="G64" i="3"/>
  <c r="F64" i="3"/>
  <c r="G201" i="10"/>
  <c r="F201" i="10"/>
  <c r="G27" i="4"/>
  <c r="F27" i="4"/>
  <c r="G197" i="10"/>
  <c r="F197" i="10"/>
  <c r="G205" i="10"/>
  <c r="F205" i="10"/>
  <c r="G193" i="10"/>
  <c r="F193" i="10"/>
  <c r="G209" i="10"/>
  <c r="F209" i="10"/>
  <c r="F17" i="4"/>
  <c r="G17" i="4"/>
  <c r="G178" i="4"/>
  <c r="F178" i="4"/>
  <c r="F51" i="3"/>
  <c r="G27" i="10"/>
  <c r="F27" i="10"/>
  <c r="G140" i="10"/>
  <c r="F140" i="10"/>
  <c r="G45" i="11"/>
  <c r="F45" i="11"/>
  <c r="G109" i="11"/>
  <c r="F109" i="11"/>
  <c r="G106" i="13"/>
  <c r="F106" i="13"/>
  <c r="G136" i="4"/>
  <c r="G141" i="4"/>
  <c r="F177" i="4"/>
  <c r="G92" i="8"/>
  <c r="F92" i="8"/>
  <c r="G156" i="8"/>
  <c r="F156" i="8"/>
  <c r="G17" i="10"/>
  <c r="F17" i="10"/>
  <c r="G28" i="10"/>
  <c r="F28" i="10"/>
  <c r="F113" i="10"/>
  <c r="G204" i="10"/>
  <c r="F204" i="10"/>
  <c r="G15" i="11"/>
  <c r="F15" i="11"/>
  <c r="F82" i="11"/>
  <c r="F124" i="12"/>
  <c r="F82" i="13"/>
  <c r="F51" i="4"/>
  <c r="G137" i="4"/>
  <c r="G22" i="4"/>
  <c r="G112" i="4"/>
  <c r="G40" i="8"/>
  <c r="F40" i="8"/>
  <c r="G76" i="8"/>
  <c r="F76" i="8"/>
  <c r="F113" i="8"/>
  <c r="G184" i="8"/>
  <c r="F184" i="8"/>
  <c r="G196" i="10"/>
  <c r="F196" i="10"/>
  <c r="F66" i="11"/>
  <c r="F123" i="11"/>
  <c r="F44" i="3"/>
  <c r="F83" i="4"/>
  <c r="F111" i="4"/>
  <c r="F97" i="10"/>
  <c r="G106" i="12"/>
  <c r="F106" i="12"/>
  <c r="F150" i="4"/>
  <c r="F7" i="4"/>
  <c r="G12" i="4"/>
  <c r="F36" i="4"/>
  <c r="G41" i="4"/>
  <c r="F52" i="4"/>
  <c r="G57" i="4"/>
  <c r="F68" i="4"/>
  <c r="G73" i="4"/>
  <c r="F84" i="4"/>
  <c r="G89" i="4"/>
  <c r="F95" i="4"/>
  <c r="G119" i="4"/>
  <c r="G125" i="4"/>
  <c r="F132" i="4"/>
  <c r="G172" i="4"/>
  <c r="F193" i="4"/>
  <c r="F20" i="10"/>
  <c r="G7" i="12"/>
  <c r="F7" i="12"/>
  <c r="G194" i="10"/>
  <c r="F194" i="10"/>
  <c r="G124" i="8"/>
  <c r="F124" i="8"/>
  <c r="G168" i="8"/>
  <c r="F168" i="8"/>
  <c r="G44" i="10"/>
  <c r="F44" i="10"/>
  <c r="G108" i="10"/>
  <c r="F108" i="10"/>
  <c r="F161" i="10"/>
  <c r="G188" i="10"/>
  <c r="F188" i="10"/>
  <c r="G208" i="10"/>
  <c r="F208" i="10"/>
  <c r="G187" i="11"/>
  <c r="F187" i="11"/>
  <c r="G115" i="18"/>
  <c r="F115" i="18"/>
  <c r="F35" i="4"/>
  <c r="G67" i="4"/>
  <c r="F65" i="8"/>
  <c r="G59" i="3"/>
  <c r="G48" i="3"/>
  <c r="F61" i="3"/>
  <c r="F13" i="4"/>
  <c r="F18" i="4"/>
  <c r="F74" i="4"/>
  <c r="G90" i="4"/>
  <c r="G96" i="4"/>
  <c r="F120" i="4"/>
  <c r="F166" i="4"/>
  <c r="F49" i="8"/>
  <c r="F81" i="10"/>
  <c r="G198" i="10"/>
  <c r="F198" i="10"/>
  <c r="G77" i="11"/>
  <c r="F77" i="11"/>
  <c r="F167" i="12"/>
  <c r="G16" i="11"/>
  <c r="F16" i="11"/>
  <c r="G6" i="4"/>
  <c r="G104" i="8"/>
  <c r="F104" i="8"/>
  <c r="G25" i="11"/>
  <c r="F25" i="11"/>
  <c r="G62" i="4"/>
  <c r="F42" i="4"/>
  <c r="F58" i="4"/>
  <c r="G41" i="3"/>
  <c r="F8" i="4"/>
  <c r="F37" i="4"/>
  <c r="F53" i="4"/>
  <c r="F69" i="4"/>
  <c r="F102" i="4"/>
  <c r="F114" i="4"/>
  <c r="G188" i="4"/>
  <c r="G20" i="8"/>
  <c r="F20" i="8"/>
  <c r="G88" i="8"/>
  <c r="F88" i="8"/>
  <c r="G152" i="8"/>
  <c r="F152" i="8"/>
  <c r="F50" i="11"/>
  <c r="G64" i="18"/>
  <c r="F64" i="18"/>
  <c r="G14" i="13"/>
  <c r="F14" i="13"/>
  <c r="G172" i="10"/>
  <c r="F172" i="10"/>
  <c r="G210" i="10"/>
  <c r="F210" i="10"/>
  <c r="G156" i="4"/>
  <c r="F46" i="4"/>
  <c r="G192" i="4"/>
  <c r="G8" i="8"/>
  <c r="F8" i="8"/>
  <c r="G106" i="4"/>
  <c r="G46" i="3"/>
  <c r="G4" i="8"/>
  <c r="F4" i="8"/>
  <c r="F33" i="8"/>
  <c r="G60" i="8"/>
  <c r="F60" i="8"/>
  <c r="G108" i="8"/>
  <c r="F108" i="8"/>
  <c r="G92" i="10"/>
  <c r="F92" i="10"/>
  <c r="G200" i="10"/>
  <c r="F200" i="10"/>
  <c r="G20" i="18"/>
  <c r="F20" i="18"/>
  <c r="G24" i="8"/>
  <c r="F24" i="8"/>
  <c r="G56" i="8"/>
  <c r="F56" i="8"/>
  <c r="F94" i="4"/>
  <c r="F100" i="4"/>
  <c r="G118" i="4"/>
  <c r="F118" i="4"/>
  <c r="G60" i="10"/>
  <c r="F60" i="10"/>
  <c r="G131" i="4"/>
  <c r="G140" i="8"/>
  <c r="F140" i="8"/>
  <c r="G10" i="10"/>
  <c r="F10" i="10"/>
  <c r="F9" i="4"/>
  <c r="F38" i="4"/>
  <c r="F54" i="4"/>
  <c r="F70" i="4"/>
  <c r="F86" i="4"/>
  <c r="F103" i="4"/>
  <c r="G115" i="4"/>
  <c r="F146" i="4"/>
  <c r="G136" i="8"/>
  <c r="F136" i="8"/>
  <c r="G6" i="10"/>
  <c r="F6" i="10"/>
  <c r="F65" i="10"/>
  <c r="G61" i="11"/>
  <c r="F61" i="11"/>
  <c r="G151" i="12"/>
  <c r="F151" i="12"/>
  <c r="G16" i="12"/>
  <c r="F16" i="12"/>
  <c r="F171" i="4"/>
  <c r="F78" i="4"/>
  <c r="G45" i="3"/>
  <c r="F52" i="3"/>
  <c r="F58" i="3"/>
  <c r="F4" i="4"/>
  <c r="F25" i="4"/>
  <c r="F33" i="4"/>
  <c r="F49" i="4"/>
  <c r="F65" i="4"/>
  <c r="F81" i="4"/>
  <c r="F92" i="4"/>
  <c r="F98" i="4"/>
  <c r="F109" i="4"/>
  <c r="G122" i="4"/>
  <c r="G128" i="4"/>
  <c r="F161" i="8"/>
  <c r="G188" i="8"/>
  <c r="F188" i="8"/>
  <c r="F129" i="10"/>
  <c r="G156" i="10"/>
  <c r="F156" i="10"/>
  <c r="G212" i="10"/>
  <c r="F212" i="10"/>
  <c r="F34" i="11"/>
  <c r="F98" i="11"/>
  <c r="G173" i="13"/>
  <c r="F173" i="13"/>
  <c r="G124" i="10"/>
  <c r="F124" i="10"/>
  <c r="G206" i="10"/>
  <c r="F206" i="10"/>
  <c r="G44" i="8"/>
  <c r="F44" i="8"/>
  <c r="G72" i="8"/>
  <c r="F72" i="8"/>
  <c r="F15" i="10"/>
  <c r="G202" i="10"/>
  <c r="F202" i="10"/>
  <c r="G157" i="13"/>
  <c r="F157" i="13"/>
  <c r="F33" i="10"/>
  <c r="F177" i="10"/>
  <c r="G93" i="11"/>
  <c r="F93" i="11"/>
  <c r="G140" i="4"/>
  <c r="G162" i="4"/>
  <c r="F162" i="4"/>
  <c r="G15" i="8"/>
  <c r="F15" i="8"/>
  <c r="F81" i="8"/>
  <c r="G120" i="8"/>
  <c r="F120" i="8"/>
  <c r="F145" i="8"/>
  <c r="G172" i="8"/>
  <c r="F172" i="8"/>
  <c r="G76" i="10"/>
  <c r="F76" i="10"/>
  <c r="G179" i="11"/>
  <c r="F179" i="11"/>
  <c r="G98" i="12"/>
  <c r="F98" i="12"/>
  <c r="G45" i="13"/>
  <c r="F45" i="13"/>
  <c r="G141" i="13"/>
  <c r="F141" i="13"/>
  <c r="G48" i="18"/>
  <c r="F48" i="18"/>
  <c r="G99" i="18"/>
  <c r="F99" i="18"/>
  <c r="F14" i="8"/>
  <c r="F19" i="8"/>
  <c r="F39" i="8"/>
  <c r="F55" i="8"/>
  <c r="F71" i="8"/>
  <c r="F87" i="8"/>
  <c r="F103" i="8"/>
  <c r="F119" i="8"/>
  <c r="F135" i="8"/>
  <c r="F151" i="8"/>
  <c r="F167" i="8"/>
  <c r="F183" i="8"/>
  <c r="F5" i="10"/>
  <c r="F26" i="10"/>
  <c r="F39" i="10"/>
  <c r="F55" i="10"/>
  <c r="F71" i="10"/>
  <c r="F87" i="10"/>
  <c r="F103" i="10"/>
  <c r="F119" i="10"/>
  <c r="F135" i="10"/>
  <c r="F151" i="10"/>
  <c r="F167" i="10"/>
  <c r="F183" i="10"/>
  <c r="F10" i="11"/>
  <c r="F20" i="11"/>
  <c r="F40" i="11"/>
  <c r="F56" i="11"/>
  <c r="F72" i="11"/>
  <c r="F88" i="11"/>
  <c r="F104" i="11"/>
  <c r="F117" i="11"/>
  <c r="G171" i="11"/>
  <c r="F171" i="11"/>
  <c r="G17" i="12"/>
  <c r="F17" i="12"/>
  <c r="F55" i="12"/>
  <c r="G116" i="12"/>
  <c r="G90" i="13"/>
  <c r="F90" i="13"/>
  <c r="G125" i="13"/>
  <c r="F125" i="13"/>
  <c r="G32" i="18"/>
  <c r="F32" i="18"/>
  <c r="G83" i="18"/>
  <c r="F83" i="18"/>
  <c r="F184" i="18"/>
  <c r="F34" i="10"/>
  <c r="F50" i="10"/>
  <c r="F66" i="10"/>
  <c r="F82" i="10"/>
  <c r="F98" i="10"/>
  <c r="F114" i="10"/>
  <c r="F130" i="10"/>
  <c r="F146" i="10"/>
  <c r="F162" i="10"/>
  <c r="F178" i="10"/>
  <c r="F5" i="11"/>
  <c r="F35" i="11"/>
  <c r="F51" i="11"/>
  <c r="F67" i="11"/>
  <c r="F83" i="11"/>
  <c r="F99" i="11"/>
  <c r="G110" i="11"/>
  <c r="F110" i="11"/>
  <c r="G163" i="11"/>
  <c r="F163" i="11"/>
  <c r="F9" i="12"/>
  <c r="G90" i="12"/>
  <c r="F90" i="12"/>
  <c r="F108" i="12"/>
  <c r="G186" i="12"/>
  <c r="F186" i="12"/>
  <c r="G16" i="13"/>
  <c r="F16" i="13"/>
  <c r="G74" i="13"/>
  <c r="F74" i="13"/>
  <c r="G109" i="13"/>
  <c r="F109" i="13"/>
  <c r="F168" i="18"/>
  <c r="G176" i="18"/>
  <c r="F176" i="18"/>
  <c r="F45" i="10"/>
  <c r="F61" i="10"/>
  <c r="F77" i="10"/>
  <c r="F93" i="10"/>
  <c r="F109" i="10"/>
  <c r="F125" i="10"/>
  <c r="F141" i="10"/>
  <c r="F157" i="10"/>
  <c r="F173" i="10"/>
  <c r="F189" i="10"/>
  <c r="F26" i="11"/>
  <c r="F46" i="11"/>
  <c r="F62" i="11"/>
  <c r="F78" i="11"/>
  <c r="F94" i="11"/>
  <c r="G118" i="11"/>
  <c r="F118" i="11"/>
  <c r="F131" i="11"/>
  <c r="G139" i="11"/>
  <c r="F139" i="11"/>
  <c r="G155" i="11"/>
  <c r="F155" i="11"/>
  <c r="F181" i="11"/>
  <c r="F39" i="12"/>
  <c r="G82" i="12"/>
  <c r="F82" i="12"/>
  <c r="F135" i="12"/>
  <c r="G67" i="18"/>
  <c r="F67" i="18"/>
  <c r="F152" i="18"/>
  <c r="G160" i="18"/>
  <c r="F160" i="18"/>
  <c r="F157" i="4"/>
  <c r="F173" i="4"/>
  <c r="F189" i="4"/>
  <c r="F35" i="8"/>
  <c r="F51" i="8"/>
  <c r="F67" i="8"/>
  <c r="F83" i="8"/>
  <c r="F99" i="8"/>
  <c r="F115" i="8"/>
  <c r="F131" i="8"/>
  <c r="F147" i="8"/>
  <c r="F163" i="8"/>
  <c r="F179" i="8"/>
  <c r="F22" i="10"/>
  <c r="F35" i="10"/>
  <c r="F51" i="10"/>
  <c r="F67" i="10"/>
  <c r="F83" i="10"/>
  <c r="F99" i="10"/>
  <c r="F115" i="10"/>
  <c r="F131" i="10"/>
  <c r="F147" i="10"/>
  <c r="F163" i="10"/>
  <c r="F179" i="10"/>
  <c r="F6" i="11"/>
  <c r="F36" i="11"/>
  <c r="F52" i="11"/>
  <c r="F68" i="11"/>
  <c r="F84" i="11"/>
  <c r="F100" i="11"/>
  <c r="F119" i="11"/>
  <c r="F165" i="11"/>
  <c r="F19" i="12"/>
  <c r="G66" i="12"/>
  <c r="F66" i="12"/>
  <c r="G74" i="12"/>
  <c r="F74" i="12"/>
  <c r="F92" i="12"/>
  <c r="G162" i="12"/>
  <c r="F162" i="12"/>
  <c r="G170" i="12"/>
  <c r="F170" i="12"/>
  <c r="F188" i="12"/>
  <c r="G8" i="13"/>
  <c r="G93" i="13"/>
  <c r="F93" i="13"/>
  <c r="G14" i="18"/>
  <c r="F14" i="18"/>
  <c r="G51" i="18"/>
  <c r="F51" i="18"/>
  <c r="F136" i="18"/>
  <c r="G144" i="18"/>
  <c r="F144" i="18"/>
  <c r="F10" i="8"/>
  <c r="F26" i="8"/>
  <c r="F62" i="8"/>
  <c r="F94" i="8"/>
  <c r="G126" i="11"/>
  <c r="F126" i="11"/>
  <c r="G154" i="12"/>
  <c r="F154" i="12"/>
  <c r="G77" i="13"/>
  <c r="F77" i="13"/>
  <c r="G5" i="18"/>
  <c r="F5" i="18"/>
  <c r="G35" i="18"/>
  <c r="F35" i="18"/>
  <c r="F120" i="18"/>
  <c r="F147" i="4"/>
  <c r="F163" i="4"/>
  <c r="F179" i="4"/>
  <c r="F194" i="4"/>
  <c r="F198" i="4"/>
  <c r="F202" i="4"/>
  <c r="F73" i="8"/>
  <c r="F105" i="8"/>
  <c r="G50" i="12"/>
  <c r="F50" i="12"/>
  <c r="G58" i="12"/>
  <c r="F58" i="12"/>
  <c r="G146" i="12"/>
  <c r="F146" i="12"/>
  <c r="G58" i="13"/>
  <c r="F58" i="13"/>
  <c r="G128" i="18"/>
  <c r="F128" i="18"/>
  <c r="F36" i="8"/>
  <c r="F52" i="8"/>
  <c r="F68" i="8"/>
  <c r="F84" i="8"/>
  <c r="F100" i="8"/>
  <c r="F116" i="8"/>
  <c r="F132" i="8"/>
  <c r="F148" i="8"/>
  <c r="F164" i="8"/>
  <c r="F180" i="8"/>
  <c r="F23" i="10"/>
  <c r="F36" i="10"/>
  <c r="F52" i="10"/>
  <c r="F68" i="10"/>
  <c r="F84" i="10"/>
  <c r="F100" i="10"/>
  <c r="F116" i="10"/>
  <c r="F132" i="10"/>
  <c r="F148" i="10"/>
  <c r="F164" i="10"/>
  <c r="F180" i="10"/>
  <c r="F195" i="10"/>
  <c r="F199" i="10"/>
  <c r="F203" i="10"/>
  <c r="F207" i="10"/>
  <c r="F211" i="10"/>
  <c r="F7" i="11"/>
  <c r="F17" i="11"/>
  <c r="F37" i="11"/>
  <c r="F53" i="11"/>
  <c r="F69" i="11"/>
  <c r="F85" i="11"/>
  <c r="F101" i="11"/>
  <c r="F120" i="11"/>
  <c r="G141" i="11"/>
  <c r="G157" i="11"/>
  <c r="F76" i="12"/>
  <c r="F172" i="12"/>
  <c r="F20" i="13"/>
  <c r="F50" i="13"/>
  <c r="G179" i="18"/>
  <c r="F179" i="18"/>
  <c r="F153" i="4"/>
  <c r="F169" i="4"/>
  <c r="F185" i="4"/>
  <c r="G113" i="11"/>
  <c r="G134" i="11"/>
  <c r="F134" i="11"/>
  <c r="G142" i="11"/>
  <c r="F142" i="11"/>
  <c r="G167" i="11"/>
  <c r="F4" i="12"/>
  <c r="G34" i="12"/>
  <c r="F34" i="12"/>
  <c r="G42" i="12"/>
  <c r="F42" i="12"/>
  <c r="F103" i="12"/>
  <c r="G138" i="12"/>
  <c r="F138" i="12"/>
  <c r="F156" i="12"/>
  <c r="G164" i="12"/>
  <c r="G11" i="13"/>
  <c r="F11" i="13"/>
  <c r="G16" i="18"/>
  <c r="F16" i="18"/>
  <c r="F88" i="18"/>
  <c r="G112" i="18"/>
  <c r="F112" i="18"/>
  <c r="G163" i="18"/>
  <c r="F163" i="18"/>
  <c r="G130" i="12"/>
  <c r="F130" i="12"/>
  <c r="F34" i="13"/>
  <c r="F162" i="13"/>
  <c r="G96" i="18"/>
  <c r="F96" i="18"/>
  <c r="F134" i="4"/>
  <c r="F143" i="4"/>
  <c r="F17" i="8"/>
  <c r="F37" i="8"/>
  <c r="F53" i="8"/>
  <c r="F69" i="8"/>
  <c r="F85" i="8"/>
  <c r="F101" i="8"/>
  <c r="F117" i="8"/>
  <c r="F133" i="8"/>
  <c r="F149" i="8"/>
  <c r="F165" i="8"/>
  <c r="F181" i="8"/>
  <c r="F24" i="10"/>
  <c r="F37" i="10"/>
  <c r="F53" i="10"/>
  <c r="F69" i="10"/>
  <c r="F85" i="10"/>
  <c r="F101" i="10"/>
  <c r="F117" i="10"/>
  <c r="F133" i="10"/>
  <c r="F149" i="10"/>
  <c r="F165" i="10"/>
  <c r="F181" i="10"/>
  <c r="F8" i="11"/>
  <c r="F18" i="11"/>
  <c r="F38" i="11"/>
  <c r="F54" i="11"/>
  <c r="F70" i="11"/>
  <c r="F86" i="11"/>
  <c r="F102" i="11"/>
  <c r="F114" i="11"/>
  <c r="F128" i="11"/>
  <c r="G135" i="11"/>
  <c r="G151" i="11"/>
  <c r="F176" i="11"/>
  <c r="G22" i="12"/>
  <c r="F22" i="12"/>
  <c r="G148" i="12"/>
  <c r="G61" i="13"/>
  <c r="F61" i="13"/>
  <c r="F146" i="13"/>
  <c r="G154" i="13"/>
  <c r="F154" i="13"/>
  <c r="G170" i="13"/>
  <c r="F170" i="13"/>
  <c r="F17" i="18"/>
  <c r="F72" i="18"/>
  <c r="G147" i="18"/>
  <c r="F147" i="18"/>
  <c r="F14" i="10"/>
  <c r="F19" i="10"/>
  <c r="F32" i="10"/>
  <c r="F48" i="10"/>
  <c r="F64" i="10"/>
  <c r="F80" i="10"/>
  <c r="F96" i="10"/>
  <c r="F128" i="10"/>
  <c r="F33" i="11"/>
  <c r="F49" i="11"/>
  <c r="F65" i="11"/>
  <c r="F81" i="11"/>
  <c r="F97" i="11"/>
  <c r="F14" i="12"/>
  <c r="F44" i="12"/>
  <c r="G52" i="12"/>
  <c r="F87" i="12"/>
  <c r="G122" i="12"/>
  <c r="F122" i="12"/>
  <c r="F140" i="12"/>
  <c r="G183" i="12"/>
  <c r="F183" i="12"/>
  <c r="G42" i="13"/>
  <c r="F42" i="13"/>
  <c r="F130" i="13"/>
  <c r="G138" i="13"/>
  <c r="F138" i="13"/>
  <c r="G80" i="18"/>
  <c r="F80" i="18"/>
  <c r="G114" i="12"/>
  <c r="F114" i="12"/>
  <c r="F114" i="13"/>
  <c r="G122" i="13"/>
  <c r="F122" i="13"/>
  <c r="G131" i="18"/>
  <c r="F131" i="18"/>
  <c r="G57" i="13"/>
  <c r="G73" i="13"/>
  <c r="F18" i="13"/>
  <c r="F32" i="13"/>
  <c r="F48" i="13"/>
  <c r="F64" i="13"/>
  <c r="F80" i="13"/>
  <c r="F96" i="13"/>
  <c r="F8" i="18"/>
  <c r="F18" i="18"/>
  <c r="F38" i="18"/>
  <c r="F54" i="18"/>
  <c r="F70" i="18"/>
  <c r="F86" i="18"/>
  <c r="F102" i="18"/>
  <c r="F118" i="18"/>
  <c r="F134" i="18"/>
  <c r="F150" i="18"/>
  <c r="F166" i="18"/>
  <c r="F182" i="18"/>
  <c r="F158" i="11"/>
  <c r="F174" i="11"/>
  <c r="F190" i="11"/>
  <c r="F37" i="12"/>
  <c r="F53" i="12"/>
  <c r="F69" i="12"/>
  <c r="F85" i="12"/>
  <c r="F101" i="12"/>
  <c r="F117" i="12"/>
  <c r="F133" i="12"/>
  <c r="F149" i="12"/>
  <c r="F165" i="12"/>
  <c r="F181" i="12"/>
  <c r="F9" i="13"/>
  <c r="F43" i="13"/>
  <c r="F59" i="13"/>
  <c r="F75" i="13"/>
  <c r="F91" i="13"/>
  <c r="F107" i="13"/>
  <c r="F123" i="13"/>
  <c r="F139" i="13"/>
  <c r="F155" i="13"/>
  <c r="F171" i="13"/>
  <c r="F121" i="11"/>
  <c r="F137" i="11"/>
  <c r="F153" i="11"/>
  <c r="F169" i="11"/>
  <c r="F185" i="11"/>
  <c r="F13" i="12"/>
  <c r="F32" i="12"/>
  <c r="F48" i="12"/>
  <c r="F64" i="12"/>
  <c r="F80" i="12"/>
  <c r="F96" i="12"/>
  <c r="F112" i="12"/>
  <c r="F128" i="12"/>
  <c r="F144" i="12"/>
  <c r="F160" i="12"/>
  <c r="F176" i="12"/>
  <c r="F116" i="11"/>
  <c r="F148" i="11"/>
  <c r="F164" i="11"/>
  <c r="F180" i="11"/>
  <c r="F8" i="12"/>
  <c r="F23" i="12"/>
  <c r="F43" i="12"/>
  <c r="F59" i="12"/>
  <c r="F75" i="12"/>
  <c r="F91" i="12"/>
  <c r="F107" i="12"/>
  <c r="F123" i="12"/>
  <c r="F139" i="12"/>
  <c r="F155" i="12"/>
  <c r="F171" i="12"/>
  <c r="F187" i="12"/>
  <c r="F19" i="13"/>
  <c r="F24" i="13"/>
  <c r="F33" i="13"/>
  <c r="F178" i="12"/>
  <c r="F6" i="13"/>
  <c r="F40" i="13"/>
  <c r="F56" i="13"/>
  <c r="F72" i="13"/>
  <c r="F88" i="13"/>
  <c r="F104" i="13"/>
  <c r="F120" i="13"/>
  <c r="F136" i="13"/>
  <c r="F152" i="13"/>
  <c r="F168" i="13"/>
  <c r="F26" i="18"/>
  <c r="F46" i="18"/>
  <c r="F62" i="18"/>
  <c r="F78" i="18"/>
  <c r="F94" i="18"/>
  <c r="F110" i="18"/>
  <c r="F126" i="18"/>
  <c r="F142" i="18"/>
  <c r="F158" i="18"/>
  <c r="F174" i="18"/>
  <c r="F190" i="18"/>
  <c r="F150" i="11"/>
  <c r="F166" i="11"/>
  <c r="F182" i="11"/>
  <c r="F10" i="12"/>
  <c r="F15" i="12"/>
  <c r="F25" i="12"/>
  <c r="F45" i="12"/>
  <c r="F61" i="12"/>
  <c r="F77" i="12"/>
  <c r="F93" i="12"/>
  <c r="F109" i="12"/>
  <c r="F125" i="12"/>
  <c r="F141" i="12"/>
  <c r="F157" i="12"/>
  <c r="F173" i="12"/>
  <c r="F189" i="12"/>
  <c r="F21" i="13"/>
  <c r="F67" i="13"/>
  <c r="F185" i="18"/>
  <c r="F12" i="13"/>
  <c r="F46" i="13"/>
  <c r="F62" i="13"/>
  <c r="F78" i="13"/>
  <c r="F94" i="13"/>
  <c r="F110" i="13"/>
  <c r="F126" i="13"/>
  <c r="F142" i="13"/>
  <c r="F158" i="13"/>
  <c r="F174" i="13"/>
  <c r="F17" i="16"/>
  <c r="F6" i="18"/>
  <c r="F36" i="18"/>
  <c r="F52" i="18"/>
  <c r="F68" i="18"/>
  <c r="F84" i="18"/>
  <c r="F100" i="18"/>
  <c r="F116" i="18"/>
  <c r="F132" i="18"/>
  <c r="F148" i="18"/>
  <c r="F164" i="18"/>
  <c r="F180" i="18"/>
</calcChain>
</file>

<file path=xl/sharedStrings.xml><?xml version="1.0" encoding="utf-8"?>
<sst xmlns="http://schemas.openxmlformats.org/spreadsheetml/2006/main" count="4779" uniqueCount="1026">
  <si>
    <t>Notes:</t>
  </si>
  <si>
    <t>All false colour expects Log Gamma from their respective names</t>
  </si>
  <si>
    <t xml:space="preserve">All false colour expects to be used with low base ISO, if your camera has a different Log curve for high base ISO or other ISO values other than the base, parameters need to be adjusted. </t>
  </si>
  <si>
    <t>This Excel has reference table for following Log curves: 
ARRI LogC3
ARRI LogC4
ARRI LogC4 for Alexa 35 (gamma curve is the same but they way colours are assigned to the stops are slightly different)
Sony SLog3
Panasonic VLog
Blackmagic Design Film G5
REDLog3G10
Canon CLog
Canon CLog2
Canon CLog3
Apple Log (Do note shooting at 55 ISO and 1250 ISO is different)
Fujifilm FLog2
Fujifilm FLog
DJI-DLogM (No available whitepaper to reference, only referenced data from LUTCalc)
DJI-DLog
Nikon NLog</t>
  </si>
  <si>
    <t>Colour assignment Logic I used are as follows:
mg = middle grey
White &gt;= white point (which is around stop 6 or higher depending on sensor performance, any value higher than this will show up as white)
White point &gt;light pink &gt; stop 5 
stop 5 &gt;= dark pink &gt; stop 4
stop 4&gt;= red &gt; stop 3
stop 3&gt;= light orange &gt; stop 2
stop 2&gt;= dark orange &gt; stop 1
stop 1&gt;= light yellow &gt; stop 0.5
stop 0.5&gt;= dark yellow &gt; stop 0.2
stop 0.2&gt;= middle grey &gt;= stop -0.1
stop -0.1&gt; light green &gt;= stop -0.5
stop -0.5&gt; dark green &gt;= stop -1
stop -1&gt; darker green &gt;= stop -2
stop -2&gt; light blue &gt;= stop -3
stop -3&gt; dark blue &gt;= stop -4
stop -4 &gt; light purple &gt;= stop -5
stop -5&gt; dark purple &gt; stop 6 or 7 depending on sensor
stop 6 or 7 depending on sensor &gt;= black point ( so below stop 6 or 7 shows up as black)</t>
  </si>
  <si>
    <t>From the above logic, middle grey as approx one third a stop range.
And the transition line between colours is exactly where the actual stop is encoded in the Log curve. 
Middle grey lower range value set to only stop -0.1 so as to encourage a slight bias on getting middle grey exposed more to the upper range, so less chance of "underexposure" though this is a very minor difference.</t>
  </si>
  <si>
    <t xml:space="preserve">The CV or code value used to set the range may not be fit for use with all cameras even if you shoot at base ISO, since each sensor has it's very own performance capabilities, you'll need to adjust the values if you are using a specific camera sensor that doesn't match the range that was initially used. 
Please do testing with the camera you will be shooting with to confirm the results, do not assume set range will fit every usage. </t>
  </si>
  <si>
    <t>If you wish to try code your own version of DCTL on any coding programs like VSCode, ... etc. Here are some tips:</t>
  </si>
  <si>
    <t>Insert this in the very beginning of the Code so it can help you find out which line has the error:
#line 2 "File_name.dctl"
2 bieng indicating the line count starts from the very next line which is 2 
In the " " you include the name of the file you editing, so resolve debug text will show which file ran into an error
When the error shows up on the debug txt file, it will show the actual line it ran into an error</t>
  </si>
  <si>
    <t>Insert the following in the beginning if you wish to have a selection box for the various log curve or camera specific set range in that one DCTL
Do note that Resolve requres this to be declared in a single line no matter how long it is, otherwise it will not work. 
Combo Box:           
DEFINE_UI_PARAMS([variable name], [label], DCTLUI_COMBO_BOX, [default value], [enum list], [enum label list])
Example:
DEFINE_UI_PARAMS(GammaMode, Gamma_Mode, DCTLUI_COMBO_BOX, 0, {LogC3, LogC4, SLog3}, {ARRI LogC3, ARRI LogC4, Sony S-Log3})</t>
  </si>
  <si>
    <t>Next you need to tell resolve the following (if you do not wish to have multiple options available in one DCTL, you can just start with this)
__DEVICE__ float3 transform(int p_Width, int p_Height, int p_X, int p_Y, float p_R, float p_G, float p_B) {</t>
  </si>
  <si>
    <t>// then calculate luminance 
float curr_lum = (p_R * 0.2126f + p_G * 0.7152f + p_B * 0.0722f);</t>
  </si>
  <si>
    <t>// then initiate output colour
float3 output_color = make_float3(0.0f, 0.0f, 0.0f);</t>
  </si>
  <si>
    <t>// start of if logc for letting resolve know which set of codes to use for the selected option ( if combo box option isn't used can skip this)
    if (GammaMode == LogC3) {
          this part is the code for setting luminance range and assigning colours;
    }         else if (GammaMode == LogC4) {
          this part is the code for setting luminance range and assigning colours;
    } else { // default to LogC3 if no specific mode is selected
          this part is the code for setting luminance range and assigning colours;
    }
    return output_color;
} // this last curly bracket is to close the whole code, it was opened from the line __Device__</t>
  </si>
  <si>
    <t>inside the " this part is the code for setting luminance range and assigning colours" you can have the following:
// define middle grey luminance
float mg = 400.0 / 1023.0; // assuming 10bit code values. I think this line may not be needed since it isn't used to set the range. 
// define clipping point 
float clipping_point = 912.1/1023.0
//set the requred values according to the Log gamma curve and sensor performance required</t>
  </si>
  <si>
    <t>Next up is the colour assignment part
// color assignment based on code value ranges
if (curr_lum &gt;= (912.1/1023.0)) {
     output_color = make_float3(1.0f, 1.0f, 1.0f);
} else if (curr_lum &gt; (775.2/1023.0) &amp;&amp; curr_lum &lt; (912.1/1023.0)) {
     output_color = make_float3(0.9608f, 0.7451f, 0.7529f);
} else if ...//continue above code with aforementioned logic or use your own logic until all desired range are assigned colours {
} else if (curr_lum &lt;= (101.7/1023.0)) {
     output_color = make_float3(0.0f, 0.0f, 0.0f);
} // now this set of code for colour assignment is complete, continue with previous if logic to indicate the next set of code is for which option</t>
  </si>
  <si>
    <t>To calculate the value for float3, which is corresponding to the RGB values, just take the 8 bit code value you measured and divide by 255
each channel has a range from 0 to 255 
or you can use a calculating function like the one on the right 
middle grey colour use RGB value of (128, 128, 128) which in float3 terms is (0.5020f, 0.5020f, 0.5020f)</t>
  </si>
  <si>
    <t>RGB value
(8bit)</t>
  </si>
  <si>
    <t>float value</t>
  </si>
  <si>
    <t>Just watch some YouTube tutorials on how to create your own DCTL and follow the notes I have written above, you can create your own version of your DCTL, import into Resolve and you can also export a LUT from Resolve's built in function and monitor on external monitors without the EL Zone function, but your monitor must support import of LUTs of course.
I have zero knowledge of coding prior to this venture haha, but this is a first small step, figuring out the way different manufacturer encode their Log curve is a headache to begin with, some are fancy some are ambiguous, and my math ain't great QQ. Anyways. I've already done all the hard work in calculations of all the encoded stop value for you. Happy coding.</t>
  </si>
  <si>
    <t xml:space="preserve">This Reference table can also help you better understand how each Log curve encode the scene reflected stops of light in our natural world. And if you cross referrence with Xyla 21 stop Dynamic Range Test done by people like CineD or GeraldUndone, you can create a pretty accurate vesion for your specific camera you are shooting with.  </t>
  </si>
  <si>
    <r>
      <rPr>
        <u/>
        <sz val="10"/>
        <color rgb="FF1155CC"/>
        <rFont val="Arial"/>
      </rPr>
      <t xml:space="preserve">https://youtube.com/playlist?list=PLAUgeAzlAB_SPFWG_pXbz49k7tTSZEb9W&amp;si=YkKdz6YxSIaKwQxB
</t>
    </r>
    <r>
      <rPr>
        <u/>
        <sz val="10"/>
        <color rgb="FF1155CC"/>
        <rFont val="Arial"/>
      </rPr>
      <t>This playlist is DCTL tutorials from Kaur Hendrikson</t>
    </r>
  </si>
  <si>
    <r>
      <rPr>
        <u/>
        <sz val="10"/>
        <color rgb="FF1155CC"/>
        <rFont val="Arial"/>
      </rPr>
      <t xml:space="preserve">https://youtube.com/playlist?list=PLNb91KaW1BVh5unbCrhLG9Xaqz3ufXI0_&amp;si=Gdp_jDTc9aU99rUs
</t>
    </r>
    <r>
      <rPr>
        <u/>
        <sz val="10"/>
        <color rgb="FF000000"/>
        <rFont val="Arial"/>
      </rPr>
      <t>This playlist is DCTL tutorials from Tatcherfreeman</t>
    </r>
  </si>
  <si>
    <t>255, 255, 255</t>
  </si>
  <si>
    <t>(1.0f, 1.0f, 1.0f)</t>
  </si>
  <si>
    <t>252, 161, 182</t>
  </si>
  <si>
    <t>(0.9882f,0.6314f, 0.7137f)</t>
  </si>
  <si>
    <t>222, 85, 113</t>
  </si>
  <si>
    <t>(0.8706f, 0.3333f, 0.4431f)</t>
  </si>
  <si>
    <t>238, 0, 0</t>
  </si>
  <si>
    <t>(0.9333f, 0.0f, 0.0f)</t>
  </si>
  <si>
    <t>251, 184, 98</t>
  </si>
  <si>
    <t>(0.9843f, 0.7216f, 0.3843f)</t>
  </si>
  <si>
    <t>244, 109, 42</t>
  </si>
  <si>
    <t>(0.9569f, 0.4275f, 0.1647f)</t>
  </si>
  <si>
    <t>255, 248, 166</t>
  </si>
  <si>
    <t>(1.0f, 0.9725f, 0.6510f)</t>
  </si>
  <si>
    <t>249, 232, 0</t>
  </si>
  <si>
    <t>(0.9765f, 0.9098f, 0.0f)</t>
  </si>
  <si>
    <t>128, 128, 128</t>
  </si>
  <si>
    <t>(0.5020f, 0.5020f, 0.5020f)</t>
  </si>
  <si>
    <t>158, 233, 70</t>
  </si>
  <si>
    <t>(0.6196f, 0.9137f, 0.2745f)</t>
  </si>
  <si>
    <t>23,174,34</t>
  </si>
  <si>
    <t>(0.0902f, 0.6824f, 0.1333f)</t>
  </si>
  <si>
    <t>0, 122, 37</t>
  </si>
  <si>
    <t>(0.0f, 0.4784f, 0.1451f)</t>
  </si>
  <si>
    <t>45, 191, 249</t>
  </si>
  <si>
    <t>(0.1765f, 0.7490f, 0.9765f)</t>
  </si>
  <si>
    <t>0, 97, 165</t>
  </si>
  <si>
    <t>(0.0f, 0.3804f, 0.6471f)</t>
  </si>
  <si>
    <t>142, 110, 184</t>
  </si>
  <si>
    <t>(0.5569f, 0.4314f, 0.7216f)</t>
  </si>
  <si>
    <t>89, 61, 149</t>
  </si>
  <si>
    <t>(0.3490f, 0.2392f, 0.5843f)</t>
  </si>
  <si>
    <t>0,0,0</t>
  </si>
  <si>
    <t>(0.0f, 0.0f, 0.0f)</t>
  </si>
  <si>
    <t>Comparison Table IRE%
values 100%IRE and above are clipped white</t>
  </si>
  <si>
    <t>S/N</t>
  </si>
  <si>
    <t>stop</t>
  </si>
  <si>
    <t>Scene linear value</t>
  </si>
  <si>
    <t>LogC4</t>
  </si>
  <si>
    <t>LogC3</t>
  </si>
  <si>
    <t>SLog3</t>
  </si>
  <si>
    <t>REDLog3G10</t>
  </si>
  <si>
    <t>CLog2</t>
  </si>
  <si>
    <t>CLog3</t>
  </si>
  <si>
    <t>FLog2</t>
  </si>
  <si>
    <t>FLog</t>
  </si>
  <si>
    <t>CLog</t>
  </si>
  <si>
    <t>VLog</t>
  </si>
  <si>
    <t>BMDFilmG5</t>
  </si>
  <si>
    <t>DLog</t>
  </si>
  <si>
    <t>Apple Log</t>
  </si>
  <si>
    <t>NLog</t>
  </si>
  <si>
    <t>stop: -16.94699</t>
  </si>
  <si>
    <t>stop: -8</t>
  </si>
  <si>
    <t>stop: -7</t>
  </si>
  <si>
    <t>stop: -6</t>
  </si>
  <si>
    <t>stop: -5</t>
  </si>
  <si>
    <t>stop: -4</t>
  </si>
  <si>
    <t>stop: -3</t>
  </si>
  <si>
    <t>stop: -2</t>
  </si>
  <si>
    <t>stop: -1</t>
  </si>
  <si>
    <t>stop: -0.5</t>
  </si>
  <si>
    <t>Stop: -0.1</t>
  </si>
  <si>
    <t>stop: 0</t>
  </si>
  <si>
    <t>Stop: 0.2</t>
  </si>
  <si>
    <t>stop: 0.5</t>
  </si>
  <si>
    <t>stop: 1</t>
  </si>
  <si>
    <t>stop: 2</t>
  </si>
  <si>
    <t>stop: 2.322</t>
  </si>
  <si>
    <t>stop: 3</t>
  </si>
  <si>
    <t>stop: 4</t>
  </si>
  <si>
    <t>stop: 5</t>
  </si>
  <si>
    <t>stop: 6</t>
  </si>
  <si>
    <t>stop: 7</t>
  </si>
  <si>
    <t>stop: 8</t>
  </si>
  <si>
    <t>stop: 9</t>
  </si>
  <si>
    <t>stop:10</t>
  </si>
  <si>
    <t>Comparison Table 10 bit values
values above 1023 are outside of range but no camera can hit that max value</t>
  </si>
  <si>
    <t>Code Value</t>
  </si>
  <si>
    <t>Gamma</t>
  </si>
  <si>
    <t>ISO</t>
  </si>
  <si>
    <t>Black 
point</t>
  </si>
  <si>
    <t>White 
Point</t>
  </si>
  <si>
    <t>Comments</t>
  </si>
  <si>
    <t>Arri LogC3</t>
  </si>
  <si>
    <t>Arri LogC4 
Alexa35</t>
  </si>
  <si>
    <t>Arri LogC4
non-Alexa35</t>
  </si>
  <si>
    <t>SLog3
FX3</t>
  </si>
  <si>
    <t>SLog3 usually clip at 94IRE</t>
  </si>
  <si>
    <t xml:space="preserve">Based on VRaptro VV, at least a stop and half are recovered with incomplete color details, feature can't be turned off. </t>
  </si>
  <si>
    <t>base</t>
  </si>
  <si>
    <t xml:space="preserve">Meant for Pocket 6K. </t>
  </si>
  <si>
    <t>AppleLog
iPhone15 pro</t>
  </si>
  <si>
    <t>Below 1250 noise floor is cut and hidden</t>
  </si>
  <si>
    <t>1250 and above shadow stops are more open, getting more range but noise may be more visible</t>
  </si>
  <si>
    <t>Direct 709 calculations</t>
  </si>
  <si>
    <t xml:space="preserve">Using the transform equation from the REC709 whitepaper to transform from LogC3 to 709 shows luminance overflow without tone mapping, middle grey is also at a different luminance level from the ARRI LUT. The middle grey value is roughly at 30% IRE.
Also note that there are no shoulder highlight roll off, exhibiting a linear like highlights. </t>
  </si>
  <si>
    <t>ARRI reveal colour LUTs</t>
  </si>
  <si>
    <t xml:space="preserve">ARRI LUT for both LogC3 and LogC4 to REC709 closely matches each other with roll off at both shoulder and toe of the contrast curve. </t>
  </si>
  <si>
    <t>Middle grey from Arri LUT are consistent to be at the same level, roughly 40% IRE</t>
  </si>
  <si>
    <t>K2383 emulation</t>
  </si>
  <si>
    <t>For the K2383 version, since the ARRI LUT didn't have a version that converts to cineon log, I had to first apply an ARRI LUT to convert from LogC3 to St2084 gamma in a REC2100 colour space, it also adds a diffuse white of DW200. Then in the following CST, I transform from the PQ gamma REC2100 to cineon log with REC709 colour space, checkbox for 203nits diffuse whtie checked, and tone mapping uses resolve method, gamut compression is also selected. At the end of this is the built in resolve K2383 D65 LUT for 709 colour space. 
In this way we get the combined ARRI reveal colour science to a K2383 emulation film print. Without the ARRI LUT, a direct CST wouldn't yield the same colours as an ARRI LUT can give you.
We can see that from this conversion, the contrast curve of the look has a higher contrast than that of the ARRI 709, also the middle grey value has shifted to about 45% IRE. It too also has the filmic shoulder roll off that everyone likes.
Another interesting thing about this transform is that the black point is actually higher than the usual 1.6% IRE, it sits at 4.3% IRE</t>
  </si>
  <si>
    <t>False Colour for REC709</t>
  </si>
  <si>
    <t>In theory we could build a EL zone false colour based on the ARRI 709 Look, but that wouldn't mean the values can be used on other camera's REC709 Look, even ARRI's very own LUTs when you jump through the hoops and apply the Kodak 2383 LUT everything is already different. 
So there are just too many variables that changes how each stop value is mapped to the tone curve, there is no fixed method as to how you map your luminance values, it all comes down to your creative intent, the only things we are sure we can check for are black point and  white point clipping point, as for middle grey, if you had done your tests and know where it will sit after all the colour space transform, you can lock that in too, but note that this is not a constant for every scenario, you have to choose your target value. Just like ARRI chose to map it to 40% IRE.</t>
  </si>
  <si>
    <t>Middle Grey</t>
  </si>
  <si>
    <t>Using middle grey as an anchor for your colour correction or grade is crucial, as this will help preserve the neutral values and have a proper balanced image</t>
  </si>
  <si>
    <t>Monitoring LUT and Contrast Ratio</t>
  </si>
  <si>
    <t xml:space="preserve">If you are going to have a stronger contrast ratio in your final look, you likely won't be shooting at the exact contrast ratio of the final look on set. Shooting at a slightly lower contrast ratio and then using the grade to achieve that desired contrast ratio is best at preserving both highlight and shadow details especially at the extreme end. 
This is also why it is important to have a monitoring LUT on set that will be as close as possible to your final look, so you will be able to make the correct creative decisions on set so your footage won't run into the risk of over or under exposure. 
In addition to judging exposure, the final look LUT will also help the art department in choosing the right colour to use on set, from makeup to wardrobe and set design, they need it. </t>
  </si>
  <si>
    <t>Rec709 direct</t>
  </si>
  <si>
    <t>logC3 to pq dw200 to cineon to k2383 709 D65</t>
  </si>
  <si>
    <t>x</t>
  </si>
  <si>
    <t>y1</t>
  </si>
  <si>
    <t>y2</t>
  </si>
  <si>
    <t>y3</t>
  </si>
  <si>
    <t>y4</t>
  </si>
  <si>
    <t>y5</t>
  </si>
  <si>
    <t>y6</t>
  </si>
  <si>
    <t>y7</t>
  </si>
  <si>
    <t>ARRI LogC3 to REC709</t>
  </si>
  <si>
    <t>Highlight clipping point not determined</t>
  </si>
  <si>
    <t xml:space="preserve">Scene 
Reflectance </t>
  </si>
  <si>
    <t>scene linear to Log out data</t>
  </si>
  <si>
    <t>IRE(%) rounded</t>
  </si>
  <si>
    <t>Code Value (10 bit)</t>
  </si>
  <si>
    <t>Log to Lin</t>
  </si>
  <si>
    <t>Rec709OETF from scene reflected</t>
  </si>
  <si>
    <t>Rec709 OETF</t>
  </si>
  <si>
    <t>Rec709 EOTF from log value</t>
  </si>
  <si>
    <t>Rec709 OETF from EOTF</t>
  </si>
  <si>
    <t xml:space="preserve">10 bit value </t>
  </si>
  <si>
    <t>If Scene reflectance want to show in %, just multiply value by 100.</t>
  </si>
  <si>
    <t xml:space="preserve">Reflectance </t>
  </si>
  <si>
    <t>new lum value for logC3 to 709</t>
  </si>
  <si>
    <t>old lum value when log</t>
  </si>
  <si>
    <t>rec709 EOTF from after 709 conversion</t>
  </si>
  <si>
    <t>10bit code for new lum value of Arri709 from logC3</t>
  </si>
  <si>
    <t>new Lum value for logC4 to 709</t>
  </si>
  <si>
    <t>10bit code for new Lum value of Arri709 from logC4</t>
  </si>
  <si>
    <t>absolute clipping black, but sensor likely won't even reach past stop -7 or so</t>
  </si>
  <si>
    <t>stop = 0.18*2^x</t>
  </si>
  <si>
    <t>stop -9</t>
  </si>
  <si>
    <t>this should already be hidden deep in noise floor</t>
  </si>
  <si>
    <t>x is stop value</t>
  </si>
  <si>
    <t>stop -8</t>
  </si>
  <si>
    <t>I set 101.7 CV black clipping point, or equals to 9.9IRE, which is stop -7.2</t>
  </si>
  <si>
    <t>Assume Base ISO 800</t>
  </si>
  <si>
    <t>stop -7</t>
  </si>
  <si>
    <t>Scene Linear Reflection to Arri LogC3</t>
  </si>
  <si>
    <t>stop -6</t>
  </si>
  <si>
    <t>x &gt; cut</t>
  </si>
  <si>
    <t>stop -5</t>
  </si>
  <si>
    <t>t = c* log10(a*x+b)+d</t>
  </si>
  <si>
    <t>stop -4</t>
  </si>
  <si>
    <t>else</t>
  </si>
  <si>
    <t>if v &gt; 0.018</t>
  </si>
  <si>
    <t>stop -3</t>
  </si>
  <si>
    <t>e*x+f</t>
  </si>
  <si>
    <t>v= 1.099*L^0.45-0.099</t>
  </si>
  <si>
    <t>stop -2</t>
  </si>
  <si>
    <t>x = reflection rate</t>
  </si>
  <si>
    <t>if v&lt;= 0.018</t>
  </si>
  <si>
    <t>stop -1</t>
  </si>
  <si>
    <t>v=4.5*L</t>
  </si>
  <si>
    <t>stop -0.6</t>
  </si>
  <si>
    <t>cut = 0.010591</t>
  </si>
  <si>
    <t>v = digital signal</t>
  </si>
  <si>
    <t>stop -0.3</t>
  </si>
  <si>
    <t>a = 5.555556</t>
  </si>
  <si>
    <t>L = luminance</t>
  </si>
  <si>
    <t xml:space="preserve">stop 0 </t>
  </si>
  <si>
    <t>b = 0.052272</t>
  </si>
  <si>
    <t>stop 0.3</t>
  </si>
  <si>
    <t>c = 0.247190</t>
  </si>
  <si>
    <t>Rec709 EOTF</t>
  </si>
  <si>
    <t>stop 0.6</t>
  </si>
  <si>
    <t>d = 0.385537</t>
  </si>
  <si>
    <t>L=v^2.4</t>
  </si>
  <si>
    <t>stop 1</t>
  </si>
  <si>
    <t>e = 5.367655</t>
  </si>
  <si>
    <t>white point luminance 100cd/m^2</t>
  </si>
  <si>
    <t>stop 2</t>
  </si>
  <si>
    <t>Stop: 2.4739</t>
  </si>
  <si>
    <t>90% scene reflectance white</t>
  </si>
  <si>
    <t>f = 0.092809</t>
  </si>
  <si>
    <t>white point chromaticity:</t>
  </si>
  <si>
    <t>e*cut+f = 0.149658</t>
  </si>
  <si>
    <t>x = 0.3127, y = 0.3290 (D65)</t>
  </si>
  <si>
    <t>stop 3</t>
  </si>
  <si>
    <t>stop 4</t>
  </si>
  <si>
    <t xml:space="preserve">LogC3 to Scene Linear Reflection </t>
  </si>
  <si>
    <t>stop 5</t>
  </si>
  <si>
    <t>skipped</t>
  </si>
  <si>
    <t>( t &gt; e* cut + f)</t>
  </si>
  <si>
    <t>stop 6</t>
  </si>
  <si>
    <t>I set white clipping at 912.1 CV which is about stop 6.8</t>
  </si>
  <si>
    <t>x = (pow(10,(t-d)/c)-b)/a</t>
  </si>
  <si>
    <t>x=(pow(10,t-0.385537)/0.247190)-0.052272)/5.555556</t>
  </si>
  <si>
    <t>stop 7</t>
  </si>
  <si>
    <t>stop 8</t>
  </si>
  <si>
    <t>( t - f )/e</t>
  </si>
  <si>
    <t>stop 9</t>
  </si>
  <si>
    <t>stop 10</t>
  </si>
  <si>
    <t>Logc3 to 709 direct</t>
  </si>
  <si>
    <t>Alexa + 2383 lut</t>
  </si>
  <si>
    <t>ARRI LogC3</t>
  </si>
  <si>
    <t>Stops in one tenth increment</t>
  </si>
  <si>
    <t>Stop: -8.0</t>
  </si>
  <si>
    <t>Stop: -7.9</t>
  </si>
  <si>
    <t>Stop: -7.8</t>
  </si>
  <si>
    <t>Stop: -7.7</t>
  </si>
  <si>
    <t>Stop: -7.6</t>
  </si>
  <si>
    <t>Stop: -7.5</t>
  </si>
  <si>
    <t>Stop: -7.4</t>
  </si>
  <si>
    <t>Stop: -7.3</t>
  </si>
  <si>
    <t>Stop: -7.2</t>
  </si>
  <si>
    <t>Stop: -7.1</t>
  </si>
  <si>
    <t>Stop: -7.0</t>
  </si>
  <si>
    <t>Stop: -6.9</t>
  </si>
  <si>
    <t>Stop: -6.8</t>
  </si>
  <si>
    <t>Stop: -6.7</t>
  </si>
  <si>
    <t>Stop: -6.6</t>
  </si>
  <si>
    <t>Stop: -6.5</t>
  </si>
  <si>
    <t>Stop: -6.4</t>
  </si>
  <si>
    <t>Stop: -6.3</t>
  </si>
  <si>
    <t>Stop: -6.2</t>
  </si>
  <si>
    <t>Stop: -6.1</t>
  </si>
  <si>
    <t>Stop: -6.0</t>
  </si>
  <si>
    <t>Stop: -5.9</t>
  </si>
  <si>
    <t>Stop: -5.8</t>
  </si>
  <si>
    <t>Stop: -5.7</t>
  </si>
  <si>
    <t>Stop: -5.6</t>
  </si>
  <si>
    <t>Stop: -5.5</t>
  </si>
  <si>
    <t>Stop: -5.4</t>
  </si>
  <si>
    <t>Stop: -5.3</t>
  </si>
  <si>
    <t>Stop: -5.2</t>
  </si>
  <si>
    <t>Stop: -5.1</t>
  </si>
  <si>
    <t>Stop: -5.0</t>
  </si>
  <si>
    <t>Stop: -4.9</t>
  </si>
  <si>
    <t>Stop: -4.8</t>
  </si>
  <si>
    <t>Stop: -4.7</t>
  </si>
  <si>
    <t>Stop: -4.6</t>
  </si>
  <si>
    <t>Stop: -4.5</t>
  </si>
  <si>
    <t>Stop: -4.4</t>
  </si>
  <si>
    <t>Stop: -4.3</t>
  </si>
  <si>
    <t>Stop: -4.2</t>
  </si>
  <si>
    <t>Stop: -4.1</t>
  </si>
  <si>
    <t>Stop: -4.0</t>
  </si>
  <si>
    <t>Stop: -3.9</t>
  </si>
  <si>
    <t>Stop: -3.8</t>
  </si>
  <si>
    <t>Stop: -3.7</t>
  </si>
  <si>
    <t>Stop: -3.6</t>
  </si>
  <si>
    <t>Stop: -3.5</t>
  </si>
  <si>
    <t>Stop: -3.4</t>
  </si>
  <si>
    <t>Stop: -3.3</t>
  </si>
  <si>
    <t>Stop: -3.2</t>
  </si>
  <si>
    <t>Stop: -3.1</t>
  </si>
  <si>
    <t>Stop: -3.0</t>
  </si>
  <si>
    <t>Stop: -2.9</t>
  </si>
  <si>
    <t>Stop: -2.8</t>
  </si>
  <si>
    <t>Stop: -2.7</t>
  </si>
  <si>
    <t>Stop: -2.6</t>
  </si>
  <si>
    <t>Stop: -2.5</t>
  </si>
  <si>
    <t>Stop: -2.4</t>
  </si>
  <si>
    <t>Stop: -2.3</t>
  </si>
  <si>
    <t>Stop: -2.2</t>
  </si>
  <si>
    <t>Stop: -2.1</t>
  </si>
  <si>
    <t>Stop: -2.0</t>
  </si>
  <si>
    <t>Stop: -1.9</t>
  </si>
  <si>
    <t>Stop: -1.8</t>
  </si>
  <si>
    <t>Stop: -1.7</t>
  </si>
  <si>
    <t>Stop: -1.6</t>
  </si>
  <si>
    <t>Stop: -1.5</t>
  </si>
  <si>
    <t>Stop: -1.4</t>
  </si>
  <si>
    <t>Stop: -1.3</t>
  </si>
  <si>
    <t>Stop: -1.2</t>
  </si>
  <si>
    <t>Stop: -1.1</t>
  </si>
  <si>
    <t>Stop: -1.0</t>
  </si>
  <si>
    <t>Stop: -0.9</t>
  </si>
  <si>
    <t>Stop: -0.8</t>
  </si>
  <si>
    <t>Stop: -0.7</t>
  </si>
  <si>
    <t>Stop: -0.6</t>
  </si>
  <si>
    <t>Stop: -0.5</t>
  </si>
  <si>
    <t>Stop: -0.4</t>
  </si>
  <si>
    <t>Stop: -0.3</t>
  </si>
  <si>
    <t>Stop: -0.2</t>
  </si>
  <si>
    <t>Stop: 0.0</t>
  </si>
  <si>
    <t>Stop: 0.1</t>
  </si>
  <si>
    <t>Stop: 0.3</t>
  </si>
  <si>
    <t>Stop: 0.4</t>
  </si>
  <si>
    <t>Stop: 0.5</t>
  </si>
  <si>
    <t>Stop: 0.6</t>
  </si>
  <si>
    <t>Stop: 0.7</t>
  </si>
  <si>
    <t>Stop: 0.8</t>
  </si>
  <si>
    <t>Stop: 0.9</t>
  </si>
  <si>
    <t>Stop: 1.0</t>
  </si>
  <si>
    <t>Stop: 1.1</t>
  </si>
  <si>
    <t>Stop: 1.2</t>
  </si>
  <si>
    <t>Stop: 1.3</t>
  </si>
  <si>
    <t>Stop: 1.4</t>
  </si>
  <si>
    <t>Stop: 1.5</t>
  </si>
  <si>
    <t>Stop: 1.6</t>
  </si>
  <si>
    <t>Stop: 1.7</t>
  </si>
  <si>
    <t>Stop: 1.8</t>
  </si>
  <si>
    <t>Stop: 1.9</t>
  </si>
  <si>
    <t>Stop: 2.0</t>
  </si>
  <si>
    <t>Stop: 2.1</t>
  </si>
  <si>
    <t>Stop: 2.2</t>
  </si>
  <si>
    <t>Stop: 2.3</t>
  </si>
  <si>
    <t>Stop: 2.4</t>
  </si>
  <si>
    <t>Stop: 2.5</t>
  </si>
  <si>
    <t>Stop: 2.6</t>
  </si>
  <si>
    <t>Stop: 2.7</t>
  </si>
  <si>
    <t>Stop: 2.8</t>
  </si>
  <si>
    <t>Stop: 2.9</t>
  </si>
  <si>
    <t>Stop: 3.0</t>
  </si>
  <si>
    <t>Stop: 3.1</t>
  </si>
  <si>
    <t>Stop: 3.2</t>
  </si>
  <si>
    <t>Stop: 3.3</t>
  </si>
  <si>
    <t>Stop: 3.4</t>
  </si>
  <si>
    <t>Stop: 3.5</t>
  </si>
  <si>
    <t>Stop: 3.6</t>
  </si>
  <si>
    <t>Stop: 3.7</t>
  </si>
  <si>
    <t>Stop: 3.8</t>
  </si>
  <si>
    <t>Stop: 3.9</t>
  </si>
  <si>
    <t>Stop: 4.0</t>
  </si>
  <si>
    <t>Stop: 4.1</t>
  </si>
  <si>
    <t>Stop: 4.2</t>
  </si>
  <si>
    <t>Stop: 4.3</t>
  </si>
  <si>
    <t>Stop: 4.4</t>
  </si>
  <si>
    <t>Stop: 4.5</t>
  </si>
  <si>
    <t>Stop: 4.6</t>
  </si>
  <si>
    <t>Stop: 4.7</t>
  </si>
  <si>
    <t>Stop: 4.8</t>
  </si>
  <si>
    <t>Stop: 4.9</t>
  </si>
  <si>
    <t>Stop: 5.0</t>
  </si>
  <si>
    <t>Stop: 5.1</t>
  </si>
  <si>
    <t>Stop: 5.2</t>
  </si>
  <si>
    <t>Stop: 5.3</t>
  </si>
  <si>
    <t>Stop: 5.4</t>
  </si>
  <si>
    <t>Stop: 5.5</t>
  </si>
  <si>
    <t>Stop: 5.6</t>
  </si>
  <si>
    <t>Stop: 5.7</t>
  </si>
  <si>
    <t>Stop: 5.8</t>
  </si>
  <si>
    <t>Stop: 5.9</t>
  </si>
  <si>
    <t>Stop: 6.0</t>
  </si>
  <si>
    <t>Stop: 6.1</t>
  </si>
  <si>
    <t>Stop: 6.2</t>
  </si>
  <si>
    <t>Stop: 6.3</t>
  </si>
  <si>
    <t>Stop: 6.4</t>
  </si>
  <si>
    <t>Stop: 6.5</t>
  </si>
  <si>
    <t>Stop: 6.6</t>
  </si>
  <si>
    <t>Stop: 6.7</t>
  </si>
  <si>
    <t>Stop: 6.8</t>
  </si>
  <si>
    <t>Stop: 6.9</t>
  </si>
  <si>
    <t>Stop: 7.0</t>
  </si>
  <si>
    <t>Stop: 7.1</t>
  </si>
  <si>
    <t>Stop: 7.2</t>
  </si>
  <si>
    <t>Stop: 7.3</t>
  </si>
  <si>
    <t>Stop: 7.4</t>
  </si>
  <si>
    <t>Stop: 7.5</t>
  </si>
  <si>
    <t>Stop: 7.6</t>
  </si>
  <si>
    <t>Stop: 7.7</t>
  </si>
  <si>
    <t>Stop: 7.8</t>
  </si>
  <si>
    <t>Stop: 7.9</t>
  </si>
  <si>
    <t>Stop: 8.0</t>
  </si>
  <si>
    <t>Stop: 8.1</t>
  </si>
  <si>
    <t>Stop: 8.2</t>
  </si>
  <si>
    <t>Stop: 8.3</t>
  </si>
  <si>
    <t>Stop: 8.4</t>
  </si>
  <si>
    <t>Stop: 8.5</t>
  </si>
  <si>
    <t>Stop: 8.6</t>
  </si>
  <si>
    <t>Stop: 8.7</t>
  </si>
  <si>
    <t>Stop: 8.8</t>
  </si>
  <si>
    <t>Stop: 8.9</t>
  </si>
  <si>
    <t>Stop: 9</t>
  </si>
  <si>
    <t>Stop: 8.25735</t>
  </si>
  <si>
    <t>Theoretical clipping point, About stop 8.25735</t>
  </si>
  <si>
    <t>ARRI LogC4 Alexa 35</t>
  </si>
  <si>
    <t>Scene linear to Arri Log C4 python code</t>
  </si>
  <si>
    <t># Constants</t>
  </si>
  <si>
    <t>a = (pow(2.0, 18.0) - 16.0) / 117.45</t>
  </si>
  <si>
    <t>I set 99 as black clipping point which is stop -7.2</t>
  </si>
  <si>
    <t>b = (1023.0 - 95.0) / 1023.0</t>
  </si>
  <si>
    <t>c = 95.0 / 1023.0</t>
  </si>
  <si>
    <t>s = (7 * math.log(2) * pow(2.0, 7 - 14 * c / b)) / (a * b)</t>
  </si>
  <si>
    <t>t = (pow(2.0, 14.0 * (-c / b) + 6.0) - 64.0) / a</t>
  </si>
  <si>
    <t># Utility function for log2</t>
  </si>
  <si>
    <t>def log2(x):</t>
  </si>
  <si>
    <t>return math.log(x) / math.log(2.0)</t>
  </si>
  <si>
    <t># LogC4 Curve Encoding Function</t>
  </si>
  <si>
    <t>def relativeSceneLinearToNormalizedLogC4(x):</t>
  </si>
  <si>
    <t>if x &lt; t:</t>
  </si>
  <si>
    <t>return (x - t) / s</t>
  </si>
  <si>
    <t>return (log2(a * x + 64.0) - 6.0) / 14.0 * b + c</t>
  </si>
  <si>
    <t># Given x values (input reflectance rate separated by comma )</t>
  </si>
  <si>
    <t xml:space="preserve">skipped </t>
  </si>
  <si>
    <t>x_values = [      ]</t>
  </si>
  <si>
    <t># Calculate corresponding f values</t>
  </si>
  <si>
    <t>for x in x_values:</t>
  </si>
  <si>
    <t>skipped. If need better granularity, then need to test how best to add colours to differentiate the stops</t>
  </si>
  <si>
    <t>f = relativeSceneLinearToNormalizedLogC4(x)</t>
  </si>
  <si>
    <t>I set 845 CV as white clipping point, or 82.62IRE, which is stop 8.666667 or eight and two thirds</t>
  </si>
  <si>
    <t>print(f"For x = {x}, f = {f}")</t>
  </si>
  <si>
    <t>Arri LogC4 Alexa 35</t>
  </si>
  <si>
    <t>TABLE 1</t>
  </si>
  <si>
    <t>1/3 stop increments</t>
  </si>
  <si>
    <t>Stops</t>
  </si>
  <si>
    <t>10-bit Legal</t>
  </si>
  <si>
    <t>12-bit Legal</t>
  </si>
  <si>
    <t>10-bit Full</t>
  </si>
  <si>
    <t>12-bit Full</t>
  </si>
  <si>
    <t>IRE</t>
  </si>
  <si>
    <t>-6 1/3</t>
  </si>
  <si>
    <t>BLACK</t>
  </si>
  <si>
    <t>-52/3</t>
  </si>
  <si>
    <t>-5 1/3</t>
  </si>
  <si>
    <t>-4 2/3</t>
  </si>
  <si>
    <t>-4 1/3</t>
  </si>
  <si>
    <t>-32/3</t>
  </si>
  <si>
    <t>-3 1/3</t>
  </si>
  <si>
    <t>-2 2/3</t>
  </si>
  <si>
    <t>-2 1/3</t>
  </si>
  <si>
    <t>-1 2/3</t>
  </si>
  <si>
    <t>-1 1/3</t>
  </si>
  <si>
    <t>1 1/3</t>
  </si>
  <si>
    <t>1 2/3</t>
  </si>
  <si>
    <t>2 1/3</t>
  </si>
  <si>
    <t>3 1/3</t>
  </si>
  <si>
    <t>32/3</t>
  </si>
  <si>
    <t>4 1/3</t>
  </si>
  <si>
    <t>4 2/3</t>
  </si>
  <si>
    <t>5 1/3</t>
  </si>
  <si>
    <t>5 2/3</t>
  </si>
  <si>
    <t>6 1/3</t>
  </si>
  <si>
    <t>6 2/3</t>
  </si>
  <si>
    <t>7 1/3</t>
  </si>
  <si>
    <t>72/3</t>
  </si>
  <si>
    <t>8 2/3</t>
  </si>
  <si>
    <t>10 1/3</t>
  </si>
  <si>
    <t>10 2/3</t>
  </si>
  <si>
    <t>Theoretical clip point, sensor likely won't be able to capture this</t>
  </si>
  <si>
    <t xml:space="preserve">ARRI LogC4 </t>
  </si>
  <si>
    <t>Use original black point at stop -7.2, then use 99CV or 9.7IRE</t>
  </si>
  <si>
    <t>Using original white point at stop 6.8 new value will be 721.5 CV or 70.5IRE</t>
  </si>
  <si>
    <t>Arri LogC4</t>
  </si>
  <si>
    <t>Sony S-Log3</t>
  </si>
  <si>
    <t>sgamut3.cine</t>
  </si>
  <si>
    <t>y</t>
  </si>
  <si>
    <t>Bradford chromatic adaptation slog3 to ACES ap0</t>
  </si>
  <si>
    <t>red</t>
  </si>
  <si>
    <t>I used CV 105 as black clipping point, roughly stop -7</t>
  </si>
  <si>
    <t>green</t>
  </si>
  <si>
    <t>I used CV 115.4 as black clipping, which is stop -5.9 or 11.3%IRE</t>
  </si>
  <si>
    <t xml:space="preserve">Scene Linear Reflection to S-Log3 </t>
  </si>
  <si>
    <t>blue</t>
  </si>
  <si>
    <t xml:space="preserve">If in &gt;= 0.01125000 </t>
  </si>
  <si>
    <t>white (D65)</t>
  </si>
  <si>
    <t>DCI P3</t>
  </si>
  <si>
    <t xml:space="preserve">  out = (in * (171.2102946929 – 95.0)/0.01125000 + 95.0) / 1023.0 </t>
  </si>
  <si>
    <t>in = reflection</t>
  </si>
  <si>
    <t>0.0 &lt; out &lt; 1.0</t>
  </si>
  <si>
    <t>white (DCI)</t>
  </si>
  <si>
    <t xml:space="preserve">S-Log3 to Scene Linear Reflection </t>
  </si>
  <si>
    <t>Bradford chromatic adaption slog3 to logc3</t>
  </si>
  <si>
    <t xml:space="preserve">If in &gt;= 171.2102946929 / 1023.0 </t>
  </si>
  <si>
    <t>REC709</t>
  </si>
  <si>
    <t xml:space="preserve">out = (10.0 ^ ((in * 1023.0 - 420.0) / 261.5)) * (0.18 + 0.01) - 0.01 </t>
  </si>
  <si>
    <t xml:space="preserve">else </t>
  </si>
  <si>
    <t xml:space="preserve"> out + (in * 1023.0 – 95.0) * 0.01125000 / (171.2102946929 – 95.0) </t>
  </si>
  <si>
    <t>0.0 &lt; in &lt; 1.0</t>
  </si>
  <si>
    <t>out = reflection</t>
  </si>
  <si>
    <t>ACES ap0</t>
  </si>
  <si>
    <t>I use 854.8CV for 12800ISO clipping point, which is 84.3%IRE or 5.7 stop</t>
  </si>
  <si>
    <t xml:space="preserve">I used 886.3 CV as white clipping point </t>
  </si>
  <si>
    <t>This is the stop that clips as stated by Alister Chapman's guide of 94IRE</t>
  </si>
  <si>
    <t>white (approxD60)</t>
  </si>
  <si>
    <t>DWG intermediate</t>
  </si>
  <si>
    <t>Theoretical clipping point, sensor performance probably doesn't allow</t>
  </si>
  <si>
    <t>Panasonic VLog</t>
  </si>
  <si>
    <t xml:space="preserve">I use 135.9CV as black clipping point </t>
  </si>
  <si>
    <t>Scene Linear Reflection to V-Log</t>
  </si>
  <si>
    <t>out = 5.6*in+0.125</t>
  </si>
  <si>
    <t>( in &lt; cut1)</t>
  </si>
  <si>
    <t>out = c*log10(in+b)+d</t>
  </si>
  <si>
    <t>(in &gt;= cut 1</t>
  </si>
  <si>
    <t>cut1 = 0.01</t>
  </si>
  <si>
    <t>b = 0.00873</t>
  </si>
  <si>
    <t>c = 0.241514</t>
  </si>
  <si>
    <t>d = 0.598206</t>
  </si>
  <si>
    <t>0&lt;= out &lt;=1</t>
  </si>
  <si>
    <t xml:space="preserve">V-Log to Scene Linear Reflection </t>
  </si>
  <si>
    <t>V-Log 10bit code to scene linear reflection</t>
  </si>
  <si>
    <t>out = (in - 0.125)/5.6</t>
  </si>
  <si>
    <t>in = IN10BIT/1023  (IN10BIT is code value in V-Log 10 bit)</t>
  </si>
  <si>
    <t>( in &lt; cut2)</t>
  </si>
  <si>
    <t>out = pow(10.0,((in-d)/c))-b</t>
  </si>
  <si>
    <t>( in &gt;= cut2)</t>
  </si>
  <si>
    <t>out = pow(10.0, ((in-d)/c))-b</t>
  </si>
  <si>
    <t>cut2 = 0.181</t>
  </si>
  <si>
    <t xml:space="preserve">I used 874.3 CV as white clipping point </t>
  </si>
  <si>
    <t>0.0 &lt;= in &lt;= 1.0</t>
  </si>
  <si>
    <t>Theroetical Clipping point, sensor performance likely won't reach</t>
  </si>
  <si>
    <t>BMD FILMG5</t>
  </si>
  <si>
    <t>I use 118.4 as black clipping point</t>
  </si>
  <si>
    <t>Scene Linear Reflection to BMDFilmG5</t>
  </si>
  <si>
    <t>in = reflection = X</t>
  </si>
  <si>
    <t>y = D*X + E</t>
  </si>
  <si>
    <t>for X &lt; LIN_CUT</t>
  </si>
  <si>
    <t>y = A*LOG(X+B)+C</t>
  </si>
  <si>
    <t>for X &gt;= LIN_CUT</t>
  </si>
  <si>
    <t>A = 0.08692876065491224</t>
  </si>
  <si>
    <t>B = 0.005494072432257808</t>
  </si>
  <si>
    <t>C = 0.5300133392291939</t>
  </si>
  <si>
    <t>D = 8.283605932402494</t>
  </si>
  <si>
    <t>E = 0.09246575342465753</t>
  </si>
  <si>
    <t>LIN_CUT = 0.005</t>
  </si>
  <si>
    <t xml:space="preserve">BMDFilmG5 to Scene Linear Reflection </t>
  </si>
  <si>
    <t>X = (y-E)/D</t>
  </si>
  <si>
    <t>for y &lt; LOG_CUT</t>
  </si>
  <si>
    <t xml:space="preserve">I use 735CV as white clipping point, this is meant for monitoring P6k but need to use CST to make sure it is in GEN 5 gamma  before using </t>
  </si>
  <si>
    <t>X = exp((y-C)/A) - B</t>
  </si>
  <si>
    <t>for y &gt;= LOG_CUT</t>
  </si>
  <si>
    <t>where LOG_CUT = D * LIN_CUT + E</t>
  </si>
  <si>
    <t>Stop: 9.1</t>
  </si>
  <si>
    <t>Stop: 9.2</t>
  </si>
  <si>
    <t>Stop: 9.3</t>
  </si>
  <si>
    <t>Stop: 9.4</t>
  </si>
  <si>
    <t>Stop: 9.5</t>
  </si>
  <si>
    <t>Stop: 9.6</t>
  </si>
  <si>
    <t>Stop: 9.7</t>
  </si>
  <si>
    <t>Stop: 9.8</t>
  </si>
  <si>
    <t>Stop: 9.9</t>
  </si>
  <si>
    <t>Stop: 10</t>
  </si>
  <si>
    <t>Stop: 10.1</t>
  </si>
  <si>
    <t>Stop: 10.2</t>
  </si>
  <si>
    <t>Stop: 10.3</t>
  </si>
  <si>
    <t>Stop: 10.4</t>
  </si>
  <si>
    <t>Stop: 10.5</t>
  </si>
  <si>
    <t>Stop: 10.273931</t>
  </si>
  <si>
    <t>Theoretical max encoding value, sensor likely won't be able to reach</t>
  </si>
  <si>
    <t>RedLog3G10</t>
  </si>
  <si>
    <t>Do Note that RED GioScope doesn't really translate to something like an EL zone type of false colour, they work differently.</t>
  </si>
  <si>
    <t xml:space="preserve">This stop might be recoverable in post with denoise </t>
  </si>
  <si>
    <t xml:space="preserve">I set black clipping point at 101.8CV </t>
  </si>
  <si>
    <t>a = 0.224282</t>
  </si>
  <si>
    <t>b = 155.975327</t>
  </si>
  <si>
    <t>c = 0.01</t>
  </si>
  <si>
    <t>To extend a linear section for values lower than -0.01, the gradient at zero is :</t>
  </si>
  <si>
    <t>g = 15.1927</t>
  </si>
  <si>
    <t>float log3G10Inverse(float x) {</t>
  </si>
  <si>
    <t>const float a = 0.224282f; const float b = 155.975327f; const float c = 0.01f; const float g = 15.1927f;</t>
  </si>
  <si>
    <t>if (x &lt; 0.0f) { return (x/g)-c;}</t>
  </si>
  <si>
    <t>const float output = (powf(10.0f,x/a)-1.0f)/b;</t>
  </si>
  <si>
    <t>return output -c; }</t>
  </si>
  <si>
    <t>float log3G10(float x)</t>
  </si>
  <si>
    <t>{ const float a = 0.224282ff;  const float b = 155.975317f; const float c = 0.01f; const float g = 15.927f;</t>
  </si>
  <si>
    <t>x = x +c; (add reflectance rate and c before putting value into log equation)</t>
  </si>
  <si>
    <t>if (x &lt; 0.0f) {return x*g; }</t>
  </si>
  <si>
    <t>In VRaptor VV Lab test by CineD, stops above this are by highlight recovery which cannot be turned off.</t>
  </si>
  <si>
    <t>const float output = a * log10f((x * b) + 1.0f);</t>
  </si>
  <si>
    <t>You loose some colour info and sat from recovered stop specifically red channel.</t>
  </si>
  <si>
    <t>return output;</t>
  </si>
  <si>
    <t>This stop should have no red channel info for reproducing the recovered stop. I set clipping point at this 815.9CV but must remember this is a recovered stop.</t>
  </si>
  <si>
    <t>}</t>
  </si>
  <si>
    <t>stop: 10</t>
  </si>
  <si>
    <t>Theoretical clipping point, camera sensor won't be able to reach</t>
  </si>
  <si>
    <t>Canon C-Log</t>
  </si>
  <si>
    <t>I used CV 134 as black clipping point, roughly stop -6.1, expect below -5 to be in noise floor</t>
  </si>
  <si>
    <t>Scene linear to C-Log</t>
  </si>
  <si>
    <t>if (x/0.9) &lt; 0</t>
  </si>
  <si>
    <t>Y = -0.45310179* Log10(1-10.1596*(x/0.9)+0.12512248</t>
  </si>
  <si>
    <t>if (x/0.9) &gt;= 0</t>
  </si>
  <si>
    <t>y = 0.45310179*Log10((10.1596*(x/0.9)+1)+0.12512248</t>
  </si>
  <si>
    <t>x = scene linear reflectance</t>
  </si>
  <si>
    <t>y = full range gamma</t>
  </si>
  <si>
    <t>C-log to scene linear</t>
  </si>
  <si>
    <t>if y &lt; 0.12512248</t>
  </si>
  <si>
    <t>X/0.9 = -(10^((0.12512248-y)/0.445310179)-1)/10.1596</t>
  </si>
  <si>
    <t>if y &gt; 0.12512248</t>
  </si>
  <si>
    <t>I used 999 as clipping white, which is about stop 5.2</t>
  </si>
  <si>
    <t>X/0.9 = (10^((y-0.12512248)/0.45310179)-1)/10.1596</t>
  </si>
  <si>
    <t>Clipping point 1016 CV or 99.3%IRE. Approx 5.32 stop</t>
  </si>
  <si>
    <t>Canon C-Log2</t>
  </si>
  <si>
    <t>I used CV 109 as black clipping point, roughly stop -7</t>
  </si>
  <si>
    <t xml:space="preserve">Scene linear to C-Log2 </t>
  </si>
  <si>
    <t>Y = -0.24136077* Log10(1-87.099375*(x/0.9)+0.092864125</t>
  </si>
  <si>
    <t>if ( x/0.9) &gt;= 0</t>
  </si>
  <si>
    <t>Y = 0.24136077*Log10((87.099375*(x/0.9)+1)+0.092864125</t>
  </si>
  <si>
    <t>C-log2 to scene linear</t>
  </si>
  <si>
    <t>if y &lt; 0.092864125</t>
  </si>
  <si>
    <t>X/0.9 = -(10^((0.092864125-y)/0.24136077)-1)/87.099375</t>
  </si>
  <si>
    <t>if y &gt;= 0.092864125</t>
  </si>
  <si>
    <t>X/0.9 = (10^((y-0.092864125)/0.24136077)-1)/87.099375</t>
  </si>
  <si>
    <t xml:space="preserve">I used 859 CV to show clipping white, which is about between 6.1 and 6.2 stop, </t>
  </si>
  <si>
    <t>Canon C-Log3</t>
  </si>
  <si>
    <t>I used CV 133 as black clipping point, roughly stop -6.3</t>
  </si>
  <si>
    <t>Scene linear to C-Log3</t>
  </si>
  <si>
    <t>if (x/0.9) &lt; -0.014</t>
  </si>
  <si>
    <t>Y = -0.36726845* Log10(1-14.98325*(x/0.9)+0.12783901</t>
  </si>
  <si>
    <t>if -0.014&lt;=( x/0.9)&lt;= 0.014</t>
  </si>
  <si>
    <t>Y = 1.9754798*(x/0.9)+0.12512219</t>
  </si>
  <si>
    <t>if (x/0.9)&gt;0.014</t>
  </si>
  <si>
    <t>y = 0.36726845*Log10((14.98325*(x/0.9)+1)+0.12240537</t>
  </si>
  <si>
    <t>C-log3 to scene linear</t>
  </si>
  <si>
    <t>if y &lt; 0.097465473</t>
  </si>
  <si>
    <t>X*0.9 = -(10^((0.12783901-y)/0.36726845)-1)/14.98325</t>
  </si>
  <si>
    <t>if 0.097465473 &lt;= y&lt;=0.15277891</t>
  </si>
  <si>
    <t>x*0.9 = (y-0.12512219)/1.9754798</t>
  </si>
  <si>
    <t>I used 1001 as clipping white, which is about between 6.1 to 6.2</t>
  </si>
  <si>
    <t>if y &gt; 0.15277891</t>
  </si>
  <si>
    <t>X*0.9 = (10^((y-0.12240537)/0.36726845)-1)/14.98325</t>
  </si>
  <si>
    <t>From here to the darker stops, use Y = 1.9754798*(x/0.9)+0.12512219</t>
  </si>
  <si>
    <t>Theoretical clipping point</t>
  </si>
  <si>
    <t>Apple Log (55 / 1250)</t>
  </si>
  <si>
    <t>Native ISO is unknown, lower ISO seems cleaner but Apple just cut off the stops that are too noisy. ISO1250 with the signal amplification will let slightly more stops above the noise floor.</t>
  </si>
  <si>
    <t xml:space="preserve">Noise floor is around 160 CV to maybe 165 CV? </t>
  </si>
  <si>
    <t>Might be able to use this stop with denoise in post, but still use 169.7CV as black clipping for safer exposure in ISO1200, also below ISO1200 the noise floor cut off is severe. At ISO 1200 the signal is amplified, so it sort of reveals more stops within dynamic range. ISO55 = 12 stop; ISO1250 = 13.4 stop</t>
  </si>
  <si>
    <t>I used 169.7 CV as black clipping point, stop -6</t>
  </si>
  <si>
    <t>Scene linear to Apple Log</t>
  </si>
  <si>
    <t>if R &gt;= 0.01</t>
  </si>
  <si>
    <t>P = f (R) =γ  log2(R + β ) + δ , if R ≥ R1</t>
  </si>
  <si>
    <t>f = 0.08550479 * Log2 (R+0.00964052)+0.69336945</t>
  </si>
  <si>
    <t>f (R) = c(R−R0)^2, if R0 ≤ R &lt; R1</t>
  </si>
  <si>
    <t>if -0.05641088 &lt;= R &lt;0.01</t>
  </si>
  <si>
    <t>f(R) = 0, if R &lt; R0</t>
  </si>
  <si>
    <t>f= 47.28711236*(R-(-0.05641088))^2</t>
  </si>
  <si>
    <t>R0 = −0.05641088</t>
  </si>
  <si>
    <t>if R &lt; -0.05641088</t>
  </si>
  <si>
    <t>R1 = 0.01</t>
  </si>
  <si>
    <t>f = 0</t>
  </si>
  <si>
    <t xml:space="preserve"> </t>
  </si>
  <si>
    <t>c = 47.28711236</t>
  </si>
  <si>
    <t>β = 0.00964052</t>
  </si>
  <si>
    <t>γ = 0.08550479</t>
  </si>
  <si>
    <t>δ = 0.69336945</t>
  </si>
  <si>
    <t>R = reflectance rate, i.e. mg = 0.18</t>
  </si>
  <si>
    <t>Apple Log to scene linear</t>
  </si>
  <si>
    <t>R = f^-1(P) =2^(P−δ / γ) − β, if P ≥ P1</t>
  </si>
  <si>
    <t>CineD test show clip at lower than 832 CV, safer to put at 800 CV as max which is only about stop 3.5</t>
  </si>
  <si>
    <t>f^-1(P) = (√(P/c) )+ R0, if 0 ≤ P &lt; P1</t>
  </si>
  <si>
    <t xml:space="preserve">At ISO1250, can set clipping white to 921.8CV, which is about stop 4.9  </t>
  </si>
  <si>
    <t>f^-1(P) = R0, if P &lt; 0</t>
  </si>
  <si>
    <t>P1 = C*(R1 −R0)^2</t>
  </si>
  <si>
    <t>from here to brighter stops use: f = 0.08550479 * Log2 (R+0.00964052)+0.69336945</t>
  </si>
  <si>
    <t>Fujifilm F-Log2</t>
  </si>
  <si>
    <t>I used CV 114 as black clipping point, roughly stop -6.3</t>
  </si>
  <si>
    <t>b = 0.064829</t>
  </si>
  <si>
    <t>c = 0.245281</t>
  </si>
  <si>
    <t>d = 0.384316</t>
  </si>
  <si>
    <t>e = 8.799461</t>
  </si>
  <si>
    <t xml:space="preserve">f = 0.092864 </t>
  </si>
  <si>
    <t xml:space="preserve">cut1 = 0.000889 </t>
  </si>
  <si>
    <t xml:space="preserve">cut2 = 0.100686685370811 </t>
  </si>
  <si>
    <t xml:space="preserve">Scene Linear Reflection to F-Log2 </t>
  </si>
  <si>
    <t xml:space="preserve">F-Log2 to Scene Linear Reflection </t>
  </si>
  <si>
    <t xml:space="preserve">out = c * Log10(a * in + b) + d </t>
  </si>
  <si>
    <t xml:space="preserve">out = (10^((in - d) / c)) / a - b / a </t>
  </si>
  <si>
    <t>( in &gt;= cut1 )</t>
  </si>
  <si>
    <t xml:space="preserve">( in &gt;= cut2) </t>
  </si>
  <si>
    <t>out = e * in + f</t>
  </si>
  <si>
    <t>out = (in - f) / e</t>
  </si>
  <si>
    <t>( in &lt; cut1 )</t>
  </si>
  <si>
    <t xml:space="preserve">( in &lt; cut2) </t>
  </si>
  <si>
    <t>in = reflection {i.e. stop 0 = 0.18}</t>
  </si>
  <si>
    <t>0.0 &lt;= out &lt;= 1.0</t>
  </si>
  <si>
    <t xml:space="preserve">Zebra doesn't show above 85IRE, probable clipping point, so I used 869 CV as clipping point </t>
  </si>
  <si>
    <t xml:space="preserve">Can probably encode stops above this, but sensor performance unable to reach </t>
  </si>
  <si>
    <t>Fujifilm F-Log</t>
  </si>
  <si>
    <t>I used CV 107 as black clipping point, roughly stop -7</t>
  </si>
  <si>
    <t>a = 0.555556</t>
  </si>
  <si>
    <t>b = 0.009468</t>
  </si>
  <si>
    <t>c = 0.344676</t>
  </si>
  <si>
    <t xml:space="preserve"> d = 0.790453</t>
  </si>
  <si>
    <t>e = 8.735631</t>
  </si>
  <si>
    <t xml:space="preserve"> f = 0.092864 </t>
  </si>
  <si>
    <t>cut1 = 0.00089</t>
  </si>
  <si>
    <t>cut2 = 0.100537775223865</t>
  </si>
  <si>
    <t xml:space="preserve">Scene Linear Reflection to F-Log </t>
  </si>
  <si>
    <t xml:space="preserve">F-Log to Scene Linear Reflection </t>
  </si>
  <si>
    <t xml:space="preserve">out =  c * Log10(a * in + b) + d </t>
  </si>
  <si>
    <t>out = (10^((in - d) / c)) / a - b / a</t>
  </si>
  <si>
    <t xml:space="preserve">out =  e * in + f </t>
  </si>
  <si>
    <t xml:space="preserve">out = (in - f) / e </t>
  </si>
  <si>
    <t xml:space="preserve">( in &lt; cut1 ) </t>
  </si>
  <si>
    <t xml:space="preserve">0.0 &lt;= in &lt;= 1.0 </t>
  </si>
  <si>
    <t xml:space="preserve">0.0 &lt;= out &lt;= 1.0 </t>
  </si>
  <si>
    <t xml:space="preserve">Clipping Point, I used 1011 CV as point for showing clipping point </t>
  </si>
  <si>
    <t>DJI DLog M</t>
  </si>
  <si>
    <t>Values are determined by data from website LUTCalc, actual accurate value unknown</t>
  </si>
  <si>
    <t>I set black clipping point as 114CV</t>
  </si>
  <si>
    <t>No whitepaper to reference colour transform</t>
  </si>
  <si>
    <t>Either use Manufacturer provided REC709 lut and do your adjustments before this LUT or some other methods</t>
  </si>
  <si>
    <t>DJI D-Gamut unknown</t>
  </si>
  <si>
    <t>DJI DLog M gamma unknown</t>
  </si>
  <si>
    <t>Only reference is data from website LUTCalc</t>
  </si>
  <si>
    <t>https://cameramanben.github.io/LUTCalc/LUTCalc/index.html</t>
  </si>
  <si>
    <t>470.7CV, just using a quater of distance from mg, doesn't represent said stop, just so can have a range for mg</t>
  </si>
  <si>
    <t>534.7CV, just using a quater of distance from mg, doesn't represent said stop, just so can have a range for mg</t>
  </si>
  <si>
    <t>Clipping point is 942CV or 100IRE</t>
  </si>
  <si>
    <t>DJI D-Log</t>
  </si>
  <si>
    <t>I set 109.1CV as black clipping point, which is about stop -6.3</t>
  </si>
  <si>
    <t>Scene linear to D-Log</t>
  </si>
  <si>
    <t>in &lt;= 0.0078</t>
  </si>
  <si>
    <t>out = 6.025 * in + 0.0929</t>
  </si>
  <si>
    <t>in &gt; 0.0078</t>
  </si>
  <si>
    <t>out = (log10( in * 0.9892+0.0108)) * 0.256663 + 0.584555</t>
  </si>
  <si>
    <t>in = scene linear</t>
  </si>
  <si>
    <t xml:space="preserve">D-Log to scene linear </t>
  </si>
  <si>
    <t>in &lt;= 0.14</t>
  </si>
  <si>
    <t>out = ( in - 0.0929)/6.025</t>
  </si>
  <si>
    <t>in &gt; 0.14</t>
  </si>
  <si>
    <t>out = (10^(3.89616 * in - 2.27752) - 0.0108)/0.9892</t>
  </si>
  <si>
    <t xml:space="preserve">out = scene linear </t>
  </si>
  <si>
    <t xml:space="preserve">I set 899.3CV as white clipping point, which is stop 6.3, there may still be some details above this point </t>
  </si>
  <si>
    <t>Theoretical clipping point, sensor likely won't be able to capture</t>
  </si>
  <si>
    <t>Nikon N-Log</t>
  </si>
  <si>
    <t>N-Log data not so reliable</t>
  </si>
  <si>
    <t>I used CV 135 as black clipping point, roughly stop -7</t>
  </si>
  <si>
    <t>N-Log to scene linear</t>
  </si>
  <si>
    <t>if (x &lt; 452)</t>
  </si>
  <si>
    <t>y = (x/650)^3 −0.0075</t>
  </si>
  <si>
    <t>y = exp[(x−619)/150]</t>
  </si>
  <si>
    <t>end</t>
  </si>
  <si>
    <t>x is the N-Log 10-bit code value.</t>
  </si>
  <si>
    <t>y is refl ectance. (“y = 0.18” is equivalent to Stop 0.)</t>
  </si>
  <si>
    <t>Scene linear to N-Log</t>
  </si>
  <si>
    <t>if (y &lt; 0.328)</t>
  </si>
  <si>
    <t>x = 650 * (y + 0.0075)^(1/3)</t>
  </si>
  <si>
    <t>x = 150*log(y)+619</t>
  </si>
  <si>
    <t>I set clipping point at this stop</t>
  </si>
  <si>
    <t>used this as clipping point (986CV)</t>
  </si>
  <si>
    <t xml:space="preserve">Theoretical clipping point </t>
  </si>
  <si>
    <t>16bit value</t>
  </si>
  <si>
    <t>16bit Value</t>
  </si>
  <si>
    <t>stop: 11</t>
  </si>
  <si>
    <t>Stop: 11</t>
  </si>
  <si>
    <t>Stop: 10.6</t>
  </si>
  <si>
    <t>Stop: 10.7</t>
  </si>
  <si>
    <t>Stop: 10.8</t>
  </si>
  <si>
    <t>Stop: 10.9</t>
  </si>
  <si>
    <t>Stop: 11.1</t>
  </si>
  <si>
    <t>Stop: 11.2</t>
  </si>
  <si>
    <t>Stop: 11.3</t>
  </si>
  <si>
    <t>Stop: 11.35</t>
  </si>
  <si>
    <t>OETF</t>
  </si>
  <si>
    <t>A=0.0075</t>
  </si>
  <si>
    <t>B=7.0</t>
  </si>
  <si>
    <t>C=0.07329248</t>
  </si>
  <si>
    <t>M=10.44426855</t>
  </si>
  <si>
    <t>LIN-CUT=0.00262409</t>
  </si>
  <si>
    <t>LOG-CUT=0.02740668</t>
  </si>
  <si>
    <t>CONSTANTS</t>
  </si>
  <si>
    <t>IF L&gt; LIN-CUT V= (log2(L+A)+B)*C : else = L* M</t>
  </si>
  <si>
    <t>Inverser OETF</t>
  </si>
  <si>
    <t>IF V &gt; LOG-CUT L=pow(2.0,(V / C) -B) - A : else = V / M</t>
  </si>
  <si>
    <t>Stop: 9.117788</t>
  </si>
  <si>
    <t>Stop: -8.1</t>
  </si>
  <si>
    <t>Stop: -8.2</t>
  </si>
  <si>
    <t>Stop: -8.3</t>
  </si>
  <si>
    <t>Stop: -8.4</t>
  </si>
  <si>
    <t>Stop: -8.5</t>
  </si>
  <si>
    <t>Stop: -8.6</t>
  </si>
  <si>
    <t>Stop: -8.7</t>
  </si>
  <si>
    <t>Stop: -8.8</t>
  </si>
  <si>
    <t>Stop: -8.9</t>
  </si>
  <si>
    <t>Stop: -9</t>
  </si>
  <si>
    <t>Stop: -9.1</t>
  </si>
  <si>
    <t>Stop: -9.2</t>
  </si>
  <si>
    <t>Stop: -9.3</t>
  </si>
  <si>
    <t>Stop: -9.4</t>
  </si>
  <si>
    <t>Stop: -9.5</t>
  </si>
  <si>
    <t>Stop: -9.6</t>
  </si>
  <si>
    <t>Stop: -9.7</t>
  </si>
  <si>
    <t>Stop: -9.8</t>
  </si>
  <si>
    <t>Stop: -9.9</t>
  </si>
  <si>
    <t>Stop: -10</t>
  </si>
  <si>
    <t>Stop: -10.1</t>
  </si>
  <si>
    <t>Stop: -10.2</t>
  </si>
  <si>
    <t>Stop: -10.3</t>
  </si>
  <si>
    <t>Stop: -10.4</t>
  </si>
  <si>
    <t>Stop: -10.5</t>
  </si>
  <si>
    <t>Stop: -10.6</t>
  </si>
  <si>
    <t>Stop: -10.9</t>
  </si>
  <si>
    <t>Stop: -10.8</t>
  </si>
  <si>
    <t>Stop: -10.7</t>
  </si>
  <si>
    <t>Stop: -11</t>
  </si>
  <si>
    <t xml:space="preserve"> out = (420.0 + log10((in + 0.01) / (0.18 + 0.01)) * 261.5) / 1023.0</t>
  </si>
  <si>
    <t>Stop: 7.7377519</t>
  </si>
  <si>
    <t>White paper says this is the 0% black CV</t>
  </si>
  <si>
    <t>should already be hidden deep in noise floor</t>
  </si>
  <si>
    <t>16Bit Value</t>
  </si>
  <si>
    <t>Stop: 8.36229702</t>
  </si>
  <si>
    <t>Stop: 6.34856111</t>
  </si>
  <si>
    <t>Stop:-16.94699</t>
  </si>
  <si>
    <t>Stop:-8</t>
  </si>
  <si>
    <t>Stop:-7</t>
  </si>
  <si>
    <t>Stop:-6</t>
  </si>
  <si>
    <t>Stop:-5</t>
  </si>
  <si>
    <t>Stop:-4</t>
  </si>
  <si>
    <t>Stop:-3</t>
  </si>
  <si>
    <t>Stop:-2</t>
  </si>
  <si>
    <t>Stop:-1</t>
  </si>
  <si>
    <t>Stop:-0.5</t>
  </si>
  <si>
    <t>Stop:-0.1</t>
  </si>
  <si>
    <t>Stop:0</t>
  </si>
  <si>
    <t>Stop:0.2</t>
  </si>
  <si>
    <t>Stop:0.5</t>
  </si>
  <si>
    <t>Stop:1</t>
  </si>
  <si>
    <t>Stop:2</t>
  </si>
  <si>
    <t>Stop:2.322</t>
  </si>
  <si>
    <t>Stop:3</t>
  </si>
  <si>
    <t>Stop:4</t>
  </si>
  <si>
    <t>Stop:5</t>
  </si>
  <si>
    <t>Stop:6</t>
  </si>
  <si>
    <t>Stop:7</t>
  </si>
  <si>
    <t>Stop:8</t>
  </si>
  <si>
    <t>Stop:9</t>
  </si>
  <si>
    <t>Stop:-9</t>
  </si>
  <si>
    <t>Stop:-8.9</t>
  </si>
  <si>
    <t>Stop:-8.8</t>
  </si>
  <si>
    <t>Stop:-8.7</t>
  </si>
  <si>
    <t>Stop:-8.6</t>
  </si>
  <si>
    <t>Stop:-8.5</t>
  </si>
  <si>
    <t>Stop:-8.4</t>
  </si>
  <si>
    <t>Stop:-8.3</t>
  </si>
  <si>
    <t>Stop:-8.2</t>
  </si>
  <si>
    <t>Stop:-8.1</t>
  </si>
  <si>
    <t>Stop:-7.9</t>
  </si>
  <si>
    <t>Stop:-7.8</t>
  </si>
  <si>
    <t>Stop:-7.7</t>
  </si>
  <si>
    <t>Stop:-7.6</t>
  </si>
  <si>
    <t>Stop:-7.5</t>
  </si>
  <si>
    <t>Stop:-7.4</t>
  </si>
  <si>
    <t>Stop:-7.3</t>
  </si>
  <si>
    <t>Stop:-7.2</t>
  </si>
  <si>
    <t>Stop:-7.1</t>
  </si>
  <si>
    <t>Stop:-5.9</t>
  </si>
  <si>
    <t>Stop:-5.8</t>
  </si>
  <si>
    <t>Stop:-5.7</t>
  </si>
  <si>
    <t>Stop:-5.6</t>
  </si>
  <si>
    <t>Stop:-5.5</t>
  </si>
  <si>
    <t>Stop:-5.4</t>
  </si>
  <si>
    <t>Stop:-5.3</t>
  </si>
  <si>
    <t>Stop:-5.2</t>
  </si>
  <si>
    <t>Stop:-5.1</t>
  </si>
  <si>
    <t>Stop:-4.9</t>
  </si>
  <si>
    <t>Stop:-4.8</t>
  </si>
  <si>
    <t>Stop:-4.7</t>
  </si>
  <si>
    <t>Stop:-4.6</t>
  </si>
  <si>
    <t>Stop:-4.5</t>
  </si>
  <si>
    <t>Stop:-4.4</t>
  </si>
  <si>
    <t>Stop:-4.3</t>
  </si>
  <si>
    <t>Stop:-4.2</t>
  </si>
  <si>
    <t>Stop:-4.1</t>
  </si>
  <si>
    <t>Stop:-3.9</t>
  </si>
  <si>
    <t>Stop:-3.8</t>
  </si>
  <si>
    <t>Stop:-3.7</t>
  </si>
  <si>
    <t>Stop:-3.6</t>
  </si>
  <si>
    <t>Stop:-3.5</t>
  </si>
  <si>
    <t>Stop:-3.4</t>
  </si>
  <si>
    <t>Stop:-3.3</t>
  </si>
  <si>
    <t>Stop:-3.2</t>
  </si>
  <si>
    <t>Stop:-3.1</t>
  </si>
  <si>
    <t>Stop:-2.9</t>
  </si>
  <si>
    <t>Stop:-2.8</t>
  </si>
  <si>
    <t>Stop:-2.7</t>
  </si>
  <si>
    <t>Stop:-2.6</t>
  </si>
  <si>
    <t>Stop:-2.5</t>
  </si>
  <si>
    <t>Stop:-2.4</t>
  </si>
  <si>
    <t>Stop:-2.3</t>
  </si>
  <si>
    <t>Stop:-2.2</t>
  </si>
  <si>
    <t>Stop:-2.1</t>
  </si>
  <si>
    <t>Stop:1.9</t>
  </si>
  <si>
    <t>Stop:-1.8</t>
  </si>
  <si>
    <t>Stop:-1.7</t>
  </si>
  <si>
    <t>Stop:-1.6</t>
  </si>
  <si>
    <t>Stop:-1.5</t>
  </si>
  <si>
    <t>Stop:-1.4</t>
  </si>
  <si>
    <t>Stop:-1.3</t>
  </si>
  <si>
    <t>Stop:-1.2</t>
  </si>
  <si>
    <t>Stop:-1.1</t>
  </si>
  <si>
    <t>Stop:-0.9</t>
  </si>
  <si>
    <t>Stop:-0.8</t>
  </si>
  <si>
    <t>Stop:-0.7</t>
  </si>
  <si>
    <t>Stop:-0.6</t>
  </si>
  <si>
    <t>Stop:-0.4</t>
  </si>
  <si>
    <t>Stop:-0.3</t>
  </si>
  <si>
    <t>Stop:-0.2</t>
  </si>
  <si>
    <t>Stop:0.1</t>
  </si>
  <si>
    <t>Stop:0.3</t>
  </si>
  <si>
    <t>Stop:0.4</t>
  </si>
  <si>
    <t>Stop:0.6</t>
  </si>
  <si>
    <t>Stop:0.7</t>
  </si>
  <si>
    <t>Stop:0.8</t>
  </si>
  <si>
    <t>Stop:0.9</t>
  </si>
  <si>
    <t>Stop:1.1</t>
  </si>
  <si>
    <t>Stop:1.2</t>
  </si>
  <si>
    <t>Stop:1.3</t>
  </si>
  <si>
    <t>Stop:1.4</t>
  </si>
  <si>
    <t>Stop:1.5</t>
  </si>
  <si>
    <t>Stop:1.6</t>
  </si>
  <si>
    <t>Stop:1.7</t>
  </si>
  <si>
    <t>Stop:1.8</t>
  </si>
  <si>
    <t>Stop:2.1</t>
  </si>
  <si>
    <t>Stop:2.2</t>
  </si>
  <si>
    <t>Stop:2.3</t>
  </si>
  <si>
    <t>Stop:2.4</t>
  </si>
  <si>
    <t>Stop:2.5</t>
  </si>
  <si>
    <t>Stop:2.6</t>
  </si>
  <si>
    <t>Stop:2.7</t>
  </si>
  <si>
    <t>Stop:2.8</t>
  </si>
  <si>
    <t>Stop:2.9</t>
  </si>
  <si>
    <t>Stop:3.1</t>
  </si>
  <si>
    <t>Stop:3.2</t>
  </si>
  <si>
    <t>Stop:3.3</t>
  </si>
  <si>
    <t>Stop:3.4</t>
  </si>
  <si>
    <t>Stop:3.5</t>
  </si>
  <si>
    <t>Stop:3.6</t>
  </si>
  <si>
    <t>Stop:3.7</t>
  </si>
  <si>
    <t>Stop:3.8</t>
  </si>
  <si>
    <t>Stop:3.9</t>
  </si>
  <si>
    <t>Stop:4.1</t>
  </si>
  <si>
    <t>Stop:4.2</t>
  </si>
  <si>
    <t>Stop:4.3</t>
  </si>
  <si>
    <t>Stop:4.4</t>
  </si>
  <si>
    <t>Stop:4.5</t>
  </si>
  <si>
    <t>Stop:4.6</t>
  </si>
  <si>
    <t>Stop:4.7</t>
  </si>
  <si>
    <t>Stop:4.8</t>
  </si>
  <si>
    <t>Stop:4.9</t>
  </si>
  <si>
    <t>Stop:5.1</t>
  </si>
  <si>
    <t>Stop:5.2</t>
  </si>
  <si>
    <t>Stop:5.3</t>
  </si>
  <si>
    <t>Stop:5.4</t>
  </si>
  <si>
    <t>Stop:5.5</t>
  </si>
  <si>
    <t>Stop:5.6</t>
  </si>
  <si>
    <t>Stop:5.7</t>
  </si>
  <si>
    <t>Stop:5.8</t>
  </si>
  <si>
    <t>Stop:5.9</t>
  </si>
  <si>
    <t>Stop:6.1</t>
  </si>
  <si>
    <t>Stop:6.2</t>
  </si>
  <si>
    <t>Stop:6.3</t>
  </si>
  <si>
    <t>Stop:6.4</t>
  </si>
  <si>
    <t>Stop:6.5</t>
  </si>
  <si>
    <t>Stop:6.6</t>
  </si>
  <si>
    <t>Stop:6.7</t>
  </si>
  <si>
    <t>Stop:6.8</t>
  </si>
  <si>
    <t>Stop:6.9</t>
  </si>
  <si>
    <t>Stop:7.1</t>
  </si>
  <si>
    <t>Stop:7.2</t>
  </si>
  <si>
    <t>Stop:7.3</t>
  </si>
  <si>
    <t>Stop:7.4</t>
  </si>
  <si>
    <t>Stop:7.5</t>
  </si>
  <si>
    <t>Stop:7.6</t>
  </si>
  <si>
    <t>Stop:7.7</t>
  </si>
  <si>
    <t>Stop:7.8</t>
  </si>
  <si>
    <t>Stop:7.9</t>
  </si>
  <si>
    <t>Stop:8.1</t>
  </si>
  <si>
    <t>Stop:8.2</t>
  </si>
  <si>
    <t>Stop:8.3</t>
  </si>
  <si>
    <t>Stop:8.4</t>
  </si>
  <si>
    <t>Stop:8.5</t>
  </si>
  <si>
    <t>Stop:8.6</t>
  </si>
  <si>
    <t>Stop:8.7</t>
  </si>
  <si>
    <t>Stop:8.8</t>
  </si>
  <si>
    <t>Stop:8.9</t>
  </si>
  <si>
    <t>Stop:9.1</t>
  </si>
  <si>
    <t>Stop:9.2</t>
  </si>
  <si>
    <t>Stop:9.3</t>
  </si>
  <si>
    <t>Stop:9.4</t>
  </si>
  <si>
    <t>Stop:9.5</t>
  </si>
  <si>
    <t>Stop:9.6</t>
  </si>
  <si>
    <t>Stop:9.7</t>
  </si>
  <si>
    <t>Stop:9.8</t>
  </si>
  <si>
    <t>Stop:9.9</t>
  </si>
  <si>
    <t>Stop:10</t>
  </si>
  <si>
    <t>Constants</t>
  </si>
  <si>
    <t>a=5.555556</t>
  </si>
  <si>
    <t>b=0.064829</t>
  </si>
  <si>
    <t>c=0.245281</t>
  </si>
  <si>
    <t>d=0.384316</t>
  </si>
  <si>
    <t>e=8.799461</t>
  </si>
  <si>
    <t>f=0.092864</t>
  </si>
  <si>
    <t>cut1=0.000889</t>
  </si>
  <si>
    <t>cut2=0.100686685370811</t>
  </si>
  <si>
    <t>out= c * Log10(a * in + b) + d</t>
  </si>
  <si>
    <t>out= e * in + f</t>
  </si>
  <si>
    <t>in=reflection</t>
  </si>
  <si>
    <t>0.0&lt;=out&lt;=1.0</t>
  </si>
  <si>
    <t>Linear to FLog2C</t>
  </si>
  <si>
    <t>FLog2C to Linear</t>
  </si>
  <si>
    <t>If in&gt;=cut2</t>
  </si>
  <si>
    <t>If in&gt;=cut1</t>
  </si>
  <si>
    <t>out=(10^(((in - d) / c)) / a - b / a</t>
  </si>
  <si>
    <t>out= (in - f) / e</t>
  </si>
  <si>
    <t>0.0&lt;=in&lt;=1.0</t>
  </si>
  <si>
    <t>out=reflection</t>
  </si>
  <si>
    <t>Fujifilm F-Log2C</t>
  </si>
  <si>
    <t>This is essentially the same as FLog2 but uses a better gamut for the colour</t>
  </si>
  <si>
    <t>Stop:8.338135</t>
  </si>
  <si>
    <t>t=</t>
  </si>
  <si>
    <t>s = (7 * log(2) * pow(2.0, 7 - 14 * c / b)) / (a * b);</t>
  </si>
  <si>
    <t>b=928/1023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</si>
</sst>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0"/>
    <numFmt numFmtId="165" formatCode="0.0"/>
    <numFmt numFmtId="166" formatCode="#,##0.0000000"/>
    <numFmt numFmtId="167" formatCode="#,##0.000"/>
    <numFmt numFmtId="168" formatCode="#,##0.000000000"/>
    <numFmt numFmtId="169" formatCode="#,##0.000000000000000"/>
    <numFmt numFmtId="170" formatCode="#,##0.00000000000000000000"/>
    <numFmt numFmtId="171" formatCode="#,##0.0"/>
    <numFmt numFmtId="172" formatCode="0.000"/>
    <numFmt numFmtId="173" formatCode="0.000000000000"/>
    <numFmt numFmtId="174" formatCode="0.00000000000"/>
    <numFmt numFmtId="175" formatCode="0.000000000"/>
    <numFmt numFmtId="176" formatCode="d/m"/>
    <numFmt numFmtId="177" formatCode="0.00000"/>
  </numFmts>
  <fonts count="32">
    <font>
      <sz val="10"/>
      <color rgb="FF000000"/>
      <name val="Arial"/>
      <scheme val="minor"/>
    </font>
    <font>
      <sz val="12"/>
      <color theme="1"/>
      <name val="Arial"/>
      <family val="2"/>
      <scheme val="minor"/>
    </font>
    <font>
      <b/>
      <sz val="14"/>
      <color theme="1"/>
      <name val="Arial"/>
      <scheme val="minor"/>
    </font>
    <font>
      <sz val="10"/>
      <color theme="1"/>
      <name val="Arial"/>
      <scheme val="minor"/>
    </font>
    <font>
      <b/>
      <sz val="10"/>
      <color theme="1"/>
      <name val="Arial"/>
      <scheme val="minor"/>
    </font>
    <font>
      <u/>
      <sz val="10"/>
      <color rgb="FF1155CC"/>
      <name val="Arial"/>
    </font>
    <font>
      <sz val="10"/>
      <color theme="1"/>
      <name val="Arial"/>
    </font>
    <font>
      <b/>
      <sz val="10"/>
      <color theme="1"/>
      <name val="Arial"/>
    </font>
    <font>
      <sz val="10"/>
      <name val="Arial"/>
    </font>
    <font>
      <sz val="11"/>
      <color theme="1"/>
      <name val="Aptos"/>
    </font>
    <font>
      <sz val="11"/>
      <color theme="1"/>
      <name val="Arial"/>
    </font>
    <font>
      <sz val="11"/>
      <color rgb="FF000000"/>
      <name val="Calibri"/>
    </font>
    <font>
      <sz val="12"/>
      <color rgb="FF000000"/>
      <name val="Arial"/>
    </font>
    <font>
      <sz val="11"/>
      <color rgb="FF1F1F1F"/>
      <name val="&quot;Google Sans&quot;"/>
    </font>
    <font>
      <sz val="11"/>
      <color theme="1"/>
      <name val="DengXian"/>
    </font>
    <font>
      <u/>
      <sz val="10"/>
      <color rgb="FF0000FF"/>
      <name val="Arial"/>
    </font>
    <font>
      <u/>
      <sz val="10"/>
      <color rgb="FF000000"/>
      <name val="Arial"/>
    </font>
    <font>
      <b/>
      <sz val="10"/>
      <color theme="1"/>
      <name val="Arial"/>
      <family val="2"/>
    </font>
    <font>
      <sz val="10"/>
      <color theme="1"/>
      <name val="Arial"/>
      <family val="2"/>
    </font>
    <font>
      <sz val="8"/>
      <name val="Arial"/>
      <family val="2"/>
      <scheme val="minor"/>
    </font>
    <font>
      <i/>
      <sz val="10"/>
      <color theme="1"/>
      <name val="Arial"/>
      <family val="2"/>
    </font>
    <font>
      <sz val="11"/>
      <color rgb="FF000000"/>
      <name val="Calibri"/>
      <family val="2"/>
    </font>
    <font>
      <sz val="12"/>
      <color rgb="FF000000"/>
      <name val="Arial (Body)"/>
    </font>
    <font>
      <sz val="12"/>
      <color theme="1"/>
      <name val="Arial (Body)"/>
    </font>
    <font>
      <b/>
      <sz val="12"/>
      <color theme="1"/>
      <name val="Arial (Body)"/>
    </font>
    <font>
      <sz val="12"/>
      <name val="Arial (Body)"/>
    </font>
    <font>
      <b/>
      <sz val="12"/>
      <color rgb="FF000000"/>
      <name val="Arial (Body)"/>
    </font>
    <font>
      <b/>
      <sz val="12"/>
      <color theme="1"/>
      <name val="Arial"/>
      <family val="2"/>
      <scheme val="minor"/>
    </font>
    <font>
      <sz val="10"/>
      <color rgb="FF000000"/>
      <name val="Arial"/>
      <family val="2"/>
      <scheme val="minor"/>
    </font>
    <font>
      <sz val="12"/>
      <color rgb="FF000000"/>
      <name val="Arial"/>
      <family val="2"/>
      <scheme val="minor"/>
    </font>
    <font>
      <sz val="12"/>
      <name val="Arial"/>
      <family val="2"/>
      <scheme val="minor"/>
    </font>
    <font>
      <b/>
      <sz val="12"/>
      <color rgb="FF000000"/>
      <name val="Arial"/>
      <family val="2"/>
      <scheme val="minor"/>
    </font>
  </fonts>
  <fills count="10">
    <fill>
      <patternFill patternType="none"/>
    </fill>
    <fill>
      <patternFill patternType="gray125"/>
    </fill>
    <fill>
      <patternFill patternType="solid">
        <fgColor rgb="FFD9D9D9"/>
        <bgColor rgb="FFD9D9D9"/>
      </patternFill>
    </fill>
    <fill>
      <patternFill patternType="solid">
        <fgColor rgb="FFFFFFFF"/>
        <bgColor rgb="FFFFFFFF"/>
      </patternFill>
    </fill>
    <fill>
      <patternFill patternType="solid">
        <fgColor rgb="FFFFF2CC"/>
        <bgColor rgb="FFFFF2CC"/>
      </patternFill>
    </fill>
    <fill>
      <patternFill patternType="solid">
        <fgColor rgb="FFEFEFEF"/>
        <bgColor rgb="FFEFEFEF"/>
      </patternFill>
    </fill>
    <fill>
      <patternFill patternType="solid">
        <fgColor rgb="FFB7B7B7"/>
        <bgColor rgb="FFB7B7B7"/>
      </patternFill>
    </fill>
    <fill>
      <patternFill patternType="solid">
        <fgColor rgb="FF999999"/>
        <bgColor rgb="FF999999"/>
      </patternFill>
    </fill>
    <fill>
      <patternFill patternType="solid">
        <fgColor theme="0" tint="-0.14999847407452621"/>
        <bgColor indexed="64"/>
      </patternFill>
    </fill>
    <fill>
      <patternFill patternType="solid">
        <fgColor rgb="FFFFF9EF"/>
        <bgColor indexed="64"/>
      </patternFill>
    </fill>
  </fills>
  <borders count="12">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diagonal/>
    </border>
  </borders>
  <cellStyleXfs count="1">
    <xf numFmtId="0" fontId="0" fillId="0" borderId="0"/>
  </cellStyleXfs>
  <cellXfs count="216">
    <xf numFmtId="0" fontId="0" fillId="0" borderId="0" xfId="0"/>
    <xf numFmtId="0" fontId="2" fillId="0" borderId="0" xfId="0" applyFont="1"/>
    <xf numFmtId="0" fontId="3" fillId="0" borderId="0" xfId="0" applyFont="1"/>
    <xf numFmtId="0" fontId="3" fillId="0" borderId="0" xfId="0" applyFont="1" applyAlignment="1">
      <alignment wrapText="1"/>
    </xf>
    <xf numFmtId="0" fontId="4" fillId="2" borderId="1" xfId="0" applyFont="1" applyFill="1" applyBorder="1"/>
    <xf numFmtId="0" fontId="3" fillId="0" borderId="1" xfId="0" applyFont="1" applyBorder="1"/>
    <xf numFmtId="164" fontId="3" fillId="0" borderId="1" xfId="0" applyNumberFormat="1" applyFont="1" applyBorder="1"/>
    <xf numFmtId="0" fontId="5" fillId="0" borderId="0" xfId="0" applyFont="1"/>
    <xf numFmtId="0" fontId="6" fillId="0" borderId="0" xfId="0" applyFont="1"/>
    <xf numFmtId="0" fontId="6" fillId="0" borderId="2" xfId="0" applyFont="1" applyBorder="1"/>
    <xf numFmtId="0" fontId="7" fillId="0" borderId="0" xfId="0" applyFont="1" applyAlignment="1">
      <alignment horizontal="center"/>
    </xf>
    <xf numFmtId="0" fontId="7" fillId="0" borderId="5" xfId="0" applyFont="1" applyBorder="1" applyAlignment="1">
      <alignment horizontal="center"/>
    </xf>
    <xf numFmtId="0" fontId="7" fillId="0" borderId="4" xfId="0" applyFont="1" applyBorder="1"/>
    <xf numFmtId="0" fontId="7" fillId="0" borderId="4" xfId="0" applyFont="1" applyBorder="1" applyAlignment="1">
      <alignment wrapText="1"/>
    </xf>
    <xf numFmtId="0" fontId="6" fillId="0" borderId="0" xfId="0" applyFont="1" applyAlignment="1">
      <alignment horizontal="center"/>
    </xf>
    <xf numFmtId="0" fontId="6" fillId="0" borderId="5" xfId="0" applyFont="1" applyBorder="1" applyAlignment="1">
      <alignment horizontal="center"/>
    </xf>
    <xf numFmtId="0" fontId="6" fillId="0" borderId="4" xfId="0" applyFont="1" applyBorder="1"/>
    <xf numFmtId="0" fontId="6" fillId="0" borderId="4" xfId="0" applyFont="1" applyBorder="1" applyAlignment="1">
      <alignment horizontal="right"/>
    </xf>
    <xf numFmtId="4" fontId="6" fillId="0" borderId="4" xfId="0" applyNumberFormat="1" applyFont="1" applyBorder="1" applyAlignment="1">
      <alignment horizontal="right"/>
    </xf>
    <xf numFmtId="0" fontId="9" fillId="0" borderId="4" xfId="0" applyFont="1" applyBorder="1" applyAlignment="1">
      <alignment horizontal="right"/>
    </xf>
    <xf numFmtId="0" fontId="10" fillId="0" borderId="4" xfId="0" applyFont="1" applyBorder="1" applyAlignment="1">
      <alignment horizontal="right"/>
    </xf>
    <xf numFmtId="0" fontId="6" fillId="3" borderId="0" xfId="0" applyFont="1" applyFill="1" applyAlignment="1">
      <alignment horizontal="center"/>
    </xf>
    <xf numFmtId="0" fontId="6" fillId="2" borderId="5" xfId="0" applyFont="1" applyFill="1" applyBorder="1" applyAlignment="1">
      <alignment horizontal="center"/>
    </xf>
    <xf numFmtId="0" fontId="6" fillId="2" borderId="4" xfId="0" applyFont="1" applyFill="1" applyBorder="1"/>
    <xf numFmtId="0" fontId="6" fillId="2" borderId="4" xfId="0" applyFont="1" applyFill="1" applyBorder="1" applyAlignment="1">
      <alignment horizontal="right"/>
    </xf>
    <xf numFmtId="4" fontId="6" fillId="2" borderId="4" xfId="0" applyNumberFormat="1" applyFont="1" applyFill="1" applyBorder="1" applyAlignment="1">
      <alignment horizontal="right"/>
    </xf>
    <xf numFmtId="0" fontId="9" fillId="2" borderId="4" xfId="0" applyFont="1" applyFill="1" applyBorder="1" applyAlignment="1">
      <alignment horizontal="right"/>
    </xf>
    <xf numFmtId="2" fontId="9" fillId="0" borderId="4" xfId="0" applyNumberFormat="1" applyFont="1" applyBorder="1" applyAlignment="1">
      <alignment horizontal="right"/>
    </xf>
    <xf numFmtId="0" fontId="6" fillId="4" borderId="5" xfId="0" applyFont="1" applyFill="1" applyBorder="1" applyAlignment="1">
      <alignment horizontal="center"/>
    </xf>
    <xf numFmtId="0" fontId="6" fillId="4" borderId="4" xfId="0" applyFont="1" applyFill="1" applyBorder="1"/>
    <xf numFmtId="0" fontId="6" fillId="4" borderId="4" xfId="0" applyFont="1" applyFill="1" applyBorder="1" applyAlignment="1">
      <alignment horizontal="right"/>
    </xf>
    <xf numFmtId="4" fontId="6" fillId="4" borderId="4" xfId="0" applyNumberFormat="1" applyFont="1" applyFill="1" applyBorder="1" applyAlignment="1">
      <alignment horizontal="right"/>
    </xf>
    <xf numFmtId="0" fontId="9" fillId="4" borderId="4" xfId="0" applyFont="1" applyFill="1" applyBorder="1" applyAlignment="1">
      <alignment horizontal="right"/>
    </xf>
    <xf numFmtId="165" fontId="6" fillId="0" borderId="4" xfId="0" applyNumberFormat="1" applyFont="1" applyBorder="1" applyAlignment="1">
      <alignment horizontal="right"/>
    </xf>
    <xf numFmtId="165" fontId="9" fillId="0" borderId="4" xfId="0" applyNumberFormat="1" applyFont="1" applyBorder="1" applyAlignment="1">
      <alignment horizontal="right"/>
    </xf>
    <xf numFmtId="165" fontId="10" fillId="0" borderId="4" xfId="0" applyNumberFormat="1" applyFont="1" applyBorder="1" applyAlignment="1">
      <alignment horizontal="right"/>
    </xf>
    <xf numFmtId="165" fontId="6" fillId="0" borderId="4" xfId="0" applyNumberFormat="1" applyFont="1" applyBorder="1" applyAlignment="1">
      <alignment horizontal="right" wrapText="1"/>
    </xf>
    <xf numFmtId="165" fontId="6" fillId="2" borderId="4" xfId="0" applyNumberFormat="1" applyFont="1" applyFill="1" applyBorder="1" applyAlignment="1">
      <alignment horizontal="right"/>
    </xf>
    <xf numFmtId="165" fontId="9" fillId="2" borderId="4" xfId="0" applyNumberFormat="1" applyFont="1" applyFill="1" applyBorder="1" applyAlignment="1">
      <alignment horizontal="right"/>
    </xf>
    <xf numFmtId="165" fontId="6" fillId="4" borderId="4" xfId="0" applyNumberFormat="1" applyFont="1" applyFill="1" applyBorder="1" applyAlignment="1">
      <alignment horizontal="right"/>
    </xf>
    <xf numFmtId="165" fontId="9" fillId="4" borderId="4" xfId="0" applyNumberFormat="1" applyFont="1" applyFill="1" applyBorder="1" applyAlignment="1">
      <alignment horizontal="right"/>
    </xf>
    <xf numFmtId="0" fontId="7" fillId="0" borderId="1" xfId="0" applyFont="1" applyBorder="1"/>
    <xf numFmtId="0" fontId="7" fillId="0" borderId="1" xfId="0" applyFont="1" applyBorder="1" applyAlignment="1">
      <alignment horizontal="center"/>
    </xf>
    <xf numFmtId="0" fontId="6" fillId="0" borderId="1" xfId="0" applyFont="1" applyBorder="1"/>
    <xf numFmtId="0" fontId="6" fillId="0" borderId="1" xfId="0" applyFont="1" applyBorder="1" applyAlignment="1">
      <alignment horizontal="center"/>
    </xf>
    <xf numFmtId="165" fontId="6" fillId="0" borderId="1" xfId="0" applyNumberFormat="1" applyFont="1" applyBorder="1" applyAlignment="1">
      <alignment horizontal="center"/>
    </xf>
    <xf numFmtId="0" fontId="6" fillId="0" borderId="0" xfId="0" applyFont="1" applyAlignment="1">
      <alignment vertical="top" wrapText="1"/>
    </xf>
    <xf numFmtId="0" fontId="6" fillId="0" borderId="0" xfId="0" applyFont="1" applyAlignment="1">
      <alignment wrapText="1"/>
    </xf>
    <xf numFmtId="0" fontId="6" fillId="0" borderId="0" xfId="0" applyFont="1" applyAlignment="1">
      <alignment vertical="top"/>
    </xf>
    <xf numFmtId="0" fontId="7" fillId="0" borderId="5" xfId="0" applyFont="1" applyBorder="1"/>
    <xf numFmtId="0" fontId="6" fillId="0" borderId="5" xfId="0" applyFont="1" applyBorder="1" applyAlignment="1">
      <alignment horizontal="right"/>
    </xf>
    <xf numFmtId="166" fontId="6" fillId="0" borderId="0" xfId="0" applyNumberFormat="1" applyFont="1"/>
    <xf numFmtId="167" fontId="6" fillId="0" borderId="0" xfId="0" applyNumberFormat="1" applyFont="1"/>
    <xf numFmtId="168" fontId="6" fillId="0" borderId="0" xfId="0" applyNumberFormat="1" applyFont="1"/>
    <xf numFmtId="168" fontId="3" fillId="0" borderId="0" xfId="0" applyNumberFormat="1" applyFont="1"/>
    <xf numFmtId="0" fontId="7" fillId="0" borderId="0" xfId="0" applyFont="1"/>
    <xf numFmtId="0" fontId="6" fillId="0" borderId="5" xfId="0" applyFont="1" applyBorder="1"/>
    <xf numFmtId="0" fontId="7" fillId="0" borderId="2" xfId="0" applyFont="1" applyBorder="1"/>
    <xf numFmtId="0" fontId="6" fillId="0" borderId="0" xfId="0" applyFont="1" applyAlignment="1">
      <alignment horizontal="right"/>
    </xf>
    <xf numFmtId="169" fontId="6" fillId="0" borderId="1" xfId="0" applyNumberFormat="1" applyFont="1" applyBorder="1"/>
    <xf numFmtId="170" fontId="6" fillId="0" borderId="4" xfId="0" applyNumberFormat="1" applyFont="1" applyBorder="1" applyAlignment="1">
      <alignment horizontal="right"/>
    </xf>
    <xf numFmtId="168" fontId="6" fillId="0" borderId="4" xfId="0" applyNumberFormat="1" applyFont="1" applyBorder="1" applyAlignment="1">
      <alignment horizontal="right"/>
    </xf>
    <xf numFmtId="168" fontId="6" fillId="0" borderId="1" xfId="0" applyNumberFormat="1" applyFont="1" applyBorder="1" applyAlignment="1">
      <alignment horizontal="right"/>
    </xf>
    <xf numFmtId="171" fontId="6" fillId="0" borderId="4" xfId="0" applyNumberFormat="1" applyFont="1" applyBorder="1" applyAlignment="1">
      <alignment horizontal="right"/>
    </xf>
    <xf numFmtId="0" fontId="6" fillId="0" borderId="9" xfId="0" applyFont="1" applyBorder="1"/>
    <xf numFmtId="11" fontId="6" fillId="0" borderId="0" xfId="0" applyNumberFormat="1" applyFont="1"/>
    <xf numFmtId="167" fontId="3" fillId="0" borderId="0" xfId="0" applyNumberFormat="1" applyFont="1"/>
    <xf numFmtId="172" fontId="6" fillId="0" borderId="0" xfId="0" applyNumberFormat="1" applyFont="1"/>
    <xf numFmtId="165" fontId="6" fillId="0" borderId="0" xfId="0" applyNumberFormat="1" applyFont="1"/>
    <xf numFmtId="0" fontId="6" fillId="0" borderId="1" xfId="0" applyFont="1" applyBorder="1" applyAlignment="1">
      <alignment horizontal="right"/>
    </xf>
    <xf numFmtId="173" fontId="6" fillId="0" borderId="1" xfId="0" applyNumberFormat="1" applyFont="1" applyBorder="1"/>
    <xf numFmtId="172" fontId="6" fillId="0" borderId="1" xfId="0" applyNumberFormat="1" applyFont="1" applyBorder="1" applyAlignment="1">
      <alignment horizontal="right"/>
    </xf>
    <xf numFmtId="165" fontId="9" fillId="0" borderId="1" xfId="0" applyNumberFormat="1" applyFont="1" applyBorder="1" applyAlignment="1">
      <alignment horizontal="right"/>
    </xf>
    <xf numFmtId="0" fontId="6" fillId="5" borderId="4" xfId="0" applyFont="1" applyFill="1" applyBorder="1"/>
    <xf numFmtId="0" fontId="6" fillId="5" borderId="4" xfId="0" applyFont="1" applyFill="1" applyBorder="1" applyAlignment="1">
      <alignment horizontal="right"/>
    </xf>
    <xf numFmtId="0" fontId="6" fillId="3" borderId="4" xfId="0" applyFont="1" applyFill="1" applyBorder="1" applyAlignment="1">
      <alignment horizontal="right"/>
    </xf>
    <xf numFmtId="4" fontId="6" fillId="5" borderId="4" xfId="0" applyNumberFormat="1" applyFont="1" applyFill="1" applyBorder="1" applyAlignment="1">
      <alignment horizontal="right"/>
    </xf>
    <xf numFmtId="165" fontId="6" fillId="5" borderId="4" xfId="0" applyNumberFormat="1" applyFont="1" applyFill="1" applyBorder="1" applyAlignment="1">
      <alignment horizontal="right"/>
    </xf>
    <xf numFmtId="174" fontId="6" fillId="0" borderId="1" xfId="0" applyNumberFormat="1" applyFont="1" applyBorder="1"/>
    <xf numFmtId="172" fontId="3" fillId="0" borderId="0" xfId="0" applyNumberFormat="1" applyFont="1"/>
    <xf numFmtId="175" fontId="6" fillId="0" borderId="1" xfId="0" applyNumberFormat="1" applyFont="1" applyBorder="1"/>
    <xf numFmtId="0" fontId="6" fillId="6" borderId="0" xfId="0" applyFont="1" applyFill="1"/>
    <xf numFmtId="0" fontId="6" fillId="5" borderId="5" xfId="0" applyFont="1" applyFill="1" applyBorder="1" applyAlignment="1">
      <alignment horizontal="right"/>
    </xf>
    <xf numFmtId="0" fontId="7" fillId="0" borderId="1" xfId="0" applyFont="1" applyBorder="1" applyAlignment="1">
      <alignment wrapText="1"/>
    </xf>
    <xf numFmtId="172" fontId="9" fillId="0" borderId="1" xfId="0" applyNumberFormat="1" applyFont="1" applyBorder="1" applyAlignment="1">
      <alignment horizontal="right"/>
    </xf>
    <xf numFmtId="0" fontId="6" fillId="0" borderId="0" xfId="0" applyFont="1" applyAlignment="1">
      <alignment horizontal="left"/>
    </xf>
    <xf numFmtId="0" fontId="6" fillId="5" borderId="0" xfId="0" applyFont="1" applyFill="1"/>
    <xf numFmtId="0" fontId="11" fillId="0" borderId="0" xfId="0" applyFont="1"/>
    <xf numFmtId="0" fontId="11" fillId="0" borderId="0" xfId="0" applyFont="1" applyAlignment="1">
      <alignment horizontal="left"/>
    </xf>
    <xf numFmtId="10" fontId="11" fillId="0" borderId="0" xfId="0" applyNumberFormat="1" applyFont="1"/>
    <xf numFmtId="176" fontId="11" fillId="0" borderId="0" xfId="0" applyNumberFormat="1" applyFont="1" applyAlignment="1">
      <alignment horizontal="left"/>
    </xf>
    <xf numFmtId="0" fontId="11" fillId="0" borderId="1" xfId="0" applyFont="1" applyBorder="1" applyAlignment="1">
      <alignment horizontal="left"/>
    </xf>
    <xf numFmtId="10" fontId="11" fillId="0" borderId="1" xfId="0" applyNumberFormat="1" applyFont="1" applyBorder="1"/>
    <xf numFmtId="0" fontId="11" fillId="0" borderId="1" xfId="0" applyFont="1" applyBorder="1"/>
    <xf numFmtId="0" fontId="6" fillId="3" borderId="4" xfId="0" applyFont="1" applyFill="1" applyBorder="1"/>
    <xf numFmtId="2" fontId="6" fillId="3" borderId="0" xfId="0" applyNumberFormat="1" applyFont="1" applyFill="1"/>
    <xf numFmtId="165" fontId="6" fillId="3" borderId="0" xfId="0" applyNumberFormat="1" applyFont="1" applyFill="1"/>
    <xf numFmtId="0" fontId="12" fillId="3" borderId="0" xfId="0" applyFont="1" applyFill="1"/>
    <xf numFmtId="0" fontId="6" fillId="5" borderId="1" xfId="0" applyFont="1" applyFill="1" applyBorder="1"/>
    <xf numFmtId="4" fontId="6" fillId="0" borderId="1" xfId="0" applyNumberFormat="1" applyFont="1" applyBorder="1" applyAlignment="1">
      <alignment horizontal="right"/>
    </xf>
    <xf numFmtId="4" fontId="6" fillId="5" borderId="1" xfId="0" applyNumberFormat="1" applyFont="1" applyFill="1" applyBorder="1" applyAlignment="1">
      <alignment horizontal="right"/>
    </xf>
    <xf numFmtId="0" fontId="3" fillId="0" borderId="1" xfId="0" applyFont="1" applyBorder="1" applyAlignment="1">
      <alignment wrapText="1"/>
    </xf>
    <xf numFmtId="0" fontId="6" fillId="0" borderId="4" xfId="0" applyFont="1" applyBorder="1" applyAlignment="1">
      <alignment wrapText="1"/>
    </xf>
    <xf numFmtId="165" fontId="6" fillId="0" borderId="1" xfId="0" applyNumberFormat="1" applyFont="1" applyBorder="1" applyAlignment="1">
      <alignment horizontal="right"/>
    </xf>
    <xf numFmtId="0" fontId="6" fillId="3" borderId="0" xfId="0" applyFont="1" applyFill="1"/>
    <xf numFmtId="0" fontId="6" fillId="3" borderId="1" xfId="0" applyFont="1" applyFill="1" applyBorder="1"/>
    <xf numFmtId="0" fontId="6" fillId="6" borderId="1" xfId="0" applyFont="1" applyFill="1" applyBorder="1"/>
    <xf numFmtId="0" fontId="13" fillId="3" borderId="1" xfId="0" applyFont="1" applyFill="1" applyBorder="1"/>
    <xf numFmtId="0" fontId="14" fillId="0" borderId="0" xfId="0" applyFont="1"/>
    <xf numFmtId="0" fontId="9" fillId="0" borderId="0" xfId="0" applyFont="1"/>
    <xf numFmtId="0" fontId="10" fillId="0" borderId="0" xfId="0" applyFont="1"/>
    <xf numFmtId="0" fontId="13" fillId="3" borderId="0" xfId="0" applyFont="1" applyFill="1"/>
    <xf numFmtId="0" fontId="9" fillId="5" borderId="4" xfId="0" applyFont="1" applyFill="1" applyBorder="1" applyAlignment="1">
      <alignment horizontal="right"/>
    </xf>
    <xf numFmtId="172" fontId="6" fillId="0" borderId="4" xfId="0" applyNumberFormat="1" applyFont="1" applyBorder="1" applyAlignment="1">
      <alignment horizontal="right"/>
    </xf>
    <xf numFmtId="0" fontId="3" fillId="6" borderId="0" xfId="0" applyFont="1" applyFill="1"/>
    <xf numFmtId="2" fontId="6" fillId="0" borderId="4" xfId="0" applyNumberFormat="1" applyFont="1" applyBorder="1" applyAlignment="1">
      <alignment horizontal="right"/>
    </xf>
    <xf numFmtId="2" fontId="6" fillId="6" borderId="4" xfId="0" applyNumberFormat="1" applyFont="1" applyFill="1" applyBorder="1" applyAlignment="1">
      <alignment horizontal="right"/>
    </xf>
    <xf numFmtId="0" fontId="6" fillId="7" borderId="1" xfId="0" applyFont="1" applyFill="1" applyBorder="1"/>
    <xf numFmtId="0" fontId="6" fillId="7" borderId="1" xfId="0" applyFont="1" applyFill="1" applyBorder="1" applyAlignment="1">
      <alignment horizontal="right"/>
    </xf>
    <xf numFmtId="172" fontId="6" fillId="7" borderId="1" xfId="0" applyNumberFormat="1" applyFont="1" applyFill="1" applyBorder="1" applyAlignment="1">
      <alignment horizontal="right"/>
    </xf>
    <xf numFmtId="172" fontId="9" fillId="7" borderId="1" xfId="0" applyNumberFormat="1" applyFont="1" applyFill="1" applyBorder="1" applyAlignment="1">
      <alignment horizontal="right"/>
    </xf>
    <xf numFmtId="0" fontId="15" fillId="0" borderId="0" xfId="0" applyFont="1"/>
    <xf numFmtId="165" fontId="6" fillId="0" borderId="1" xfId="0" applyNumberFormat="1" applyFont="1" applyBorder="1"/>
    <xf numFmtId="165" fontId="6" fillId="5" borderId="1" xfId="0" applyNumberFormat="1" applyFont="1" applyFill="1" applyBorder="1"/>
    <xf numFmtId="0" fontId="6" fillId="3" borderId="1" xfId="0" applyFont="1" applyFill="1" applyBorder="1" applyAlignment="1">
      <alignment horizontal="right"/>
    </xf>
    <xf numFmtId="172" fontId="6" fillId="3" borderId="1" xfId="0" applyNumberFormat="1" applyFont="1" applyFill="1" applyBorder="1" applyAlignment="1">
      <alignment horizontal="right"/>
    </xf>
    <xf numFmtId="172" fontId="9" fillId="3" borderId="1" xfId="0" applyNumberFormat="1" applyFont="1" applyFill="1" applyBorder="1" applyAlignment="1">
      <alignment horizontal="right"/>
    </xf>
    <xf numFmtId="0" fontId="17" fillId="0" borderId="0" xfId="0" applyFont="1"/>
    <xf numFmtId="0" fontId="6" fillId="0" borderId="6" xfId="0" applyFont="1" applyBorder="1"/>
    <xf numFmtId="2" fontId="6" fillId="0" borderId="0" xfId="0" applyNumberFormat="1" applyFont="1"/>
    <xf numFmtId="1" fontId="6" fillId="0" borderId="0" xfId="0" applyNumberFormat="1" applyFont="1"/>
    <xf numFmtId="1" fontId="6" fillId="0" borderId="0" xfId="0" applyNumberFormat="1" applyFont="1" applyAlignment="1">
      <alignment horizontal="right"/>
    </xf>
    <xf numFmtId="0" fontId="18" fillId="0" borderId="0" xfId="0" applyFont="1"/>
    <xf numFmtId="0" fontId="18" fillId="0" borderId="1" xfId="0" applyFont="1" applyBorder="1"/>
    <xf numFmtId="0" fontId="20" fillId="0" borderId="1" xfId="0" applyFont="1" applyBorder="1"/>
    <xf numFmtId="0" fontId="21" fillId="0" borderId="1" xfId="0" applyFont="1" applyBorder="1" applyAlignment="1">
      <alignment horizontal="left"/>
    </xf>
    <xf numFmtId="1" fontId="0" fillId="0" borderId="0" xfId="0" applyNumberFormat="1"/>
    <xf numFmtId="0" fontId="6" fillId="0" borderId="8" xfId="0" applyFont="1" applyBorder="1"/>
    <xf numFmtId="0" fontId="6" fillId="0" borderId="11" xfId="0" applyFont="1" applyBorder="1" applyAlignment="1">
      <alignment horizontal="right"/>
    </xf>
    <xf numFmtId="4" fontId="6" fillId="0" borderId="11" xfId="0" applyNumberFormat="1" applyFont="1" applyBorder="1" applyAlignment="1">
      <alignment horizontal="right"/>
    </xf>
    <xf numFmtId="165" fontId="6" fillId="0" borderId="11" xfId="0" applyNumberFormat="1" applyFont="1" applyBorder="1" applyAlignment="1">
      <alignment horizontal="right"/>
    </xf>
    <xf numFmtId="0" fontId="3" fillId="0" borderId="10" xfId="0" applyFont="1" applyBorder="1"/>
    <xf numFmtId="0" fontId="6" fillId="0" borderId="10" xfId="0" applyFont="1" applyBorder="1"/>
    <xf numFmtId="4" fontId="6" fillId="0" borderId="10" xfId="0" applyNumberFormat="1" applyFont="1" applyBorder="1" applyAlignment="1">
      <alignment horizontal="right"/>
    </xf>
    <xf numFmtId="165" fontId="6" fillId="0" borderId="10" xfId="0" applyNumberFormat="1" applyFont="1" applyBorder="1" applyAlignment="1">
      <alignment horizontal="right"/>
    </xf>
    <xf numFmtId="0" fontId="0" fillId="0" borderId="10" xfId="0" applyBorder="1"/>
    <xf numFmtId="0" fontId="22" fillId="0" borderId="0" xfId="0" applyFont="1"/>
    <xf numFmtId="0" fontId="23" fillId="0" borderId="5" xfId="0" applyFont="1" applyBorder="1"/>
    <xf numFmtId="0" fontId="24" fillId="0" borderId="4" xfId="0" applyFont="1" applyBorder="1" applyAlignment="1">
      <alignment wrapText="1"/>
    </xf>
    <xf numFmtId="0" fontId="24" fillId="0" borderId="5" xfId="0" applyFont="1" applyBorder="1"/>
    <xf numFmtId="0" fontId="24" fillId="0" borderId="4" xfId="0" applyFont="1" applyBorder="1"/>
    <xf numFmtId="0" fontId="23" fillId="0" borderId="5" xfId="0" applyFont="1" applyBorder="1" applyAlignment="1">
      <alignment horizontal="right"/>
    </xf>
    <xf numFmtId="0" fontId="23" fillId="0" borderId="4" xfId="0" applyFont="1" applyBorder="1"/>
    <xf numFmtId="0" fontId="23" fillId="0" borderId="4" xfId="0" applyFont="1" applyBorder="1" applyAlignment="1">
      <alignment horizontal="right"/>
    </xf>
    <xf numFmtId="0" fontId="23" fillId="0" borderId="1" xfId="0" applyFont="1" applyBorder="1" applyAlignment="1">
      <alignment horizontal="right"/>
    </xf>
    <xf numFmtId="0" fontId="23" fillId="0" borderId="1" xfId="0" applyFont="1" applyBorder="1"/>
    <xf numFmtId="0" fontId="23" fillId="5" borderId="5" xfId="0" applyFont="1" applyFill="1" applyBorder="1" applyAlignment="1">
      <alignment horizontal="right"/>
    </xf>
    <xf numFmtId="0" fontId="23" fillId="5" borderId="4" xfId="0" applyFont="1" applyFill="1" applyBorder="1"/>
    <xf numFmtId="0" fontId="23" fillId="5" borderId="4" xfId="0" applyFont="1" applyFill="1" applyBorder="1" applyAlignment="1">
      <alignment horizontal="right"/>
    </xf>
    <xf numFmtId="0" fontId="24" fillId="0" borderId="1" xfId="0" applyFont="1" applyBorder="1"/>
    <xf numFmtId="0" fontId="24" fillId="0" borderId="1" xfId="0" applyFont="1" applyBorder="1" applyAlignment="1">
      <alignment wrapText="1"/>
    </xf>
    <xf numFmtId="172" fontId="22" fillId="0" borderId="0" xfId="0" applyNumberFormat="1" applyFont="1"/>
    <xf numFmtId="0" fontId="26" fillId="0" borderId="0" xfId="0" applyFont="1"/>
    <xf numFmtId="2" fontId="22" fillId="0" borderId="0" xfId="0" applyNumberFormat="1" applyFont="1"/>
    <xf numFmtId="1" fontId="22" fillId="0" borderId="0" xfId="0" applyNumberFormat="1" applyFont="1"/>
    <xf numFmtId="0" fontId="6" fillId="0" borderId="6" xfId="0" applyFont="1" applyBorder="1"/>
    <xf numFmtId="0" fontId="8" fillId="0" borderId="7" xfId="0" applyFont="1" applyBorder="1"/>
    <xf numFmtId="0" fontId="8" fillId="0" borderId="8" xfId="0" applyFont="1" applyBorder="1"/>
    <xf numFmtId="0" fontId="6" fillId="0" borderId="6" xfId="0" applyFont="1" applyBorder="1" applyAlignment="1">
      <alignment wrapText="1"/>
    </xf>
    <xf numFmtId="0" fontId="7" fillId="0" borderId="3" xfId="0" applyFont="1" applyBorder="1" applyAlignment="1">
      <alignment horizontal="center"/>
    </xf>
    <xf numFmtId="0" fontId="8" fillId="0" borderId="2" xfId="0" applyFont="1" applyBorder="1"/>
    <xf numFmtId="0" fontId="8" fillId="0" borderId="4" xfId="0" applyFont="1" applyBorder="1"/>
    <xf numFmtId="0" fontId="7" fillId="0" borderId="6" xfId="0" applyFont="1" applyBorder="1" applyAlignment="1">
      <alignment horizontal="center"/>
    </xf>
    <xf numFmtId="0" fontId="7" fillId="0" borderId="6" xfId="0" applyFont="1" applyBorder="1"/>
    <xf numFmtId="0" fontId="7" fillId="0" borderId="2" xfId="0" applyFont="1" applyBorder="1"/>
    <xf numFmtId="0" fontId="11" fillId="0" borderId="0" xfId="0" applyFont="1"/>
    <xf numFmtId="0" fontId="0" fillId="0" borderId="0" xfId="0"/>
    <xf numFmtId="0" fontId="24" fillId="0" borderId="2" xfId="0" applyFont="1" applyBorder="1"/>
    <xf numFmtId="0" fontId="25" fillId="0" borderId="2" xfId="0" applyFont="1" applyBorder="1"/>
    <xf numFmtId="0" fontId="25" fillId="0" borderId="4" xfId="0" applyFont="1" applyBorder="1"/>
    <xf numFmtId="0" fontId="6" fillId="0" borderId="3" xfId="0" applyFont="1" applyBorder="1" applyAlignment="1">
      <alignment horizontal="right"/>
    </xf>
    <xf numFmtId="0" fontId="6" fillId="0" borderId="11" xfId="0" applyFont="1" applyBorder="1"/>
    <xf numFmtId="0" fontId="18" fillId="0" borderId="10" xfId="0" applyFont="1" applyBorder="1"/>
    <xf numFmtId="0" fontId="6" fillId="0" borderId="10" xfId="0" applyFont="1" applyBorder="1" applyAlignment="1">
      <alignment horizontal="right"/>
    </xf>
    <xf numFmtId="0" fontId="18" fillId="0" borderId="4" xfId="0" applyFont="1" applyBorder="1"/>
    <xf numFmtId="0" fontId="6" fillId="0" borderId="0" xfId="0" applyFont="1" applyBorder="1"/>
    <xf numFmtId="0" fontId="6" fillId="0" borderId="0" xfId="0" applyFont="1" applyBorder="1" applyAlignment="1">
      <alignment wrapText="1"/>
    </xf>
    <xf numFmtId="0" fontId="7" fillId="0" borderId="0" xfId="0" applyFont="1" applyBorder="1"/>
    <xf numFmtId="0" fontId="17" fillId="0" borderId="0" xfId="0" applyFont="1" applyBorder="1"/>
    <xf numFmtId="1" fontId="6" fillId="0" borderId="0" xfId="0" applyNumberFormat="1" applyFont="1" applyBorder="1"/>
    <xf numFmtId="0" fontId="18" fillId="0" borderId="6" xfId="0" applyFont="1" applyBorder="1"/>
    <xf numFmtId="0" fontId="6" fillId="0" borderId="9" xfId="0" applyFont="1" applyBorder="1" applyAlignment="1">
      <alignment horizontal="right"/>
    </xf>
    <xf numFmtId="172" fontId="6" fillId="0" borderId="9" xfId="0" applyNumberFormat="1" applyFont="1" applyBorder="1" applyAlignment="1">
      <alignment horizontal="right"/>
    </xf>
    <xf numFmtId="172" fontId="9" fillId="0" borderId="9" xfId="0" applyNumberFormat="1" applyFont="1" applyBorder="1" applyAlignment="1">
      <alignment horizontal="right"/>
    </xf>
    <xf numFmtId="172" fontId="6" fillId="0" borderId="10" xfId="0" applyNumberFormat="1" applyFont="1" applyBorder="1" applyAlignment="1">
      <alignment horizontal="right"/>
    </xf>
    <xf numFmtId="172" fontId="9" fillId="0" borderId="10" xfId="0" applyNumberFormat="1" applyFont="1" applyBorder="1" applyAlignment="1">
      <alignment horizontal="right"/>
    </xf>
    <xf numFmtId="0" fontId="28" fillId="0" borderId="0" xfId="0" applyFont="1"/>
    <xf numFmtId="0" fontId="29" fillId="0" borderId="0" xfId="0" applyFont="1"/>
    <xf numFmtId="0" fontId="1" fillId="0" borderId="10" xfId="0" applyFont="1" applyBorder="1"/>
    <xf numFmtId="0" fontId="27" fillId="0" borderId="10" xfId="0" applyFont="1" applyBorder="1"/>
    <xf numFmtId="0" fontId="27" fillId="0" borderId="10" xfId="0" applyFont="1" applyBorder="1"/>
    <xf numFmtId="0" fontId="30" fillId="0" borderId="10" xfId="0" applyFont="1" applyBorder="1"/>
    <xf numFmtId="0" fontId="29" fillId="0" borderId="10" xfId="0" applyFont="1" applyBorder="1"/>
    <xf numFmtId="0" fontId="27" fillId="0" borderId="10" xfId="0" applyFont="1" applyBorder="1" applyAlignment="1">
      <alignment wrapText="1"/>
    </xf>
    <xf numFmtId="0" fontId="27" fillId="0" borderId="10" xfId="0" applyFont="1" applyFill="1" applyBorder="1" applyAlignment="1">
      <alignment wrapText="1"/>
    </xf>
    <xf numFmtId="2" fontId="29" fillId="0" borderId="10" xfId="0" applyNumberFormat="1" applyFont="1" applyBorder="1"/>
    <xf numFmtId="0" fontId="31" fillId="0" borderId="0" xfId="0" applyFont="1"/>
    <xf numFmtId="1" fontId="29" fillId="0" borderId="10" xfId="0" applyNumberFormat="1" applyFont="1" applyBorder="1"/>
    <xf numFmtId="177" fontId="29" fillId="0" borderId="10" xfId="0" applyNumberFormat="1" applyFont="1" applyBorder="1"/>
    <xf numFmtId="0" fontId="31" fillId="0" borderId="10" xfId="0" applyFont="1" applyBorder="1" applyAlignment="1">
      <alignment wrapText="1"/>
    </xf>
    <xf numFmtId="0" fontId="29" fillId="8" borderId="10" xfId="0" applyFont="1" applyFill="1" applyBorder="1"/>
    <xf numFmtId="2" fontId="29" fillId="8" borderId="10" xfId="0" applyNumberFormat="1" applyFont="1" applyFill="1" applyBorder="1"/>
    <xf numFmtId="1" fontId="29" fillId="8" borderId="10" xfId="0" applyNumberFormat="1" applyFont="1" applyFill="1" applyBorder="1"/>
    <xf numFmtId="0" fontId="29" fillId="9" borderId="10" xfId="0" applyFont="1" applyFill="1" applyBorder="1"/>
    <xf numFmtId="2" fontId="29" fillId="9" borderId="10" xfId="0" applyNumberFormat="1" applyFont="1" applyFill="1" applyBorder="1"/>
    <xf numFmtId="1" fontId="29" fillId="9" borderId="10" xfId="0" applyNumberFormat="1" applyFont="1" applyFill="1" applyBorder="1"/>
  </cellXfs>
  <cellStyles count="1">
    <cellStyle name="Normal" xfId="0" builtinId="0"/>
  </cellStyles>
  <dxfs count="0"/>
  <tableStyles count="0" defaultTableStyle="TableStyleMedium2" defaultPivotStyle="PivotStyleLight16"/>
  <colors>
    <mruColors>
      <color rgb="FFFFF9EF"/>
      <color rgb="FFF4FFEF"/>
      <color rgb="FFE1FF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1"/>
  <c:style val="2"/>
  <c:chart>
    <c:title>
      <c:tx>
        <c:rich>
          <a:bodyPr/>
          <a:lstStyle/>
          <a:p>
            <a:pPr lvl="0">
              <a:defRPr b="0">
                <a:solidFill>
                  <a:srgbClr val="757575"/>
                </a:solidFill>
                <a:latin typeface="+mn-lt"/>
              </a:defRPr>
            </a:pPr>
            <a:r>
              <a:rPr lang="en-SG" b="0">
                <a:solidFill>
                  <a:srgbClr val="757575"/>
                </a:solidFill>
                <a:latin typeface="+mn-lt"/>
              </a:rPr>
              <a:t>Arri709 </a:t>
            </a:r>
          </a:p>
        </c:rich>
      </c:tx>
      <c:overlay val="0"/>
    </c:title>
    <c:autoTitleDeleted val="0"/>
    <c:plotArea>
      <c:layout/>
      <c:lineChart>
        <c:grouping val="standard"/>
        <c:varyColors val="1"/>
        <c:ser>
          <c:idx val="0"/>
          <c:order val="0"/>
          <c:tx>
            <c:v>ARRILogC3 to 709 LUT</c:v>
          </c:tx>
          <c:spPr>
            <a:ln cmpd="sng">
              <a:solidFill>
                <a:srgbClr val="4285F4"/>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Arri709!$D$11:$D$34</c:f>
              <c:numCache>
                <c:formatCode>General</c:formatCode>
                <c:ptCount val="24"/>
                <c:pt idx="0">
                  <c:v>1.6E-2</c:v>
                </c:pt>
                <c:pt idx="1">
                  <c:v>1.7000000000000001E-2</c:v>
                </c:pt>
                <c:pt idx="2">
                  <c:v>1.9E-2</c:v>
                </c:pt>
                <c:pt idx="3">
                  <c:v>2.3E-2</c:v>
                </c:pt>
                <c:pt idx="4">
                  <c:v>0.03</c:v>
                </c:pt>
                <c:pt idx="5">
                  <c:v>0.05</c:v>
                </c:pt>
                <c:pt idx="6">
                  <c:v>0.08</c:v>
                </c:pt>
                <c:pt idx="7">
                  <c:v>0.15</c:v>
                </c:pt>
                <c:pt idx="8">
                  <c:v>0.25</c:v>
                </c:pt>
                <c:pt idx="9">
                  <c:v>0.3</c:v>
                </c:pt>
                <c:pt idx="10">
                  <c:v>0.34</c:v>
                </c:pt>
                <c:pt idx="11">
                  <c:v>0.4</c:v>
                </c:pt>
                <c:pt idx="12">
                  <c:v>0.44</c:v>
                </c:pt>
                <c:pt idx="13">
                  <c:v>0.49</c:v>
                </c:pt>
                <c:pt idx="14">
                  <c:v>0.54</c:v>
                </c:pt>
                <c:pt idx="15">
                  <c:v>0.67</c:v>
                </c:pt>
                <c:pt idx="16">
                  <c:v>0.81</c:v>
                </c:pt>
                <c:pt idx="17">
                  <c:v>0.9</c:v>
                </c:pt>
                <c:pt idx="18">
                  <c:v>0.96</c:v>
                </c:pt>
                <c:pt idx="19">
                  <c:v>0.98</c:v>
                </c:pt>
                <c:pt idx="20">
                  <c:v>0.99</c:v>
                </c:pt>
                <c:pt idx="21">
                  <c:v>0.996</c:v>
                </c:pt>
                <c:pt idx="22">
                  <c:v>0.99750000000000005</c:v>
                </c:pt>
                <c:pt idx="23">
                  <c:v>0.99870000000000003</c:v>
                </c:pt>
              </c:numCache>
            </c:numRef>
          </c:val>
          <c:smooth val="1"/>
          <c:extLst>
            <c:ext xmlns:c16="http://schemas.microsoft.com/office/drawing/2014/chart" uri="{C3380CC4-5D6E-409C-BE32-E72D297353CC}">
              <c16:uniqueId val="{00000000-20D8-41C7-92D8-08DB9811DB19}"/>
            </c:ext>
          </c:extLst>
        </c:ser>
        <c:ser>
          <c:idx val="1"/>
          <c:order val="1"/>
          <c:tx>
            <c:v>ARRILogC4 to 709 LUT</c:v>
          </c:tx>
          <c:spPr>
            <a:ln cmpd="sng">
              <a:solidFill>
                <a:srgbClr val="EA4335"/>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Arri709!$D$11:$D$34</c:f>
              <c:numCache>
                <c:formatCode>General</c:formatCode>
                <c:ptCount val="24"/>
                <c:pt idx="0">
                  <c:v>1.6E-2</c:v>
                </c:pt>
                <c:pt idx="1">
                  <c:v>1.7000000000000001E-2</c:v>
                </c:pt>
                <c:pt idx="2">
                  <c:v>1.9E-2</c:v>
                </c:pt>
                <c:pt idx="3">
                  <c:v>2.3E-2</c:v>
                </c:pt>
                <c:pt idx="4">
                  <c:v>0.03</c:v>
                </c:pt>
                <c:pt idx="5">
                  <c:v>0.05</c:v>
                </c:pt>
                <c:pt idx="6">
                  <c:v>0.08</c:v>
                </c:pt>
                <c:pt idx="7">
                  <c:v>0.15</c:v>
                </c:pt>
                <c:pt idx="8">
                  <c:v>0.25</c:v>
                </c:pt>
                <c:pt idx="9">
                  <c:v>0.3</c:v>
                </c:pt>
                <c:pt idx="10">
                  <c:v>0.34</c:v>
                </c:pt>
                <c:pt idx="11">
                  <c:v>0.4</c:v>
                </c:pt>
                <c:pt idx="12">
                  <c:v>0.44</c:v>
                </c:pt>
                <c:pt idx="13">
                  <c:v>0.49</c:v>
                </c:pt>
                <c:pt idx="14">
                  <c:v>0.54</c:v>
                </c:pt>
                <c:pt idx="15">
                  <c:v>0.67</c:v>
                </c:pt>
                <c:pt idx="16">
                  <c:v>0.81</c:v>
                </c:pt>
                <c:pt idx="17">
                  <c:v>0.9</c:v>
                </c:pt>
                <c:pt idx="18">
                  <c:v>0.96</c:v>
                </c:pt>
                <c:pt idx="19">
                  <c:v>0.98</c:v>
                </c:pt>
                <c:pt idx="20">
                  <c:v>0.99</c:v>
                </c:pt>
                <c:pt idx="21">
                  <c:v>0.996</c:v>
                </c:pt>
                <c:pt idx="22">
                  <c:v>0.99750000000000005</c:v>
                </c:pt>
                <c:pt idx="23">
                  <c:v>0.99870000000000003</c:v>
                </c:pt>
              </c:numCache>
            </c:numRef>
          </c:val>
          <c:smooth val="1"/>
          <c:extLst>
            <c:ext xmlns:c16="http://schemas.microsoft.com/office/drawing/2014/chart" uri="{C3380CC4-5D6E-409C-BE32-E72D297353CC}">
              <c16:uniqueId val="{00000001-20D8-41C7-92D8-08DB9811DB19}"/>
            </c:ext>
          </c:extLst>
        </c:ser>
        <c:ser>
          <c:idx val="2"/>
          <c:order val="2"/>
          <c:tx>
            <c:v>ARRI LUT middle grey</c:v>
          </c:tx>
          <c:spPr>
            <a:ln cmpd="sng">
              <a:solidFill>
                <a:srgbClr val="FBBC04"/>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Arri709!$E$11:$E$34</c:f>
              <c:numCache>
                <c:formatCode>General</c:formatCode>
                <c:ptCount val="24"/>
                <c:pt idx="0">
                  <c:v>1.6E-2</c:v>
                </c:pt>
                <c:pt idx="1">
                  <c:v>1.61E-2</c:v>
                </c:pt>
                <c:pt idx="2">
                  <c:v>1.6199999999999999E-2</c:v>
                </c:pt>
                <c:pt idx="3">
                  <c:v>1.66E-2</c:v>
                </c:pt>
                <c:pt idx="4">
                  <c:v>2.1999999999999999E-2</c:v>
                </c:pt>
                <c:pt idx="5">
                  <c:v>3.5000000000000003E-2</c:v>
                </c:pt>
                <c:pt idx="6">
                  <c:v>0.06</c:v>
                </c:pt>
                <c:pt idx="7">
                  <c:v>0.13</c:v>
                </c:pt>
                <c:pt idx="8">
                  <c:v>0.245</c:v>
                </c:pt>
                <c:pt idx="9">
                  <c:v>0.29299999999999998</c:v>
                </c:pt>
                <c:pt idx="10">
                  <c:v>0.35199999999999998</c:v>
                </c:pt>
                <c:pt idx="11">
                  <c:v>0.4</c:v>
                </c:pt>
                <c:pt idx="12">
                  <c:v>0.44</c:v>
                </c:pt>
                <c:pt idx="13">
                  <c:v>0.51</c:v>
                </c:pt>
                <c:pt idx="14">
                  <c:v>0.56200000000000006</c:v>
                </c:pt>
                <c:pt idx="15">
                  <c:v>0.71499999999999997</c:v>
                </c:pt>
                <c:pt idx="16">
                  <c:v>0.83299999999999996</c:v>
                </c:pt>
                <c:pt idx="17">
                  <c:v>0.91800000000000004</c:v>
                </c:pt>
                <c:pt idx="18">
                  <c:v>0.96199999999999997</c:v>
                </c:pt>
                <c:pt idx="19">
                  <c:v>0.98299999999999998</c:v>
                </c:pt>
                <c:pt idx="20">
                  <c:v>0.995</c:v>
                </c:pt>
                <c:pt idx="21">
                  <c:v>0.999</c:v>
                </c:pt>
                <c:pt idx="22">
                  <c:v>0.99994000000000005</c:v>
                </c:pt>
                <c:pt idx="23">
                  <c:v>0.99999000000000005</c:v>
                </c:pt>
              </c:numCache>
            </c:numRef>
          </c:val>
          <c:smooth val="1"/>
          <c:extLst>
            <c:ext xmlns:c16="http://schemas.microsoft.com/office/drawing/2014/chart" uri="{C3380CC4-5D6E-409C-BE32-E72D297353CC}">
              <c16:uniqueId val="{00000002-20D8-41C7-92D8-08DB9811DB19}"/>
            </c:ext>
          </c:extLst>
        </c:ser>
        <c:ser>
          <c:idx val="3"/>
          <c:order val="3"/>
          <c:tx>
            <c:v>709 Transform calculation from LogC3</c:v>
          </c:tx>
          <c:spPr>
            <a:ln cmpd="sng">
              <a:solidFill>
                <a:srgbClr val="34A853"/>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Arri709!$D$11:$D$34</c:f>
              <c:numCache>
                <c:formatCode>General</c:formatCode>
                <c:ptCount val="24"/>
                <c:pt idx="0">
                  <c:v>1.6E-2</c:v>
                </c:pt>
                <c:pt idx="1">
                  <c:v>1.7000000000000001E-2</c:v>
                </c:pt>
                <c:pt idx="2">
                  <c:v>1.9E-2</c:v>
                </c:pt>
                <c:pt idx="3">
                  <c:v>2.3E-2</c:v>
                </c:pt>
                <c:pt idx="4">
                  <c:v>0.03</c:v>
                </c:pt>
                <c:pt idx="5">
                  <c:v>0.05</c:v>
                </c:pt>
                <c:pt idx="6">
                  <c:v>0.08</c:v>
                </c:pt>
                <c:pt idx="7">
                  <c:v>0.15</c:v>
                </c:pt>
                <c:pt idx="8">
                  <c:v>0.25</c:v>
                </c:pt>
                <c:pt idx="9">
                  <c:v>0.3</c:v>
                </c:pt>
                <c:pt idx="10">
                  <c:v>0.34</c:v>
                </c:pt>
                <c:pt idx="11">
                  <c:v>0.4</c:v>
                </c:pt>
                <c:pt idx="12">
                  <c:v>0.44</c:v>
                </c:pt>
                <c:pt idx="13">
                  <c:v>0.49</c:v>
                </c:pt>
                <c:pt idx="14">
                  <c:v>0.54</c:v>
                </c:pt>
                <c:pt idx="15">
                  <c:v>0.67</c:v>
                </c:pt>
                <c:pt idx="16">
                  <c:v>0.81</c:v>
                </c:pt>
                <c:pt idx="17">
                  <c:v>0.9</c:v>
                </c:pt>
                <c:pt idx="18">
                  <c:v>0.96</c:v>
                </c:pt>
                <c:pt idx="19">
                  <c:v>0.98</c:v>
                </c:pt>
                <c:pt idx="20">
                  <c:v>0.99</c:v>
                </c:pt>
                <c:pt idx="21">
                  <c:v>0.996</c:v>
                </c:pt>
                <c:pt idx="22">
                  <c:v>0.99750000000000005</c:v>
                </c:pt>
                <c:pt idx="23">
                  <c:v>0.99870000000000003</c:v>
                </c:pt>
              </c:numCache>
            </c:numRef>
          </c:val>
          <c:smooth val="1"/>
          <c:extLst>
            <c:ext xmlns:c16="http://schemas.microsoft.com/office/drawing/2014/chart" uri="{C3380CC4-5D6E-409C-BE32-E72D297353CC}">
              <c16:uniqueId val="{00000003-20D8-41C7-92D8-08DB9811DB19}"/>
            </c:ext>
          </c:extLst>
        </c:ser>
        <c:ser>
          <c:idx val="4"/>
          <c:order val="4"/>
          <c:tx>
            <c:v>709 Transform middle grey</c:v>
          </c:tx>
          <c:spPr>
            <a:ln cmpd="sng">
              <a:solidFill>
                <a:srgbClr val="FF6D01"/>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Arri709!$F$22</c:f>
              <c:numCache>
                <c:formatCode>General</c:formatCode>
                <c:ptCount val="1"/>
                <c:pt idx="0">
                  <c:v>0.4</c:v>
                </c:pt>
              </c:numCache>
            </c:numRef>
          </c:val>
          <c:smooth val="1"/>
          <c:extLst>
            <c:ext xmlns:c16="http://schemas.microsoft.com/office/drawing/2014/chart" uri="{C3380CC4-5D6E-409C-BE32-E72D297353CC}">
              <c16:uniqueId val="{00000004-20D8-41C7-92D8-08DB9811DB19}"/>
            </c:ext>
          </c:extLst>
        </c:ser>
        <c:ser>
          <c:idx val="5"/>
          <c:order val="5"/>
          <c:tx>
            <c:v>LogC3 to PQ DW200 to cineon to 709 with k2383 D65</c:v>
          </c:tx>
          <c:spPr>
            <a:ln cmpd="sng">
              <a:solidFill>
                <a:srgbClr val="46BDC6"/>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Arri709!$G$11:$G$34</c:f>
              <c:numCache>
                <c:formatCode>#,##0.000</c:formatCode>
                <c:ptCount val="24"/>
                <c:pt idx="0" formatCode="#,##0.0000000">
                  <c:v>6.4111516108960949E-6</c:v>
                </c:pt>
                <c:pt idx="1">
                  <c:v>3.1640624984280779E-3</c:v>
                </c:pt>
                <c:pt idx="2">
                  <c:v>6.3281249633219397E-3</c:v>
                </c:pt>
                <c:pt idx="3">
                  <c:v>1.265625001047942E-2</c:v>
                </c:pt>
                <c:pt idx="4">
                  <c:v>2.531250002095884E-2</c:v>
                </c:pt>
                <c:pt idx="5">
                  <c:v>5.0625000023429248E-2</c:v>
                </c:pt>
                <c:pt idx="6">
                  <c:v>0.10028739287352589</c:v>
                </c:pt>
                <c:pt idx="7">
                  <c:v>0.1732346012257808</c:v>
                </c:pt>
                <c:pt idx="8">
                  <c:v>0.27288342467312432</c:v>
                </c:pt>
                <c:pt idx="9">
                  <c:v>0.34732158241373379</c:v>
                </c:pt>
                <c:pt idx="10">
                  <c:v>0.39340671841555686</c:v>
                </c:pt>
                <c:pt idx="11">
                  <c:v>0.40900772878777658</c:v>
                </c:pt>
                <c:pt idx="12">
                  <c:v>0.4417082790186182</c:v>
                </c:pt>
                <c:pt idx="13">
                  <c:v>0.49474787556660693</c:v>
                </c:pt>
                <c:pt idx="14">
                  <c:v>0.59495900829424386</c:v>
                </c:pt>
                <c:pt idx="15">
                  <c:v>0.84897594185359815</c:v>
                </c:pt>
                <c:pt idx="16">
                  <c:v>1.1959732992715488</c:v>
                </c:pt>
              </c:numCache>
            </c:numRef>
          </c:val>
          <c:smooth val="1"/>
          <c:extLst>
            <c:ext xmlns:c16="http://schemas.microsoft.com/office/drawing/2014/chart" uri="{C3380CC4-5D6E-409C-BE32-E72D297353CC}">
              <c16:uniqueId val="{00000005-20D8-41C7-92D8-08DB9811DB19}"/>
            </c:ext>
          </c:extLst>
        </c:ser>
        <c:ser>
          <c:idx val="6"/>
          <c:order val="6"/>
          <c:tx>
            <c:v>709 with K2383 middle grey</c:v>
          </c:tx>
          <c:spPr>
            <a:ln cmpd="sng">
              <a:solidFill>
                <a:srgbClr val="7BAAF7"/>
              </a:solidFill>
            </a:ln>
          </c:spPr>
          <c:marker>
            <c:symbol val="none"/>
          </c:marker>
          <c:cat>
            <c:numRef>
              <c:f>Arri709!$C$11:$C$34</c:f>
              <c:numCache>
                <c:formatCode>General</c:formatCode>
                <c:ptCount val="24"/>
                <c:pt idx="0">
                  <c:v>0</c:v>
                </c:pt>
                <c:pt idx="1">
                  <c:v>0.05</c:v>
                </c:pt>
                <c:pt idx="2">
                  <c:v>0.1</c:v>
                </c:pt>
                <c:pt idx="3">
                  <c:v>0.15</c:v>
                </c:pt>
                <c:pt idx="4">
                  <c:v>0.2</c:v>
                </c:pt>
                <c:pt idx="5">
                  <c:v>0.25</c:v>
                </c:pt>
                <c:pt idx="6">
                  <c:v>0.3</c:v>
                </c:pt>
                <c:pt idx="7">
                  <c:v>0.35</c:v>
                </c:pt>
                <c:pt idx="8">
                  <c:v>0.4</c:v>
                </c:pt>
                <c:pt idx="9">
                  <c:v>0.41666499999999995</c:v>
                </c:pt>
                <c:pt idx="10">
                  <c:v>0.43333000000000005</c:v>
                </c:pt>
                <c:pt idx="11">
                  <c:v>0.45</c:v>
                </c:pt>
                <c:pt idx="12">
                  <c:v>0.466665</c:v>
                </c:pt>
                <c:pt idx="13">
                  <c:v>0.48333000000000004</c:v>
                </c:pt>
                <c:pt idx="14">
                  <c:v>0.5</c:v>
                </c:pt>
                <c:pt idx="15">
                  <c:v>0.55000000000000004</c:v>
                </c:pt>
                <c:pt idx="16">
                  <c:v>0.6</c:v>
                </c:pt>
                <c:pt idx="17">
                  <c:v>0.65</c:v>
                </c:pt>
                <c:pt idx="18">
                  <c:v>0.7</c:v>
                </c:pt>
                <c:pt idx="19">
                  <c:v>0.75</c:v>
                </c:pt>
                <c:pt idx="20">
                  <c:v>0.8</c:v>
                </c:pt>
                <c:pt idx="21">
                  <c:v>0.85</c:v>
                </c:pt>
                <c:pt idx="22">
                  <c:v>0.9</c:v>
                </c:pt>
                <c:pt idx="23">
                  <c:v>1</c:v>
                </c:pt>
              </c:numCache>
            </c:numRef>
          </c:cat>
          <c:val>
            <c:numRef>
              <c:f>Arri709!$H$11:$H$34</c:f>
              <c:numCache>
                <c:formatCode>General</c:formatCode>
                <c:ptCount val="24"/>
                <c:pt idx="0">
                  <c:v>0.40899999999999997</c:v>
                </c:pt>
                <c:pt idx="1">
                  <c:v>0.40899999999999997</c:v>
                </c:pt>
                <c:pt idx="2">
                  <c:v>0.40899999999999997</c:v>
                </c:pt>
                <c:pt idx="3">
                  <c:v>0.40899999999999997</c:v>
                </c:pt>
                <c:pt idx="4">
                  <c:v>0.40899999999999997</c:v>
                </c:pt>
                <c:pt idx="5">
                  <c:v>0.40899999999999997</c:v>
                </c:pt>
                <c:pt idx="6">
                  <c:v>0.40899999999999997</c:v>
                </c:pt>
                <c:pt idx="7">
                  <c:v>0.40899999999999997</c:v>
                </c:pt>
                <c:pt idx="8">
                  <c:v>0.40899999999999997</c:v>
                </c:pt>
                <c:pt idx="9">
                  <c:v>0.40899999999999997</c:v>
                </c:pt>
                <c:pt idx="10">
                  <c:v>0.40899999999999997</c:v>
                </c:pt>
                <c:pt idx="11">
                  <c:v>0.40899999999999997</c:v>
                </c:pt>
                <c:pt idx="12">
                  <c:v>0.40899999999999997</c:v>
                </c:pt>
                <c:pt idx="13">
                  <c:v>0.40899999999999997</c:v>
                </c:pt>
                <c:pt idx="14">
                  <c:v>0.40899999999999997</c:v>
                </c:pt>
                <c:pt idx="15">
                  <c:v>0.40899999999999997</c:v>
                </c:pt>
                <c:pt idx="16">
                  <c:v>0.40899999999999997</c:v>
                </c:pt>
                <c:pt idx="17">
                  <c:v>0.40899999999999997</c:v>
                </c:pt>
                <c:pt idx="18">
                  <c:v>0.40900000000000097</c:v>
                </c:pt>
              </c:numCache>
            </c:numRef>
          </c:val>
          <c:smooth val="1"/>
          <c:extLst>
            <c:ext xmlns:c16="http://schemas.microsoft.com/office/drawing/2014/chart" uri="{C3380CC4-5D6E-409C-BE32-E72D297353CC}">
              <c16:uniqueId val="{00000006-20D8-41C7-92D8-08DB9811DB19}"/>
            </c:ext>
          </c:extLst>
        </c:ser>
        <c:dLbls>
          <c:showLegendKey val="0"/>
          <c:showVal val="0"/>
          <c:showCatName val="0"/>
          <c:showSerName val="0"/>
          <c:showPercent val="0"/>
          <c:showBubbleSize val="0"/>
        </c:dLbls>
        <c:smooth val="0"/>
        <c:axId val="1340710820"/>
        <c:axId val="91376505"/>
      </c:lineChart>
      <c:catAx>
        <c:axId val="1340710820"/>
        <c:scaling>
          <c:orientation val="minMax"/>
        </c:scaling>
        <c:delete val="0"/>
        <c:axPos val="b"/>
        <c:title>
          <c:tx>
            <c:rich>
              <a:bodyPr/>
              <a:lstStyle/>
              <a:p>
                <a:pPr lvl="0">
                  <a:defRPr b="0">
                    <a:solidFill>
                      <a:srgbClr val="000000"/>
                    </a:solidFill>
                    <a:latin typeface="+mn-lt"/>
                  </a:defRPr>
                </a:pPr>
                <a:r>
                  <a:rPr lang="en-SG" b="0">
                    <a:solidFill>
                      <a:srgbClr val="000000"/>
                    </a:solidFill>
                    <a:latin typeface="+mn-lt"/>
                  </a:rPr>
                  <a:t>Exposure stop 0 = stop -9; 1 = stop +10</a:t>
                </a:r>
              </a:p>
            </c:rich>
          </c:tx>
          <c:overlay val="0"/>
        </c:title>
        <c:numFmt formatCode="General" sourceLinked="1"/>
        <c:majorTickMark val="none"/>
        <c:minorTickMark val="none"/>
        <c:tickLblPos val="nextTo"/>
        <c:txPr>
          <a:bodyPr rot="-1800000"/>
          <a:lstStyle/>
          <a:p>
            <a:pPr lvl="0">
              <a:defRPr b="0">
                <a:solidFill>
                  <a:srgbClr val="000000"/>
                </a:solidFill>
                <a:latin typeface="+mn-lt"/>
              </a:defRPr>
            </a:pPr>
            <a:endParaRPr lang="en-US"/>
          </a:p>
        </c:txPr>
        <c:crossAx val="91376505"/>
        <c:crosses val="autoZero"/>
        <c:auto val="1"/>
        <c:lblAlgn val="ctr"/>
        <c:lblOffset val="100"/>
        <c:noMultiLvlLbl val="1"/>
      </c:catAx>
      <c:valAx>
        <c:axId val="913765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lang="en-SG" b="0">
                    <a:solidFill>
                      <a:srgbClr val="000000"/>
                    </a:solidFill>
                    <a:latin typeface="+mn-lt"/>
                  </a:rPr>
                  <a:t>Luminance mapped 0-1 </a:t>
                </a:r>
              </a:p>
            </c:rich>
          </c:tx>
          <c:overlay val="0"/>
        </c:title>
        <c:numFmt formatCode="General" sourceLinked="1"/>
        <c:majorTickMark val="none"/>
        <c:minorTickMark val="none"/>
        <c:tickLblPos val="nextTo"/>
        <c:spPr>
          <a:ln>
            <a:solidFill/>
          </a:ln>
        </c:spPr>
        <c:txPr>
          <a:bodyPr/>
          <a:lstStyle/>
          <a:p>
            <a:pPr lvl="0">
              <a:defRPr b="0">
                <a:solidFill>
                  <a:srgbClr val="000000"/>
                </a:solidFill>
                <a:latin typeface="+mn-lt"/>
              </a:defRPr>
            </a:pPr>
            <a:endParaRPr lang="en-US"/>
          </a:p>
        </c:txPr>
        <c:crossAx val="1340710820"/>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371475</xdr:colOff>
      <xdr:row>0</xdr:row>
      <xdr:rowOff>66675</xdr:rowOff>
    </xdr:from>
    <xdr:ext cx="6962775" cy="4591050"/>
    <xdr:graphicFrame macro="">
      <xdr:nvGraphicFramePr>
        <xdr:cNvPr id="2" name="Chart 1" title="Chart">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10</xdr:col>
      <xdr:colOff>19050</xdr:colOff>
      <xdr:row>29</xdr:row>
      <xdr:rowOff>161925</xdr:rowOff>
    </xdr:from>
    <xdr:ext cx="6886575" cy="4238625"/>
    <xdr:pic>
      <xdr:nvPicPr>
        <xdr:cNvPr id="2" name="image1.png" title="Image">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youtube.com/playlist?list=PLNb91KaW1BVh5unbCrhLG9Xaqz3ufXI0_&amp;si=Gdp_jDTc9aU99rUs" TargetMode="External"/><Relationship Id="rId1" Type="http://schemas.openxmlformats.org/officeDocument/2006/relationships/hyperlink" Target="https://youtube.com/playlist?list=PLAUgeAzlAB_SPFWG_pXbz49k7tTSZEb9W&amp;si=YkKdz6YxSIaKwQxB"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hyperlink" Target="https://cameramanben.github.io/LUTCalc/LUTCalc/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B2:F45"/>
  <sheetViews>
    <sheetView workbookViewId="0"/>
  </sheetViews>
  <sheetFormatPr baseColWidth="10" defaultColWidth="12.6640625" defaultRowHeight="15.75" customHeight="1"/>
  <cols>
    <col min="2" max="2" width="108.83203125" customWidth="1"/>
  </cols>
  <sheetData>
    <row r="2" spans="2:2" ht="15.75" customHeight="1">
      <c r="B2" s="1" t="s">
        <v>0</v>
      </c>
    </row>
    <row r="3" spans="2:2" ht="15.75" customHeight="1">
      <c r="B3" s="2" t="s">
        <v>1</v>
      </c>
    </row>
    <row r="4" spans="2:2" ht="15.75" customHeight="1">
      <c r="B4" s="3" t="s">
        <v>2</v>
      </c>
    </row>
    <row r="6" spans="2:2" ht="15.75" customHeight="1">
      <c r="B6" s="2" t="s">
        <v>3</v>
      </c>
    </row>
    <row r="8" spans="2:2" ht="15.75" customHeight="1">
      <c r="B8" s="2" t="s">
        <v>4</v>
      </c>
    </row>
    <row r="9" spans="2:2" ht="15.75" customHeight="1">
      <c r="B9" s="3" t="s">
        <v>5</v>
      </c>
    </row>
    <row r="11" spans="2:2" ht="15.75" customHeight="1">
      <c r="B11" s="3" t="s">
        <v>6</v>
      </c>
    </row>
    <row r="13" spans="2:2" ht="15.75" customHeight="1">
      <c r="B13" s="2" t="s">
        <v>7</v>
      </c>
    </row>
    <row r="14" spans="2:2" ht="15.75" customHeight="1">
      <c r="B14" s="3" t="s">
        <v>8</v>
      </c>
    </row>
    <row r="15" spans="2:2" ht="15.75" customHeight="1">
      <c r="B15" s="2" t="s">
        <v>9</v>
      </c>
    </row>
    <row r="16" spans="2:2" ht="15.75" customHeight="1">
      <c r="B16" s="2" t="s">
        <v>10</v>
      </c>
    </row>
    <row r="17" spans="2:6" ht="15.75" customHeight="1">
      <c r="B17" s="2" t="s">
        <v>11</v>
      </c>
    </row>
    <row r="18" spans="2:6" ht="15.75" customHeight="1">
      <c r="B18" s="2" t="s">
        <v>12</v>
      </c>
    </row>
    <row r="19" spans="2:6" ht="15.75" customHeight="1">
      <c r="B19" s="2" t="s">
        <v>13</v>
      </c>
    </row>
    <row r="20" spans="2:6" ht="15.75" customHeight="1">
      <c r="B20" s="2" t="s">
        <v>14</v>
      </c>
    </row>
    <row r="21" spans="2:6" ht="15.75" customHeight="1">
      <c r="B21" s="2" t="s">
        <v>15</v>
      </c>
    </row>
    <row r="22" spans="2:6" ht="15.75" customHeight="1">
      <c r="B22" s="2" t="s">
        <v>16</v>
      </c>
      <c r="C22" s="4" t="s">
        <v>17</v>
      </c>
      <c r="D22" s="5">
        <v>149</v>
      </c>
      <c r="E22" s="4" t="s">
        <v>18</v>
      </c>
      <c r="F22" s="6">
        <f>D22/255</f>
        <v>0.58431372549019611</v>
      </c>
    </row>
    <row r="24" spans="2:6" ht="15.75" customHeight="1">
      <c r="B24" s="3" t="s">
        <v>19</v>
      </c>
    </row>
    <row r="25" spans="2:6" ht="15.75" customHeight="1">
      <c r="B25" s="3" t="s">
        <v>20</v>
      </c>
    </row>
    <row r="26" spans="2:6" ht="15.75" customHeight="1">
      <c r="B26" s="7" t="s">
        <v>21</v>
      </c>
    </row>
    <row r="27" spans="2:6" ht="13">
      <c r="B27" s="7" t="s">
        <v>22</v>
      </c>
    </row>
    <row r="29" spans="2:6" ht="13">
      <c r="B29" s="2" t="s">
        <v>23</v>
      </c>
      <c r="D29" s="2" t="s">
        <v>24</v>
      </c>
    </row>
    <row r="30" spans="2:6" ht="13">
      <c r="B30" s="2" t="s">
        <v>25</v>
      </c>
      <c r="D30" s="2" t="s">
        <v>26</v>
      </c>
    </row>
    <row r="31" spans="2:6" ht="13">
      <c r="B31" s="2" t="s">
        <v>27</v>
      </c>
      <c r="D31" s="2" t="s">
        <v>28</v>
      </c>
    </row>
    <row r="32" spans="2:6" ht="13">
      <c r="B32" s="2" t="s">
        <v>29</v>
      </c>
      <c r="D32" s="2" t="s">
        <v>30</v>
      </c>
    </row>
    <row r="33" spans="2:4" ht="13">
      <c r="B33" s="2" t="s">
        <v>31</v>
      </c>
      <c r="D33" s="2" t="s">
        <v>32</v>
      </c>
    </row>
    <row r="34" spans="2:4" ht="13">
      <c r="B34" s="2" t="s">
        <v>33</v>
      </c>
      <c r="D34" s="2" t="s">
        <v>34</v>
      </c>
    </row>
    <row r="35" spans="2:4" ht="13">
      <c r="B35" s="2" t="s">
        <v>35</v>
      </c>
      <c r="D35" s="2" t="s">
        <v>36</v>
      </c>
    </row>
    <row r="36" spans="2:4" ht="13">
      <c r="B36" s="2" t="s">
        <v>37</v>
      </c>
      <c r="D36" s="2" t="s">
        <v>38</v>
      </c>
    </row>
    <row r="37" spans="2:4" ht="13">
      <c r="B37" s="2" t="s">
        <v>39</v>
      </c>
      <c r="D37" s="2" t="s">
        <v>40</v>
      </c>
    </row>
    <row r="38" spans="2:4" ht="13">
      <c r="B38" s="2" t="s">
        <v>41</v>
      </c>
      <c r="D38" s="2" t="s">
        <v>42</v>
      </c>
    </row>
    <row r="39" spans="2:4" ht="13">
      <c r="B39" s="2" t="s">
        <v>43</v>
      </c>
      <c r="D39" s="2" t="s">
        <v>44</v>
      </c>
    </row>
    <row r="40" spans="2:4" ht="13">
      <c r="B40" s="2" t="s">
        <v>45</v>
      </c>
      <c r="D40" s="2" t="s">
        <v>46</v>
      </c>
    </row>
    <row r="41" spans="2:4" ht="13">
      <c r="B41" s="2" t="s">
        <v>47</v>
      </c>
      <c r="D41" s="2" t="s">
        <v>48</v>
      </c>
    </row>
    <row r="42" spans="2:4" ht="13">
      <c r="B42" s="2" t="s">
        <v>49</v>
      </c>
      <c r="D42" s="2" t="s">
        <v>50</v>
      </c>
    </row>
    <row r="43" spans="2:4" ht="13">
      <c r="B43" s="2" t="s">
        <v>51</v>
      </c>
      <c r="D43" s="2" t="s">
        <v>52</v>
      </c>
    </row>
    <row r="44" spans="2:4" ht="13">
      <c r="B44" s="2" t="s">
        <v>53</v>
      </c>
      <c r="D44" s="2" t="s">
        <v>54</v>
      </c>
    </row>
    <row r="45" spans="2:4" ht="13">
      <c r="B45" s="2" t="s">
        <v>55</v>
      </c>
      <c r="D45" s="2" t="s">
        <v>56</v>
      </c>
    </row>
  </sheetData>
  <hyperlinks>
    <hyperlink ref="B26" r:id="rId1" xr:uid="{00000000-0004-0000-0000-000000000000}"/>
    <hyperlink ref="B27"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39"/>
  <sheetViews>
    <sheetView topLeftCell="A58" workbookViewId="0">
      <selection activeCell="T50" sqref="T50"/>
    </sheetView>
  </sheetViews>
  <sheetFormatPr baseColWidth="10" defaultColWidth="12.6640625" defaultRowHeight="15.75" customHeight="1"/>
  <cols>
    <col min="1" max="2" width="4" customWidth="1"/>
    <col min="4" max="4" width="10.83203125" customWidth="1"/>
    <col min="5" max="5" width="6.6640625" customWidth="1"/>
    <col min="6" max="6" width="7.1640625" customWidth="1"/>
    <col min="7" max="7" width="6.6640625" bestFit="1" customWidth="1"/>
    <col min="8" max="8" width="7.6640625" customWidth="1"/>
    <col min="9" max="9" width="6" customWidth="1"/>
    <col min="10" max="10" width="6.33203125" bestFit="1" customWidth="1"/>
    <col min="11" max="11" width="5.83203125" customWidth="1"/>
    <col min="12" max="13" width="6.6640625" bestFit="1" customWidth="1"/>
    <col min="14" max="14" width="6.1640625" bestFit="1" customWidth="1"/>
    <col min="15" max="15" width="7.83203125" customWidth="1"/>
    <col min="16" max="16" width="6.6640625" bestFit="1" customWidth="1"/>
    <col min="17" max="17" width="6.33203125" customWidth="1"/>
    <col min="18" max="18" width="6.6640625" bestFit="1" customWidth="1"/>
  </cols>
  <sheetData>
    <row r="1" spans="1:27" ht="15.75" customHeight="1">
      <c r="A1" s="8"/>
      <c r="B1" s="9"/>
      <c r="C1" s="9"/>
      <c r="D1" s="9"/>
      <c r="E1" s="9"/>
      <c r="F1" s="9"/>
      <c r="G1" s="9"/>
      <c r="H1" s="9"/>
      <c r="I1" s="9"/>
      <c r="J1" s="9"/>
      <c r="K1" s="9"/>
      <c r="L1" s="9"/>
      <c r="M1" s="9"/>
      <c r="N1" s="9"/>
      <c r="O1" s="9"/>
      <c r="P1" s="9"/>
      <c r="Q1" s="9"/>
      <c r="R1" s="9"/>
      <c r="S1" s="8"/>
      <c r="T1" s="8"/>
      <c r="U1" s="8"/>
      <c r="V1" s="8"/>
      <c r="W1" s="8"/>
      <c r="X1" s="8"/>
      <c r="Y1" s="8"/>
      <c r="Z1" s="8"/>
      <c r="AA1" s="8"/>
    </row>
    <row r="2" spans="1:27" ht="15.75" customHeight="1">
      <c r="A2" s="10"/>
      <c r="B2" s="169" t="s">
        <v>57</v>
      </c>
      <c r="C2" s="170"/>
      <c r="D2" s="170"/>
      <c r="E2" s="170"/>
      <c r="F2" s="170"/>
      <c r="G2" s="170"/>
      <c r="H2" s="170"/>
      <c r="I2" s="170"/>
      <c r="J2" s="170"/>
      <c r="K2" s="170"/>
      <c r="L2" s="170"/>
      <c r="M2" s="170"/>
      <c r="N2" s="170"/>
      <c r="O2" s="170"/>
      <c r="P2" s="170"/>
      <c r="Q2" s="170"/>
      <c r="R2" s="171"/>
      <c r="S2" s="8"/>
      <c r="T2" s="8"/>
      <c r="U2" s="8"/>
      <c r="V2" s="8"/>
      <c r="W2" s="8"/>
      <c r="X2" s="8"/>
      <c r="Y2" s="8"/>
      <c r="Z2" s="8"/>
      <c r="AA2" s="8"/>
    </row>
    <row r="3" spans="1:27" ht="15.75" customHeight="1">
      <c r="A3" s="10"/>
      <c r="B3" s="11" t="s">
        <v>58</v>
      </c>
      <c r="C3" s="12" t="s">
        <v>59</v>
      </c>
      <c r="D3" s="13" t="s">
        <v>60</v>
      </c>
      <c r="E3" s="12" t="s">
        <v>61</v>
      </c>
      <c r="F3" s="12" t="s">
        <v>62</v>
      </c>
      <c r="G3" s="12" t="s">
        <v>63</v>
      </c>
      <c r="H3" s="13" t="s">
        <v>64</v>
      </c>
      <c r="I3" s="12" t="s">
        <v>65</v>
      </c>
      <c r="J3" s="12" t="s">
        <v>66</v>
      </c>
      <c r="K3" s="12" t="s">
        <v>67</v>
      </c>
      <c r="L3" s="12" t="s">
        <v>68</v>
      </c>
      <c r="M3" s="12" t="s">
        <v>69</v>
      </c>
      <c r="N3" s="12" t="s">
        <v>70</v>
      </c>
      <c r="O3" s="13" t="s">
        <v>71</v>
      </c>
      <c r="P3" s="13" t="s">
        <v>72</v>
      </c>
      <c r="Q3" s="13" t="s">
        <v>73</v>
      </c>
      <c r="R3" s="12" t="s">
        <v>74</v>
      </c>
      <c r="S3" s="8"/>
      <c r="T3" s="8"/>
      <c r="U3" s="8"/>
      <c r="V3" s="8"/>
      <c r="W3" s="8"/>
      <c r="X3" s="8"/>
      <c r="Y3" s="8"/>
      <c r="Z3" s="8"/>
      <c r="AA3" s="8"/>
    </row>
    <row r="4" spans="1:27" ht="15.75" customHeight="1">
      <c r="A4" s="14"/>
      <c r="B4" s="15">
        <v>1</v>
      </c>
      <c r="C4" s="16" t="s">
        <v>75</v>
      </c>
      <c r="D4" s="17">
        <v>1.4247000000000001E-6</v>
      </c>
      <c r="E4" s="17">
        <v>9.2899999999999991</v>
      </c>
      <c r="F4" s="17">
        <v>9.2799999999999994</v>
      </c>
      <c r="G4" s="17">
        <v>9.2899999999999991</v>
      </c>
      <c r="H4" s="17">
        <v>9.16</v>
      </c>
      <c r="I4" s="17">
        <v>9.2899999999999991</v>
      </c>
      <c r="J4" s="18">
        <v>12.512531718452339</v>
      </c>
      <c r="K4" s="17">
        <v>9.2899999999999991</v>
      </c>
      <c r="L4" s="17">
        <v>9.2899999999999991</v>
      </c>
      <c r="M4" s="17">
        <v>12.51</v>
      </c>
      <c r="N4" s="17">
        <v>12.5</v>
      </c>
      <c r="O4" s="17">
        <v>9.25</v>
      </c>
      <c r="P4" s="17">
        <v>9.2899999999999991</v>
      </c>
      <c r="Q4" s="17">
        <v>15.05</v>
      </c>
      <c r="R4" s="17">
        <v>12.44</v>
      </c>
      <c r="S4" s="8"/>
      <c r="T4" s="8"/>
      <c r="U4" s="8"/>
      <c r="V4" s="8"/>
      <c r="W4" s="8"/>
      <c r="X4" s="8"/>
      <c r="Y4" s="8"/>
      <c r="Z4" s="8"/>
      <c r="AA4" s="8"/>
    </row>
    <row r="5" spans="1:27" ht="15.75" customHeight="1">
      <c r="A5" s="14"/>
      <c r="B5" s="15">
        <v>2</v>
      </c>
      <c r="C5" s="16" t="s">
        <v>76</v>
      </c>
      <c r="D5" s="17">
        <v>7.0312499999999997E-4</v>
      </c>
      <c r="E5" s="17">
        <v>9.51</v>
      </c>
      <c r="F5" s="17">
        <v>9.66</v>
      </c>
      <c r="G5" s="17">
        <v>9.75</v>
      </c>
      <c r="H5" s="17">
        <v>9.56</v>
      </c>
      <c r="I5" s="17">
        <v>9.98</v>
      </c>
      <c r="J5" s="18">
        <v>12.666553359374999</v>
      </c>
      <c r="K5" s="19">
        <v>9.91</v>
      </c>
      <c r="L5" s="19">
        <v>9.9</v>
      </c>
      <c r="M5" s="17">
        <v>12.67</v>
      </c>
      <c r="N5" s="17">
        <v>12.89</v>
      </c>
      <c r="O5" s="17">
        <v>9.83</v>
      </c>
      <c r="P5" s="17">
        <v>9.7100000000000009</v>
      </c>
      <c r="Q5" s="17">
        <v>15.43</v>
      </c>
      <c r="R5" s="17">
        <v>12.81</v>
      </c>
      <c r="S5" s="8"/>
      <c r="T5" s="8"/>
      <c r="U5" s="8"/>
      <c r="V5" s="8"/>
      <c r="W5" s="8"/>
      <c r="X5" s="8"/>
      <c r="Y5" s="8"/>
      <c r="Z5" s="8"/>
      <c r="AA5" s="8"/>
    </row>
    <row r="6" spans="1:27" ht="15.75" customHeight="1">
      <c r="A6" s="14"/>
      <c r="B6" s="15">
        <v>3</v>
      </c>
      <c r="C6" s="16" t="s">
        <v>77</v>
      </c>
      <c r="D6" s="17">
        <v>1.4062499999999999E-3</v>
      </c>
      <c r="E6" s="17">
        <v>9.73</v>
      </c>
      <c r="F6" s="17">
        <v>10.039999999999999</v>
      </c>
      <c r="G6" s="17">
        <v>10.220000000000001</v>
      </c>
      <c r="H6" s="17">
        <v>9.9600000000000009</v>
      </c>
      <c r="I6" s="17">
        <v>10.62</v>
      </c>
      <c r="J6" s="18">
        <v>12.820887718749999</v>
      </c>
      <c r="K6" s="19">
        <v>10.5</v>
      </c>
      <c r="L6" s="19">
        <v>10.48</v>
      </c>
      <c r="M6" s="17">
        <v>12.82</v>
      </c>
      <c r="N6" s="17">
        <v>13.29</v>
      </c>
      <c r="O6" s="17">
        <v>10.41</v>
      </c>
      <c r="P6" s="17">
        <v>10.14</v>
      </c>
      <c r="Q6" s="17">
        <v>15.81</v>
      </c>
      <c r="R6" s="17">
        <v>13.17</v>
      </c>
      <c r="S6" s="8"/>
      <c r="T6" s="8"/>
      <c r="U6" s="8"/>
      <c r="V6" s="8"/>
      <c r="W6" s="8"/>
      <c r="X6" s="8"/>
      <c r="Y6" s="8"/>
      <c r="Z6" s="8"/>
      <c r="AA6" s="8"/>
    </row>
    <row r="7" spans="1:27" ht="15.75" customHeight="1">
      <c r="A7" s="14"/>
      <c r="B7" s="15">
        <v>4</v>
      </c>
      <c r="C7" s="16" t="s">
        <v>78</v>
      </c>
      <c r="D7" s="17">
        <v>2.8124999999999999E-3</v>
      </c>
      <c r="E7" s="17">
        <v>10.16</v>
      </c>
      <c r="F7" s="17">
        <v>10.79</v>
      </c>
      <c r="G7" s="17">
        <v>11.15</v>
      </c>
      <c r="H7" s="17">
        <v>10.7</v>
      </c>
      <c r="I7" s="17">
        <v>11.81</v>
      </c>
      <c r="J7" s="18">
        <v>13.1295564375</v>
      </c>
      <c r="K7" s="19">
        <v>11.59</v>
      </c>
      <c r="L7" s="19">
        <v>11.58</v>
      </c>
      <c r="M7" s="17">
        <v>13.13</v>
      </c>
      <c r="N7" s="17">
        <v>14.08</v>
      </c>
      <c r="O7" s="17">
        <v>11.58</v>
      </c>
      <c r="P7" s="17">
        <v>10.98</v>
      </c>
      <c r="Q7" s="17">
        <v>16.59</v>
      </c>
      <c r="R7" s="17">
        <v>13.83</v>
      </c>
      <c r="S7" s="8"/>
      <c r="T7" s="8"/>
      <c r="U7" s="8"/>
      <c r="V7" s="8"/>
      <c r="W7" s="8"/>
      <c r="X7" s="8"/>
      <c r="Y7" s="8"/>
      <c r="Z7" s="8"/>
      <c r="AA7" s="8"/>
    </row>
    <row r="8" spans="1:27" ht="15.75" customHeight="1">
      <c r="A8" s="14"/>
      <c r="B8" s="15">
        <v>5</v>
      </c>
      <c r="C8" s="16" t="s">
        <v>79</v>
      </c>
      <c r="D8" s="17">
        <v>5.6249999999999998E-3</v>
      </c>
      <c r="E8" s="17">
        <v>10.96</v>
      </c>
      <c r="F8" s="17">
        <v>12.3</v>
      </c>
      <c r="G8" s="17">
        <v>13.01</v>
      </c>
      <c r="H8" s="17">
        <v>12.03</v>
      </c>
      <c r="I8" s="17">
        <v>13.84</v>
      </c>
      <c r="J8" s="18">
        <v>13.746893875</v>
      </c>
      <c r="K8" s="19">
        <v>13.48</v>
      </c>
      <c r="L8" s="19">
        <v>13.56</v>
      </c>
      <c r="M8" s="17">
        <v>13.72</v>
      </c>
      <c r="N8" s="17">
        <v>15.65</v>
      </c>
      <c r="O8" s="17">
        <v>13.89</v>
      </c>
      <c r="P8" s="17">
        <v>12.68</v>
      </c>
      <c r="Q8" s="17">
        <v>18.2</v>
      </c>
      <c r="R8" s="17">
        <v>14.99</v>
      </c>
      <c r="S8" s="8"/>
      <c r="T8" s="8"/>
      <c r="U8" s="8"/>
      <c r="V8" s="8"/>
      <c r="W8" s="8"/>
      <c r="X8" s="8"/>
      <c r="Y8" s="8"/>
      <c r="Z8" s="8"/>
      <c r="AA8" s="8"/>
    </row>
    <row r="9" spans="1:27" ht="15.75" customHeight="1">
      <c r="A9" s="14"/>
      <c r="B9" s="15">
        <v>6</v>
      </c>
      <c r="C9" s="16" t="s">
        <v>80</v>
      </c>
      <c r="D9" s="17">
        <v>1.125E-2</v>
      </c>
      <c r="E9" s="17">
        <v>12.38</v>
      </c>
      <c r="F9" s="17">
        <v>15.31</v>
      </c>
      <c r="G9" s="17">
        <v>16.739999999999998</v>
      </c>
      <c r="H9" s="17">
        <v>14.24</v>
      </c>
      <c r="I9" s="17">
        <v>17.010000000000002</v>
      </c>
      <c r="J9" s="18">
        <v>14.981568749999999</v>
      </c>
      <c r="K9" s="19">
        <v>16.48</v>
      </c>
      <c r="L9" s="19">
        <v>16.88</v>
      </c>
      <c r="M9" s="17">
        <v>14.86</v>
      </c>
      <c r="N9" s="17">
        <v>18.78</v>
      </c>
      <c r="O9" s="17">
        <v>17.45</v>
      </c>
      <c r="P9" s="17">
        <v>15.88</v>
      </c>
      <c r="Q9" s="17">
        <v>21.62</v>
      </c>
      <c r="R9" s="17">
        <v>16.88</v>
      </c>
      <c r="S9" s="8"/>
      <c r="T9" s="8"/>
      <c r="U9" s="8"/>
      <c r="V9" s="8"/>
      <c r="W9" s="8"/>
      <c r="X9" s="8"/>
      <c r="Y9" s="8"/>
      <c r="Z9" s="8"/>
      <c r="AA9" s="8"/>
    </row>
    <row r="10" spans="1:27" ht="15.75" customHeight="1">
      <c r="A10" s="14"/>
      <c r="B10" s="15">
        <v>7</v>
      </c>
      <c r="C10" s="16" t="s">
        <v>81</v>
      </c>
      <c r="D10" s="17">
        <v>2.2499999999999999E-2</v>
      </c>
      <c r="E10" s="17">
        <v>14.7</v>
      </c>
      <c r="F10" s="17">
        <v>19.98</v>
      </c>
      <c r="G10" s="17">
        <v>21.45</v>
      </c>
      <c r="H10" s="17">
        <v>17.559999999999999</v>
      </c>
      <c r="I10" s="17">
        <v>21.4</v>
      </c>
      <c r="J10" s="18">
        <v>17.315100437761473</v>
      </c>
      <c r="K10" s="19">
        <v>20.73</v>
      </c>
      <c r="L10" s="19">
        <v>21.89</v>
      </c>
      <c r="M10" s="17">
        <v>16.97</v>
      </c>
      <c r="N10" s="17">
        <v>23.46</v>
      </c>
      <c r="O10" s="17">
        <v>21.92</v>
      </c>
      <c r="P10" s="17">
        <v>20.45</v>
      </c>
      <c r="Q10" s="17">
        <v>26.93</v>
      </c>
      <c r="R10" s="17">
        <v>19.739999999999998</v>
      </c>
      <c r="S10" s="8"/>
      <c r="T10" s="8"/>
      <c r="U10" s="8"/>
      <c r="V10" s="8"/>
      <c r="W10" s="8"/>
      <c r="X10" s="8"/>
      <c r="Y10" s="8"/>
      <c r="Z10" s="8"/>
      <c r="AA10" s="8"/>
    </row>
    <row r="11" spans="1:27" ht="15.75" customHeight="1">
      <c r="A11" s="14"/>
      <c r="B11" s="15">
        <v>8</v>
      </c>
      <c r="C11" s="16" t="s">
        <v>82</v>
      </c>
      <c r="D11" s="17">
        <v>4.4999999999999998E-2</v>
      </c>
      <c r="E11" s="17">
        <v>18.11</v>
      </c>
      <c r="F11" s="17">
        <v>25.71</v>
      </c>
      <c r="G11" s="17">
        <v>27.29</v>
      </c>
      <c r="H11" s="17">
        <v>22.01</v>
      </c>
      <c r="I11" s="17">
        <v>26.88</v>
      </c>
      <c r="J11" s="18">
        <v>21.158922574427692</v>
      </c>
      <c r="K11" s="19">
        <v>26.12</v>
      </c>
      <c r="L11" s="19">
        <v>28.63</v>
      </c>
      <c r="M11" s="17">
        <v>20.6</v>
      </c>
      <c r="N11" s="17">
        <v>29.15</v>
      </c>
      <c r="O11" s="17">
        <v>27.05</v>
      </c>
      <c r="P11" s="17">
        <v>26.19</v>
      </c>
      <c r="Q11" s="17">
        <v>33.479999999999997</v>
      </c>
      <c r="R11" s="17">
        <v>23.79</v>
      </c>
      <c r="S11" s="8"/>
      <c r="T11" s="8"/>
      <c r="U11" s="8"/>
      <c r="V11" s="8"/>
      <c r="W11" s="8"/>
      <c r="X11" s="8"/>
      <c r="Y11" s="8"/>
      <c r="Z11" s="8"/>
      <c r="AA11" s="8"/>
    </row>
    <row r="12" spans="1:27" ht="15.75" customHeight="1">
      <c r="A12" s="14"/>
      <c r="B12" s="15">
        <v>9</v>
      </c>
      <c r="C12" s="16" t="s">
        <v>83</v>
      </c>
      <c r="D12" s="17">
        <v>0.09</v>
      </c>
      <c r="E12" s="17">
        <v>22.56</v>
      </c>
      <c r="F12" s="17">
        <v>32.18</v>
      </c>
      <c r="G12" s="17">
        <v>33.93</v>
      </c>
      <c r="H12" s="17">
        <v>27.36</v>
      </c>
      <c r="I12" s="17">
        <v>33.11</v>
      </c>
      <c r="J12" s="18">
        <v>26.844927757858251</v>
      </c>
      <c r="K12" s="19">
        <v>32.35</v>
      </c>
      <c r="L12" s="19">
        <v>36.799999999999997</v>
      </c>
      <c r="M12" s="17">
        <v>26.31</v>
      </c>
      <c r="N12" s="17">
        <v>35.54</v>
      </c>
      <c r="O12" s="17">
        <v>32.58</v>
      </c>
      <c r="P12" s="17">
        <v>32.770000000000003</v>
      </c>
      <c r="Q12" s="17">
        <v>40.89</v>
      </c>
      <c r="R12" s="17">
        <v>29.24</v>
      </c>
      <c r="S12" s="8"/>
      <c r="T12" s="8"/>
      <c r="U12" s="8"/>
      <c r="V12" s="8"/>
      <c r="W12" s="8"/>
      <c r="X12" s="8"/>
      <c r="Y12" s="8"/>
      <c r="Z12" s="8"/>
      <c r="AA12" s="8"/>
    </row>
    <row r="13" spans="1:27" ht="14">
      <c r="A13" s="14"/>
      <c r="B13" s="15">
        <v>10</v>
      </c>
      <c r="C13" s="16" t="s">
        <v>84</v>
      </c>
      <c r="D13" s="17">
        <v>0.12727922061357799</v>
      </c>
      <c r="E13" s="17">
        <v>25.12</v>
      </c>
      <c r="F13" s="17">
        <v>35.06</v>
      </c>
      <c r="G13" s="17">
        <v>37.450000000000003</v>
      </c>
      <c r="H13" s="17">
        <v>30.3</v>
      </c>
      <c r="I13" s="17">
        <v>36.43</v>
      </c>
      <c r="J13" s="18">
        <v>30.38</v>
      </c>
      <c r="K13" s="20">
        <v>35.67</v>
      </c>
      <c r="L13" s="20">
        <v>41.27</v>
      </c>
      <c r="M13" s="17">
        <v>30.04</v>
      </c>
      <c r="N13" s="17">
        <v>38.9</v>
      </c>
      <c r="O13" s="17">
        <v>35.450000000000003</v>
      </c>
      <c r="P13" s="17">
        <v>36.270000000000003</v>
      </c>
      <c r="Q13" s="17">
        <v>44.81</v>
      </c>
      <c r="R13" s="17">
        <v>32.58</v>
      </c>
      <c r="S13" s="8"/>
      <c r="T13" s="8"/>
      <c r="U13" s="8"/>
      <c r="V13" s="8"/>
      <c r="W13" s="8"/>
      <c r="X13" s="8"/>
      <c r="Y13" s="8"/>
      <c r="Z13" s="8"/>
      <c r="AA13" s="8"/>
    </row>
    <row r="14" spans="1:27" ht="15.75" customHeight="1">
      <c r="A14" s="14"/>
      <c r="B14" s="15">
        <v>11</v>
      </c>
      <c r="C14" s="16" t="s">
        <v>85</v>
      </c>
      <c r="D14" s="17">
        <v>0.16794593847662501</v>
      </c>
      <c r="E14" s="17">
        <v>27.28</v>
      </c>
      <c r="F14" s="17">
        <v>38.39</v>
      </c>
      <c r="G14" s="17">
        <v>40.33</v>
      </c>
      <c r="H14" s="17">
        <v>32.72</v>
      </c>
      <c r="I14" s="17">
        <v>39.14</v>
      </c>
      <c r="J14" s="18">
        <v>33.517248558861489</v>
      </c>
      <c r="K14" s="17">
        <v>38.409999999999997</v>
      </c>
      <c r="L14" s="17">
        <v>44.99</v>
      </c>
      <c r="M14" s="17">
        <v>33.44</v>
      </c>
      <c r="N14" s="17">
        <v>41.64</v>
      </c>
      <c r="O14" s="17">
        <v>37.770000000000003</v>
      </c>
      <c r="P14" s="17">
        <v>39.15</v>
      </c>
      <c r="Q14" s="17">
        <v>48.02</v>
      </c>
      <c r="R14" s="17">
        <v>35.57</v>
      </c>
      <c r="S14" s="8"/>
      <c r="T14" s="8"/>
      <c r="U14" s="8"/>
      <c r="V14" s="8"/>
      <c r="W14" s="8"/>
      <c r="X14" s="8"/>
      <c r="Y14" s="8"/>
      <c r="Z14" s="8"/>
      <c r="AA14" s="8"/>
    </row>
    <row r="15" spans="1:27" ht="15.75" customHeight="1">
      <c r="A15" s="21"/>
      <c r="B15" s="22">
        <v>12</v>
      </c>
      <c r="C15" s="23" t="s">
        <v>86</v>
      </c>
      <c r="D15" s="24">
        <v>0.18</v>
      </c>
      <c r="E15" s="24">
        <v>27.84</v>
      </c>
      <c r="F15" s="24">
        <v>39.1</v>
      </c>
      <c r="G15" s="24">
        <v>41.06</v>
      </c>
      <c r="H15" s="24">
        <v>33.33</v>
      </c>
      <c r="I15" s="24">
        <v>39.83</v>
      </c>
      <c r="J15" s="25">
        <v>34.338937037393549</v>
      </c>
      <c r="K15" s="26">
        <v>39.1</v>
      </c>
      <c r="L15" s="26">
        <v>45.93</v>
      </c>
      <c r="M15" s="24">
        <v>34.340000000000003</v>
      </c>
      <c r="N15" s="24">
        <v>42.33</v>
      </c>
      <c r="O15" s="24">
        <v>38.36</v>
      </c>
      <c r="P15" s="24">
        <v>39.880000000000003</v>
      </c>
      <c r="Q15" s="24">
        <v>48.83</v>
      </c>
      <c r="R15" s="24">
        <v>36.369999999999997</v>
      </c>
      <c r="S15" s="8"/>
      <c r="T15" s="8"/>
      <c r="U15" s="8"/>
      <c r="V15" s="8"/>
      <c r="W15" s="8"/>
      <c r="X15" s="8"/>
      <c r="Y15" s="8"/>
      <c r="Z15" s="8"/>
      <c r="AA15" s="8"/>
    </row>
    <row r="16" spans="1:27" ht="15.75" customHeight="1">
      <c r="A16" s="21"/>
      <c r="B16" s="15">
        <v>13</v>
      </c>
      <c r="C16" s="16" t="s">
        <v>87</v>
      </c>
      <c r="D16" s="17">
        <v>0.206765703899466</v>
      </c>
      <c r="E16" s="17">
        <v>28.97</v>
      </c>
      <c r="F16" s="17">
        <v>40.520000000000003</v>
      </c>
      <c r="G16" s="17">
        <v>42.52</v>
      </c>
      <c r="H16" s="17">
        <v>34.58</v>
      </c>
      <c r="I16" s="17">
        <v>41.2</v>
      </c>
      <c r="J16" s="18">
        <v>36.024940817582795</v>
      </c>
      <c r="K16" s="17">
        <v>40.49</v>
      </c>
      <c r="L16" s="17">
        <v>47.84</v>
      </c>
      <c r="M16" s="17">
        <v>36.21</v>
      </c>
      <c r="N16" s="17">
        <v>43.72</v>
      </c>
      <c r="O16" s="17">
        <v>39.53</v>
      </c>
      <c r="P16" s="17">
        <v>41.34</v>
      </c>
      <c r="Q16" s="17">
        <v>50.46</v>
      </c>
      <c r="R16" s="17">
        <v>38.020000000000003</v>
      </c>
      <c r="S16" s="8"/>
      <c r="T16" s="8"/>
      <c r="U16" s="8"/>
      <c r="V16" s="8"/>
      <c r="W16" s="8"/>
      <c r="X16" s="8"/>
      <c r="Y16" s="8"/>
      <c r="Z16" s="8"/>
      <c r="AA16" s="8"/>
    </row>
    <row r="17" spans="1:27" ht="15.75" customHeight="1">
      <c r="A17" s="21"/>
      <c r="B17" s="15">
        <v>14</v>
      </c>
      <c r="C17" s="16" t="s">
        <v>88</v>
      </c>
      <c r="D17" s="17">
        <v>0.2545584412271571</v>
      </c>
      <c r="E17" s="17">
        <v>30.7</v>
      </c>
      <c r="F17" s="17">
        <v>42.66</v>
      </c>
      <c r="G17" s="17">
        <v>45.41</v>
      </c>
      <c r="H17" s="17">
        <v>36.47</v>
      </c>
      <c r="I17" s="17">
        <v>43.29</v>
      </c>
      <c r="J17" s="18">
        <v>38.652921471022928</v>
      </c>
      <c r="K17" s="27">
        <v>42.6</v>
      </c>
      <c r="L17" s="19">
        <v>50.74</v>
      </c>
      <c r="M17" s="17">
        <v>39.159999999999997</v>
      </c>
      <c r="N17" s="17">
        <v>45.82</v>
      </c>
      <c r="O17" s="17">
        <v>41.29</v>
      </c>
      <c r="P17" s="17">
        <v>43.55</v>
      </c>
      <c r="Q17" s="17">
        <v>52.92</v>
      </c>
      <c r="R17" s="17">
        <v>40.659999999999997</v>
      </c>
      <c r="S17" s="8"/>
      <c r="T17" s="8"/>
      <c r="U17" s="8"/>
      <c r="V17" s="8"/>
      <c r="W17" s="8"/>
      <c r="X17" s="8"/>
      <c r="Y17" s="8"/>
      <c r="Z17" s="8"/>
      <c r="AA17" s="8"/>
    </row>
    <row r="18" spans="1:27" ht="15.75" customHeight="1">
      <c r="A18" s="21"/>
      <c r="B18" s="15">
        <v>15</v>
      </c>
      <c r="C18" s="16" t="s">
        <v>89</v>
      </c>
      <c r="D18" s="17">
        <v>0.36</v>
      </c>
      <c r="E18" s="17">
        <v>33.65</v>
      </c>
      <c r="F18" s="17">
        <v>46.27</v>
      </c>
      <c r="G18" s="17">
        <v>48.45</v>
      </c>
      <c r="H18" s="17">
        <v>39.67</v>
      </c>
      <c r="I18" s="17">
        <v>46.8</v>
      </c>
      <c r="J18" s="18">
        <v>43.26304773125613</v>
      </c>
      <c r="K18" s="19">
        <v>46.16</v>
      </c>
      <c r="L18" s="19">
        <v>55.65</v>
      </c>
      <c r="M18" s="17">
        <v>44.43</v>
      </c>
      <c r="N18" s="17">
        <v>49.36</v>
      </c>
      <c r="O18" s="17">
        <v>44.25</v>
      </c>
      <c r="P18" s="17">
        <v>47.28</v>
      </c>
      <c r="Q18" s="17">
        <v>57.06</v>
      </c>
      <c r="R18" s="17">
        <v>45.53</v>
      </c>
      <c r="S18" s="8"/>
      <c r="T18" s="8"/>
      <c r="U18" s="8"/>
      <c r="V18" s="8"/>
      <c r="W18" s="8"/>
      <c r="X18" s="8"/>
      <c r="Y18" s="8"/>
      <c r="Z18" s="8"/>
      <c r="AA18" s="8"/>
    </row>
    <row r="19" spans="1:27" ht="15.75" customHeight="1">
      <c r="A19" s="21"/>
      <c r="B19" s="15">
        <v>16</v>
      </c>
      <c r="C19" s="16" t="s">
        <v>90</v>
      </c>
      <c r="D19" s="17">
        <v>0.72</v>
      </c>
      <c r="E19" s="17">
        <v>39.78</v>
      </c>
      <c r="F19" s="17">
        <v>53.58</v>
      </c>
      <c r="G19" s="17">
        <v>56</v>
      </c>
      <c r="H19" s="17">
        <v>46.21</v>
      </c>
      <c r="I19" s="17">
        <v>53.92</v>
      </c>
      <c r="J19" s="18">
        <v>53.135712316125058</v>
      </c>
      <c r="K19" s="19">
        <v>53.37</v>
      </c>
      <c r="L19" s="19">
        <v>65.680000000000007</v>
      </c>
      <c r="M19" s="17">
        <v>56.03</v>
      </c>
      <c r="N19" s="17">
        <v>56.5</v>
      </c>
      <c r="O19" s="17">
        <v>50.21</v>
      </c>
      <c r="P19" s="17">
        <v>54.84</v>
      </c>
      <c r="Q19" s="17">
        <v>65.45</v>
      </c>
      <c r="R19" s="17">
        <v>55.69</v>
      </c>
      <c r="S19" s="8"/>
      <c r="T19" s="8"/>
      <c r="U19" s="8"/>
      <c r="V19" s="8"/>
      <c r="W19" s="8"/>
      <c r="X19" s="8"/>
      <c r="Y19" s="8"/>
      <c r="Z19" s="8"/>
      <c r="AA19" s="8"/>
    </row>
    <row r="20" spans="1:27" ht="15.75" customHeight="1">
      <c r="A20" s="21"/>
      <c r="B20" s="28">
        <v>17</v>
      </c>
      <c r="C20" s="29" t="s">
        <v>91</v>
      </c>
      <c r="D20" s="30">
        <v>0.90004485786135058</v>
      </c>
      <c r="E20" s="30">
        <v>41.8</v>
      </c>
      <c r="F20" s="30">
        <v>55.94</v>
      </c>
      <c r="G20" s="30">
        <v>58.45</v>
      </c>
      <c r="H20" s="30">
        <v>48.34</v>
      </c>
      <c r="I20" s="30">
        <v>56.23</v>
      </c>
      <c r="J20" s="31">
        <v>56.447358283131109</v>
      </c>
      <c r="K20" s="32">
        <v>55.71</v>
      </c>
      <c r="L20" s="32">
        <v>68.95</v>
      </c>
      <c r="M20" s="30">
        <v>59.98</v>
      </c>
      <c r="N20" s="30">
        <v>58.82</v>
      </c>
      <c r="O20" s="30">
        <v>52.14</v>
      </c>
      <c r="P20" s="30">
        <v>57.29</v>
      </c>
      <c r="Q20" s="30">
        <v>68.17</v>
      </c>
      <c r="R20" s="30">
        <v>58.96</v>
      </c>
      <c r="S20" s="8"/>
      <c r="T20" s="8"/>
      <c r="U20" s="8"/>
      <c r="V20" s="8"/>
      <c r="W20" s="8"/>
      <c r="X20" s="8"/>
      <c r="Y20" s="8"/>
      <c r="Z20" s="8"/>
      <c r="AA20" s="8"/>
    </row>
    <row r="21" spans="1:27" ht="15.75" customHeight="1">
      <c r="A21" s="14"/>
      <c r="B21" s="15">
        <v>18</v>
      </c>
      <c r="C21" s="16" t="s">
        <v>92</v>
      </c>
      <c r="D21" s="17">
        <v>1.44</v>
      </c>
      <c r="E21" s="17">
        <v>46.08</v>
      </c>
      <c r="F21" s="17">
        <v>60.95</v>
      </c>
      <c r="G21" s="17">
        <v>63.62</v>
      </c>
      <c r="H21" s="17">
        <v>52.85</v>
      </c>
      <c r="I21" s="17">
        <v>61.11</v>
      </c>
      <c r="J21" s="18">
        <v>63.565355161064204</v>
      </c>
      <c r="K21" s="19">
        <v>60.67</v>
      </c>
      <c r="L21" s="19">
        <v>75.88</v>
      </c>
      <c r="M21" s="17">
        <v>68.56</v>
      </c>
      <c r="N21" s="17">
        <v>63.71</v>
      </c>
      <c r="O21" s="17">
        <v>56.2</v>
      </c>
      <c r="P21" s="17">
        <v>62.48</v>
      </c>
      <c r="Q21" s="17">
        <v>73.92</v>
      </c>
      <c r="R21" s="17">
        <v>65.849999999999994</v>
      </c>
      <c r="S21" s="8"/>
      <c r="T21" s="8"/>
      <c r="U21" s="8"/>
      <c r="V21" s="8"/>
      <c r="W21" s="8"/>
      <c r="X21" s="8"/>
      <c r="Y21" s="8"/>
      <c r="Z21" s="8"/>
      <c r="AA21" s="8"/>
    </row>
    <row r="22" spans="1:27" ht="15.75" customHeight="1">
      <c r="A22" s="14"/>
      <c r="B22" s="15">
        <v>19</v>
      </c>
      <c r="C22" s="16" t="s">
        <v>93</v>
      </c>
      <c r="D22" s="17">
        <v>2.88</v>
      </c>
      <c r="E22" s="17">
        <v>52.47</v>
      </c>
      <c r="F22" s="17">
        <v>68.349999999999994</v>
      </c>
      <c r="G22" s="17">
        <v>71.27</v>
      </c>
      <c r="H22" s="17">
        <v>59.54</v>
      </c>
      <c r="I22" s="17">
        <v>68.34</v>
      </c>
      <c r="J22" s="18">
        <v>74.298649263017424</v>
      </c>
      <c r="K22" s="19">
        <v>68.010000000000005</v>
      </c>
      <c r="L22" s="19">
        <v>86.17</v>
      </c>
      <c r="M22" s="17">
        <v>81.62</v>
      </c>
      <c r="N22" s="17">
        <v>70.95</v>
      </c>
      <c r="O22" s="17">
        <v>62.21</v>
      </c>
      <c r="P22" s="17">
        <v>70.17</v>
      </c>
      <c r="Q22" s="17">
        <v>82.43</v>
      </c>
      <c r="R22" s="17">
        <v>76.02</v>
      </c>
      <c r="S22" s="8"/>
      <c r="T22" s="8"/>
      <c r="U22" s="8"/>
      <c r="V22" s="8"/>
      <c r="W22" s="8"/>
      <c r="X22" s="8"/>
      <c r="Y22" s="8"/>
      <c r="Z22" s="8"/>
      <c r="AA22" s="8"/>
    </row>
    <row r="23" spans="1:27" ht="15.75" customHeight="1">
      <c r="A23" s="14"/>
      <c r="B23" s="15">
        <v>20</v>
      </c>
      <c r="C23" s="16" t="s">
        <v>94</v>
      </c>
      <c r="D23" s="17">
        <v>5.76</v>
      </c>
      <c r="E23" s="17">
        <v>58.9</v>
      </c>
      <c r="F23" s="17">
        <v>75.78</v>
      </c>
      <c r="G23" s="17">
        <v>78.95</v>
      </c>
      <c r="H23" s="17">
        <v>66.27</v>
      </c>
      <c r="I23" s="17">
        <v>75.59</v>
      </c>
      <c r="J23" s="18">
        <v>85.190757276432564</v>
      </c>
      <c r="K23" s="19">
        <v>75.37</v>
      </c>
      <c r="L23" s="19">
        <v>96.5</v>
      </c>
      <c r="M23" s="17">
        <v>94.96</v>
      </c>
      <c r="N23" s="17">
        <v>78.2</v>
      </c>
      <c r="O23" s="17">
        <v>68.23</v>
      </c>
      <c r="P23" s="17">
        <v>77.87</v>
      </c>
      <c r="Q23" s="17">
        <v>90.96</v>
      </c>
      <c r="R23" s="17">
        <v>86.18</v>
      </c>
      <c r="S23" s="8"/>
      <c r="T23" s="8"/>
      <c r="U23" s="8"/>
      <c r="V23" s="8"/>
      <c r="W23" s="8"/>
      <c r="X23" s="8"/>
      <c r="Y23" s="8"/>
      <c r="Z23" s="8"/>
      <c r="AA23" s="8"/>
    </row>
    <row r="24" spans="1:27" ht="15.75" customHeight="1">
      <c r="A24" s="14"/>
      <c r="B24" s="15">
        <v>21</v>
      </c>
      <c r="C24" s="16" t="s">
        <v>95</v>
      </c>
      <c r="D24" s="17">
        <v>11.52</v>
      </c>
      <c r="E24" s="17">
        <v>65.36</v>
      </c>
      <c r="F24" s="17">
        <v>83.21</v>
      </c>
      <c r="G24" s="17">
        <v>86.63</v>
      </c>
      <c r="H24" s="17">
        <v>73.010000000000005</v>
      </c>
      <c r="I24" s="17">
        <v>82.84</v>
      </c>
      <c r="J24" s="18">
        <v>96.164117332636565</v>
      </c>
      <c r="K24" s="19">
        <v>82.74</v>
      </c>
      <c r="L24" s="17">
        <v>106.86</v>
      </c>
      <c r="M24" s="17">
        <v>108.45</v>
      </c>
      <c r="N24" s="17">
        <v>85.46</v>
      </c>
      <c r="O24" s="17">
        <v>74.25</v>
      </c>
      <c r="P24" s="17">
        <v>85.59</v>
      </c>
      <c r="Q24" s="17">
        <v>99.5</v>
      </c>
      <c r="R24" s="17">
        <v>96.35</v>
      </c>
      <c r="S24" s="8"/>
      <c r="T24" s="8"/>
      <c r="U24" s="8"/>
      <c r="V24" s="8"/>
      <c r="W24" s="8"/>
      <c r="X24" s="8"/>
      <c r="Y24" s="8"/>
      <c r="Z24" s="8"/>
      <c r="AA24" s="8"/>
    </row>
    <row r="25" spans="1:27" ht="15.75" customHeight="1">
      <c r="A25" s="14"/>
      <c r="B25" s="15">
        <v>22</v>
      </c>
      <c r="C25" s="16" t="s">
        <v>96</v>
      </c>
      <c r="D25" s="17">
        <v>23.04</v>
      </c>
      <c r="E25" s="17">
        <v>71.83</v>
      </c>
      <c r="F25" s="17">
        <v>90.65</v>
      </c>
      <c r="G25" s="17">
        <v>94.32</v>
      </c>
      <c r="H25" s="17">
        <v>79.75</v>
      </c>
      <c r="I25" s="17">
        <v>90.1</v>
      </c>
      <c r="J25" s="18">
        <v>107.17857769811351</v>
      </c>
      <c r="K25" s="19">
        <v>90.12</v>
      </c>
      <c r="L25" s="16"/>
      <c r="M25" s="16"/>
      <c r="N25" s="17">
        <v>92.73</v>
      </c>
      <c r="O25" s="17">
        <v>80.27</v>
      </c>
      <c r="P25" s="17">
        <v>93.31</v>
      </c>
      <c r="Q25" s="17">
        <v>108.04</v>
      </c>
      <c r="R25" s="17">
        <v>106.51</v>
      </c>
      <c r="S25" s="8"/>
      <c r="T25" s="8"/>
      <c r="U25" s="8"/>
      <c r="V25" s="8"/>
      <c r="W25" s="8"/>
      <c r="X25" s="8"/>
      <c r="Y25" s="8"/>
      <c r="Z25" s="8"/>
      <c r="AA25" s="8"/>
    </row>
    <row r="26" spans="1:27" ht="15.75" customHeight="1">
      <c r="A26" s="14"/>
      <c r="B26" s="15">
        <v>23</v>
      </c>
      <c r="C26" s="16" t="s">
        <v>97</v>
      </c>
      <c r="D26" s="17">
        <v>46.08</v>
      </c>
      <c r="E26" s="17">
        <v>78.3</v>
      </c>
      <c r="F26" s="17">
        <v>98.09</v>
      </c>
      <c r="G26" s="17">
        <v>102.02</v>
      </c>
      <c r="H26" s="17">
        <v>86.5</v>
      </c>
      <c r="I26" s="17">
        <v>97.37</v>
      </c>
      <c r="J26" s="17"/>
      <c r="K26" s="19">
        <v>97.5</v>
      </c>
      <c r="L26" s="16"/>
      <c r="M26" s="16"/>
      <c r="N26" s="17">
        <v>100</v>
      </c>
      <c r="O26" s="17">
        <v>86.3</v>
      </c>
      <c r="P26" s="17">
        <v>101.03</v>
      </c>
      <c r="Q26" s="16"/>
      <c r="R26" s="16"/>
      <c r="S26" s="8"/>
      <c r="T26" s="8"/>
      <c r="U26" s="8"/>
      <c r="V26" s="8"/>
      <c r="W26" s="8"/>
      <c r="X26" s="8"/>
      <c r="Y26" s="8"/>
      <c r="Z26" s="8"/>
      <c r="AA26" s="8"/>
    </row>
    <row r="27" spans="1:27" ht="13">
      <c r="A27" s="14"/>
      <c r="B27" s="15">
        <v>24</v>
      </c>
      <c r="C27" s="16" t="s">
        <v>98</v>
      </c>
      <c r="D27" s="17">
        <v>92.16</v>
      </c>
      <c r="E27" s="17">
        <v>84.78</v>
      </c>
      <c r="F27" s="17">
        <v>105.53</v>
      </c>
      <c r="G27" s="16"/>
      <c r="H27" s="17">
        <v>93.25</v>
      </c>
      <c r="I27" s="16"/>
      <c r="J27" s="16"/>
      <c r="K27" s="5"/>
      <c r="L27" s="16"/>
      <c r="M27" s="16"/>
      <c r="N27" s="16"/>
      <c r="O27" s="17">
        <v>92.32</v>
      </c>
      <c r="P27" s="16"/>
      <c r="Q27" s="16"/>
      <c r="R27" s="16"/>
      <c r="S27" s="8"/>
      <c r="T27" s="8"/>
      <c r="U27" s="8"/>
      <c r="V27" s="8"/>
      <c r="W27" s="8"/>
      <c r="X27" s="8"/>
      <c r="Y27" s="8"/>
      <c r="Z27" s="8"/>
      <c r="AA27" s="8"/>
    </row>
    <row r="28" spans="1:27" ht="13">
      <c r="A28" s="14"/>
      <c r="B28" s="15">
        <v>25</v>
      </c>
      <c r="C28" s="16" t="s">
        <v>99</v>
      </c>
      <c r="D28" s="17">
        <v>184.32</v>
      </c>
      <c r="E28" s="17">
        <v>91.25</v>
      </c>
      <c r="F28" s="16"/>
      <c r="G28" s="16"/>
      <c r="H28" s="17">
        <v>100</v>
      </c>
      <c r="I28" s="16"/>
      <c r="J28" s="16"/>
      <c r="K28" s="16"/>
      <c r="L28" s="16"/>
      <c r="M28" s="16"/>
      <c r="N28" s="16"/>
      <c r="O28" s="16"/>
      <c r="P28" s="16"/>
      <c r="Q28" s="16"/>
      <c r="R28" s="16"/>
      <c r="S28" s="8"/>
      <c r="T28" s="8"/>
      <c r="U28" s="8"/>
      <c r="V28" s="8"/>
      <c r="W28" s="8"/>
      <c r="X28" s="8"/>
      <c r="Y28" s="8"/>
      <c r="Z28" s="8"/>
      <c r="AA28" s="8"/>
    </row>
    <row r="29" spans="1:27" ht="13">
      <c r="A29" s="8"/>
      <c r="B29" s="8"/>
      <c r="C29" s="8"/>
      <c r="D29" s="8"/>
      <c r="E29" s="8"/>
      <c r="F29" s="8"/>
      <c r="G29" s="8"/>
      <c r="H29" s="8"/>
      <c r="I29" s="8"/>
      <c r="J29" s="8"/>
      <c r="K29" s="8"/>
      <c r="L29" s="8"/>
      <c r="M29" s="8"/>
      <c r="N29" s="8"/>
      <c r="O29" s="8"/>
      <c r="P29" s="8"/>
      <c r="Q29" s="8"/>
      <c r="R29" s="8"/>
      <c r="S29" s="8"/>
      <c r="T29" s="8"/>
      <c r="U29" s="8"/>
      <c r="V29" s="8"/>
      <c r="W29" s="8"/>
      <c r="X29" s="8"/>
      <c r="Y29" s="8"/>
      <c r="Z29" s="8"/>
      <c r="AA29" s="8"/>
    </row>
    <row r="30" spans="1:27" ht="13">
      <c r="A30" s="10"/>
      <c r="B30" s="172" t="s">
        <v>100</v>
      </c>
      <c r="C30" s="166"/>
      <c r="D30" s="166"/>
      <c r="E30" s="166"/>
      <c r="F30" s="166"/>
      <c r="G30" s="166"/>
      <c r="H30" s="166"/>
      <c r="I30" s="166"/>
      <c r="J30" s="166"/>
      <c r="K30" s="166"/>
      <c r="L30" s="166"/>
      <c r="M30" s="166"/>
      <c r="N30" s="166"/>
      <c r="O30" s="166"/>
      <c r="P30" s="166"/>
      <c r="Q30" s="166"/>
      <c r="R30" s="167"/>
      <c r="S30" s="8"/>
      <c r="T30" s="8"/>
      <c r="U30" s="8"/>
      <c r="V30" s="8"/>
      <c r="W30" s="8"/>
      <c r="X30" s="8"/>
      <c r="Y30" s="8"/>
      <c r="Z30" s="8"/>
      <c r="AA30" s="8"/>
    </row>
    <row r="31" spans="1:27" ht="28">
      <c r="A31" s="10"/>
      <c r="B31" s="11" t="s">
        <v>58</v>
      </c>
      <c r="C31" s="12" t="s">
        <v>59</v>
      </c>
      <c r="D31" s="13" t="s">
        <v>60</v>
      </c>
      <c r="E31" s="12" t="s">
        <v>61</v>
      </c>
      <c r="F31" s="12" t="s">
        <v>62</v>
      </c>
      <c r="G31" s="12" t="s">
        <v>63</v>
      </c>
      <c r="H31" s="13" t="s">
        <v>64</v>
      </c>
      <c r="I31" s="12" t="s">
        <v>65</v>
      </c>
      <c r="J31" s="12" t="s">
        <v>66</v>
      </c>
      <c r="K31" s="12" t="s">
        <v>67</v>
      </c>
      <c r="L31" s="12" t="s">
        <v>68</v>
      </c>
      <c r="M31" s="12" t="s">
        <v>69</v>
      </c>
      <c r="N31" s="12" t="s">
        <v>70</v>
      </c>
      <c r="O31" s="13" t="s">
        <v>71</v>
      </c>
      <c r="P31" s="12" t="s">
        <v>72</v>
      </c>
      <c r="Q31" s="13" t="s">
        <v>73</v>
      </c>
      <c r="R31" s="12" t="s">
        <v>74</v>
      </c>
      <c r="S31" s="8"/>
      <c r="T31" s="8"/>
      <c r="U31" s="8"/>
      <c r="V31" s="8"/>
      <c r="W31" s="8"/>
      <c r="X31" s="8"/>
      <c r="Y31" s="8"/>
      <c r="Z31" s="8"/>
      <c r="AA31" s="8"/>
    </row>
    <row r="32" spans="1:27" ht="13">
      <c r="A32" s="14"/>
      <c r="B32" s="15">
        <v>1</v>
      </c>
      <c r="C32" s="16" t="s">
        <v>75</v>
      </c>
      <c r="D32" s="17">
        <v>1.4247000000000001E-6</v>
      </c>
      <c r="E32" s="33">
        <v>95.004751027392615</v>
      </c>
      <c r="F32" s="33">
        <v>94.951430185934313</v>
      </c>
      <c r="G32" s="33">
        <v>95.009651271719903</v>
      </c>
      <c r="H32" s="33">
        <v>93.665821944732443</v>
      </c>
      <c r="I32" s="33">
        <v>95.014783898459527</v>
      </c>
      <c r="J32" s="33">
        <v>128.00319947976743</v>
      </c>
      <c r="K32" s="17">
        <v>95</v>
      </c>
      <c r="L32" s="33">
        <v>95.012603903515867</v>
      </c>
      <c r="M32" s="33">
        <v>128.0035345398345</v>
      </c>
      <c r="N32" s="33">
        <v>127.88316182135999</v>
      </c>
      <c r="O32" s="33">
        <v>94.604538844824077</v>
      </c>
      <c r="P32" s="33">
        <v>95.045481245302497</v>
      </c>
      <c r="Q32" s="33">
        <v>153.94518641655051</v>
      </c>
      <c r="R32" s="33">
        <v>127.241254234029</v>
      </c>
      <c r="S32" s="8"/>
      <c r="T32" s="8"/>
      <c r="U32" s="8"/>
      <c r="V32" s="8"/>
      <c r="W32" s="8"/>
      <c r="X32" s="8"/>
      <c r="Y32" s="8"/>
      <c r="Z32" s="8"/>
      <c r="AA32" s="8"/>
    </row>
    <row r="33" spans="1:27" ht="15">
      <c r="A33" s="14"/>
      <c r="B33" s="15">
        <v>2</v>
      </c>
      <c r="C33" s="16" t="s">
        <v>76</v>
      </c>
      <c r="D33" s="17">
        <v>7.0312499999999997E-4</v>
      </c>
      <c r="E33" s="33">
        <v>97.316523387693991</v>
      </c>
      <c r="F33" s="33">
        <v>98.804544467578125</v>
      </c>
      <c r="G33" s="33">
        <v>99.763143418306228</v>
      </c>
      <c r="H33" s="33">
        <v>97.837430796943451</v>
      </c>
      <c r="I33" s="33">
        <v>102.05924431210421</v>
      </c>
      <c r="J33" s="33">
        <v>129.57884086640624</v>
      </c>
      <c r="K33" s="34">
        <v>101.32929679898437</v>
      </c>
      <c r="L33" s="34">
        <v>101.28338407945313</v>
      </c>
      <c r="M33" s="33">
        <v>129.59178917715377</v>
      </c>
      <c r="N33" s="33">
        <v>131.9030625</v>
      </c>
      <c r="O33" s="33">
        <v>100.5508376143332</v>
      </c>
      <c r="P33" s="33">
        <v>99.370463671874987</v>
      </c>
      <c r="Q33" s="33">
        <v>157.79878621792213</v>
      </c>
      <c r="R33" s="33">
        <v>131.09107748949401</v>
      </c>
      <c r="S33" s="8"/>
      <c r="T33" s="8"/>
      <c r="U33" s="8"/>
      <c r="V33" s="8"/>
      <c r="W33" s="8"/>
      <c r="X33" s="8"/>
      <c r="Y33" s="8"/>
      <c r="Z33" s="8"/>
      <c r="AA33" s="8"/>
    </row>
    <row r="34" spans="1:27" ht="15">
      <c r="A34" s="14"/>
      <c r="B34" s="15">
        <v>3</v>
      </c>
      <c r="C34" s="16" t="s">
        <v>77</v>
      </c>
      <c r="D34" s="17">
        <v>1.4062499999999999E-3</v>
      </c>
      <c r="E34" s="33">
        <v>99.578256399365372</v>
      </c>
      <c r="F34" s="33">
        <v>102.66548193515625</v>
      </c>
      <c r="G34" s="33">
        <v>104.5262868366121</v>
      </c>
      <c r="H34" s="33">
        <v>101.84935905146709</v>
      </c>
      <c r="I34" s="33">
        <v>108.68233515818747</v>
      </c>
      <c r="J34" s="33">
        <v>131.1576813628125</v>
      </c>
      <c r="K34" s="34">
        <v>107.4009549314554</v>
      </c>
      <c r="L34" s="34">
        <v>107.19640000318532</v>
      </c>
      <c r="M34" s="33">
        <v>131.17079783830013</v>
      </c>
      <c r="N34" s="33">
        <v>135.93112499999998</v>
      </c>
      <c r="O34" s="33">
        <v>106.50920947524125</v>
      </c>
      <c r="P34" s="33">
        <v>103.70422734374999</v>
      </c>
      <c r="Q34" s="33">
        <v>161.70799317721949</v>
      </c>
      <c r="R34" s="33">
        <v>134.73434555505699</v>
      </c>
      <c r="S34" s="8"/>
      <c r="T34" s="8"/>
      <c r="U34" s="8"/>
      <c r="V34" s="8"/>
      <c r="W34" s="8"/>
      <c r="X34" s="8"/>
      <c r="Y34" s="8"/>
      <c r="Z34" s="8"/>
      <c r="AA34" s="8"/>
    </row>
    <row r="35" spans="1:27" ht="15">
      <c r="A35" s="14"/>
      <c r="B35" s="15">
        <v>4</v>
      </c>
      <c r="C35" s="16" t="s">
        <v>78</v>
      </c>
      <c r="D35" s="17">
        <v>2.8124999999999999E-3</v>
      </c>
      <c r="E35" s="33">
        <v>103.94730785234057</v>
      </c>
      <c r="F35" s="33">
        <v>110.3873568703125</v>
      </c>
      <c r="G35" s="33">
        <v>114.05257367322486</v>
      </c>
      <c r="H35" s="33">
        <v>109.41890034923631</v>
      </c>
      <c r="I35" s="33">
        <v>120.81476946911022</v>
      </c>
      <c r="J35" s="33">
        <v>134.31536235562501</v>
      </c>
      <c r="K35" s="34">
        <v>118.53258817688392</v>
      </c>
      <c r="L35" s="34">
        <v>118.44555863469688</v>
      </c>
      <c r="M35" s="33">
        <v>134.29213748910797</v>
      </c>
      <c r="N35" s="33">
        <v>143.98724999999999</v>
      </c>
      <c r="O35" s="33">
        <v>118.42595319705839</v>
      </c>
      <c r="P35" s="33">
        <v>112.3717546875</v>
      </c>
      <c r="Q35" s="33">
        <v>169.66990143143985</v>
      </c>
      <c r="R35" s="33">
        <v>141.48204998157101</v>
      </c>
      <c r="S35" s="8"/>
      <c r="T35" s="8"/>
      <c r="U35" s="8"/>
      <c r="V35" s="8"/>
      <c r="W35" s="8"/>
      <c r="X35" s="8"/>
      <c r="Y35" s="8"/>
      <c r="Z35" s="8"/>
      <c r="AA35" s="8"/>
    </row>
    <row r="36" spans="1:27" ht="15">
      <c r="A36" s="14"/>
      <c r="B36" s="15">
        <v>5</v>
      </c>
      <c r="C36" s="16" t="s">
        <v>79</v>
      </c>
      <c r="D36" s="17">
        <v>5.6249999999999998E-3</v>
      </c>
      <c r="E36" s="33">
        <v>112.12864548436301</v>
      </c>
      <c r="F36" s="33">
        <v>125.831106740625</v>
      </c>
      <c r="G36" s="33">
        <v>133.10514734644934</v>
      </c>
      <c r="H36" s="33">
        <v>123.02461148699167</v>
      </c>
      <c r="I36" s="33">
        <v>141.60506358267349</v>
      </c>
      <c r="J36" s="33">
        <v>140.63072434124999</v>
      </c>
      <c r="K36" s="34">
        <v>137.87390180507998</v>
      </c>
      <c r="L36" s="34">
        <v>138.73226576365346</v>
      </c>
      <c r="M36" s="33">
        <v>140.39327087391692</v>
      </c>
      <c r="N36" s="33">
        <v>160.09950000000001</v>
      </c>
      <c r="O36" s="33">
        <v>142.10771788032122</v>
      </c>
      <c r="P36" s="33">
        <v>129.70680937499998</v>
      </c>
      <c r="Q36" s="33">
        <v>186.16769528238524</v>
      </c>
      <c r="R36" s="33">
        <v>153.325054360287</v>
      </c>
      <c r="S36" s="8"/>
      <c r="T36" s="8"/>
      <c r="U36" s="8"/>
      <c r="V36" s="8"/>
      <c r="W36" s="8"/>
      <c r="X36" s="8"/>
      <c r="Y36" s="8"/>
      <c r="Z36" s="8"/>
      <c r="AA36" s="8"/>
    </row>
    <row r="37" spans="1:27" ht="15">
      <c r="A37" s="14"/>
      <c r="B37" s="15">
        <v>6</v>
      </c>
      <c r="C37" s="16" t="s">
        <v>80</v>
      </c>
      <c r="D37" s="17">
        <v>1.125E-2</v>
      </c>
      <c r="E37" s="33">
        <v>126.65035475043929</v>
      </c>
      <c r="F37" s="33">
        <v>156.66002369362189</v>
      </c>
      <c r="G37" s="33">
        <v>171.21029469286046</v>
      </c>
      <c r="H37" s="33">
        <v>145.67819512933389</v>
      </c>
      <c r="I37" s="33">
        <v>173.98342678243372</v>
      </c>
      <c r="J37" s="33">
        <v>153.26144831249999</v>
      </c>
      <c r="K37" s="34">
        <v>168.56143292862367</v>
      </c>
      <c r="L37" s="34">
        <v>172.67675102303272</v>
      </c>
      <c r="M37" s="33">
        <v>152.06734008277752</v>
      </c>
      <c r="N37" s="33">
        <v>192.09486610321323</v>
      </c>
      <c r="O37" s="33">
        <v>178.51332951246081</v>
      </c>
      <c r="P37" s="33">
        <v>162.40470135390038</v>
      </c>
      <c r="Q37" s="33">
        <v>221.13838196386141</v>
      </c>
      <c r="R37" s="33">
        <v>172.682017492174</v>
      </c>
      <c r="S37" s="8"/>
      <c r="T37" s="8"/>
      <c r="U37" s="8"/>
      <c r="V37" s="8"/>
      <c r="W37" s="8"/>
      <c r="X37" s="8"/>
      <c r="Y37" s="8"/>
      <c r="Z37" s="8"/>
      <c r="AA37" s="8"/>
    </row>
    <row r="38" spans="1:27" ht="15">
      <c r="A38" s="14"/>
      <c r="B38" s="15">
        <v>7</v>
      </c>
      <c r="C38" s="16" t="s">
        <v>81</v>
      </c>
      <c r="D38" s="17">
        <v>2.2499999999999999E-2</v>
      </c>
      <c r="E38" s="33">
        <v>150.38980887950842</v>
      </c>
      <c r="F38" s="33">
        <v>204.40395572728801</v>
      </c>
      <c r="G38" s="33">
        <v>219.46343224681078</v>
      </c>
      <c r="H38" s="33">
        <v>179.68202955209489</v>
      </c>
      <c r="I38" s="33">
        <v>218.97045616550329</v>
      </c>
      <c r="J38" s="33">
        <v>177.13347747829985</v>
      </c>
      <c r="K38" s="34">
        <v>212.08022988382939</v>
      </c>
      <c r="L38" s="34">
        <v>223.94294269456157</v>
      </c>
      <c r="M38" s="33">
        <v>173.56187362859743</v>
      </c>
      <c r="N38" s="33">
        <v>240.02041153795773</v>
      </c>
      <c r="O38" s="33">
        <v>224.21780253555551</v>
      </c>
      <c r="P38" s="33">
        <v>209.20832010195227</v>
      </c>
      <c r="Q38" s="33">
        <v>275.50578170973603</v>
      </c>
      <c r="R38" s="33">
        <v>201.970112887</v>
      </c>
      <c r="S38" s="8"/>
      <c r="T38" s="8"/>
      <c r="U38" s="8"/>
      <c r="V38" s="8"/>
      <c r="W38" s="8"/>
      <c r="X38" s="8"/>
      <c r="Y38" s="8"/>
      <c r="Z38" s="8"/>
      <c r="AA38" s="8"/>
    </row>
    <row r="39" spans="1:27" ht="15">
      <c r="A39" s="14"/>
      <c r="B39" s="15">
        <v>8</v>
      </c>
      <c r="C39" s="16" t="s">
        <v>82</v>
      </c>
      <c r="D39" s="17">
        <v>4.4999999999999998E-2</v>
      </c>
      <c r="E39" s="33">
        <v>185.23798367137402</v>
      </c>
      <c r="F39" s="33">
        <v>263.00978992257404</v>
      </c>
      <c r="G39" s="33">
        <v>279.21077665357961</v>
      </c>
      <c r="H39" s="33">
        <v>225.1508635866345</v>
      </c>
      <c r="I39" s="33">
        <v>274.93888297661925</v>
      </c>
      <c r="J39" s="33">
        <v>216.45577793639526</v>
      </c>
      <c r="K39" s="34">
        <v>267.21094991055304</v>
      </c>
      <c r="L39" s="34">
        <v>292.9212299227093</v>
      </c>
      <c r="M39" s="33">
        <v>210.69077562022733</v>
      </c>
      <c r="N39" s="33">
        <v>298.24090860386906</v>
      </c>
      <c r="O39" s="33">
        <v>276.67322593743694</v>
      </c>
      <c r="P39" s="33">
        <v>267.91068373716217</v>
      </c>
      <c r="Q39" s="33">
        <v>342.47195631955316</v>
      </c>
      <c r="R39" s="33">
        <v>243.38835258460099</v>
      </c>
      <c r="S39" s="8"/>
      <c r="T39" s="8"/>
      <c r="U39" s="8"/>
      <c r="V39" s="8"/>
      <c r="W39" s="8"/>
      <c r="X39" s="8"/>
      <c r="Y39" s="8"/>
      <c r="Z39" s="8"/>
      <c r="AA39" s="8"/>
    </row>
    <row r="40" spans="1:27" ht="15">
      <c r="A40" s="14"/>
      <c r="B40" s="15">
        <v>9</v>
      </c>
      <c r="C40" s="16" t="s">
        <v>83</v>
      </c>
      <c r="D40" s="17">
        <v>0.09</v>
      </c>
      <c r="E40" s="33">
        <v>230.8267174068082</v>
      </c>
      <c r="F40" s="33">
        <v>329.20120979862656</v>
      </c>
      <c r="G40" s="33">
        <v>347.10593335083519</v>
      </c>
      <c r="H40" s="33">
        <v>279.9273811423019</v>
      </c>
      <c r="I40" s="33">
        <v>338.75565099263548</v>
      </c>
      <c r="J40" s="33">
        <v>274.62361096288993</v>
      </c>
      <c r="K40" s="34">
        <v>330.90567496301605</v>
      </c>
      <c r="L40" s="34">
        <v>376.44147628936673</v>
      </c>
      <c r="M40" s="33">
        <v>269.1347056880457</v>
      </c>
      <c r="N40" s="33">
        <v>363.5244708209745</v>
      </c>
      <c r="O40" s="33">
        <v>333.3389568029998</v>
      </c>
      <c r="P40" s="33">
        <v>335.23721368588468</v>
      </c>
      <c r="Q40" s="33">
        <v>418.28878409951625</v>
      </c>
      <c r="R40" s="33">
        <v>299.16783268176601</v>
      </c>
      <c r="S40" s="8"/>
      <c r="T40" s="8"/>
      <c r="U40" s="8"/>
      <c r="V40" s="8"/>
      <c r="W40" s="8"/>
      <c r="X40" s="8"/>
      <c r="Y40" s="8"/>
      <c r="Z40" s="8"/>
      <c r="AA40" s="8"/>
    </row>
    <row r="41" spans="1:27" ht="15">
      <c r="A41" s="14"/>
      <c r="B41" s="15">
        <v>10</v>
      </c>
      <c r="C41" s="16" t="s">
        <v>84</v>
      </c>
      <c r="D41" s="17">
        <v>0.13500000000000001</v>
      </c>
      <c r="E41" s="33">
        <v>257</v>
      </c>
      <c r="F41" s="33">
        <v>364.2</v>
      </c>
      <c r="G41" s="33">
        <v>383.1</v>
      </c>
      <c r="H41" s="33">
        <v>309.89999999999998</v>
      </c>
      <c r="I41" s="33">
        <v>372.6</v>
      </c>
      <c r="J41" s="33">
        <v>310.8</v>
      </c>
      <c r="K41" s="34">
        <v>364.94686677841327</v>
      </c>
      <c r="L41" s="35">
        <v>422.2</v>
      </c>
      <c r="M41" s="33">
        <v>307.3</v>
      </c>
      <c r="N41" s="33">
        <v>397.9</v>
      </c>
      <c r="O41" s="33">
        <v>362.6</v>
      </c>
      <c r="P41" s="33">
        <v>371.1</v>
      </c>
      <c r="Q41" s="33">
        <v>458.4</v>
      </c>
      <c r="R41" s="33">
        <v>333.3</v>
      </c>
      <c r="S41" s="8"/>
      <c r="T41" s="8"/>
      <c r="U41" s="8"/>
      <c r="V41" s="8"/>
      <c r="W41" s="8"/>
      <c r="X41" s="8"/>
      <c r="Y41" s="8"/>
      <c r="Z41" s="8"/>
      <c r="AA41" s="8"/>
    </row>
    <row r="42" spans="1:27" ht="13">
      <c r="A42" s="14"/>
      <c r="B42" s="15">
        <v>11</v>
      </c>
      <c r="C42" s="16" t="s">
        <v>85</v>
      </c>
      <c r="D42" s="17">
        <v>0.16794593847662501</v>
      </c>
      <c r="E42" s="36">
        <v>279.10895161695248</v>
      </c>
      <c r="F42" s="33">
        <v>392.77854338501828</v>
      </c>
      <c r="G42" s="33">
        <v>412.55626626159335</v>
      </c>
      <c r="H42" s="33">
        <v>334.68851468208123</v>
      </c>
      <c r="I42" s="33">
        <v>400.3987782141474</v>
      </c>
      <c r="J42" s="33">
        <v>342.88145275715306</v>
      </c>
      <c r="K42" s="33">
        <v>392.92203889549484</v>
      </c>
      <c r="L42" s="33">
        <v>460.21603746225037</v>
      </c>
      <c r="M42" s="33">
        <v>342.04407189564552</v>
      </c>
      <c r="N42" s="33">
        <v>425.96574674813394</v>
      </c>
      <c r="O42" s="33">
        <v>386.40837923068312</v>
      </c>
      <c r="P42" s="33">
        <v>400.49918828338281</v>
      </c>
      <c r="Q42" s="33">
        <v>491.21518795507069</v>
      </c>
      <c r="R42" s="33">
        <v>363.88246633135998</v>
      </c>
      <c r="S42" s="8"/>
      <c r="T42" s="8"/>
      <c r="U42" s="8"/>
      <c r="V42" s="8"/>
      <c r="W42" s="8"/>
      <c r="X42" s="8"/>
      <c r="Y42" s="8"/>
      <c r="Z42" s="8"/>
      <c r="AA42" s="8"/>
    </row>
    <row r="43" spans="1:27" ht="15">
      <c r="A43" s="21"/>
      <c r="B43" s="22">
        <v>12</v>
      </c>
      <c r="C43" s="23" t="s">
        <v>86</v>
      </c>
      <c r="D43" s="24">
        <v>0.18</v>
      </c>
      <c r="E43" s="37">
        <v>284.79894078887509</v>
      </c>
      <c r="F43" s="37">
        <v>399.99998917086771</v>
      </c>
      <c r="G43" s="37">
        <v>419.99999999999983</v>
      </c>
      <c r="H43" s="37">
        <v>340.99956900258968</v>
      </c>
      <c r="I43" s="37">
        <v>407.41454995482201</v>
      </c>
      <c r="J43" s="37">
        <v>351.28732589253605</v>
      </c>
      <c r="K43" s="38">
        <v>400.0004084547283</v>
      </c>
      <c r="L43" s="38">
        <v>469.88278321083828</v>
      </c>
      <c r="M43" s="37">
        <v>351.28761122907207</v>
      </c>
      <c r="N43" s="37">
        <v>433.04761208161926</v>
      </c>
      <c r="O43" s="37">
        <v>392.38356164383515</v>
      </c>
      <c r="P43" s="37">
        <v>407.93614098168518</v>
      </c>
      <c r="Q43" s="37">
        <v>499.50272507298496</v>
      </c>
      <c r="R43" s="37">
        <v>372.032128829832</v>
      </c>
      <c r="S43" s="8"/>
      <c r="T43" s="8"/>
      <c r="U43" s="8"/>
      <c r="V43" s="8"/>
      <c r="W43" s="8"/>
      <c r="X43" s="8"/>
      <c r="Y43" s="8"/>
      <c r="Z43" s="8"/>
      <c r="AA43" s="8"/>
    </row>
    <row r="44" spans="1:27" ht="13">
      <c r="A44" s="21"/>
      <c r="B44" s="15">
        <v>13</v>
      </c>
      <c r="C44" s="16" t="s">
        <v>87</v>
      </c>
      <c r="D44" s="17">
        <v>0.206765703899466</v>
      </c>
      <c r="E44" s="33">
        <v>296.33962510975078</v>
      </c>
      <c r="F44" s="33">
        <v>414.51611598626914</v>
      </c>
      <c r="G44" s="33">
        <v>434.96746750258632</v>
      </c>
      <c r="H44" s="33">
        <v>353.72961105477117</v>
      </c>
      <c r="I44" s="33">
        <v>421.52387852903257</v>
      </c>
      <c r="J44" s="33">
        <v>368.535144563872</v>
      </c>
      <c r="K44" s="33">
        <v>414.24520150246082</v>
      </c>
      <c r="L44" s="33">
        <v>489.3874444001043</v>
      </c>
      <c r="M44" s="33">
        <v>370.41076098482489</v>
      </c>
      <c r="N44" s="33">
        <v>447.2782021959286</v>
      </c>
      <c r="O44" s="33">
        <v>404.3700016011959</v>
      </c>
      <c r="P44" s="33">
        <v>422.89692071853324</v>
      </c>
      <c r="Q44" s="33">
        <v>516.1638170989479</v>
      </c>
      <c r="R44" s="33">
        <v>388.95340457245499</v>
      </c>
      <c r="S44" s="8"/>
      <c r="T44" s="8"/>
      <c r="U44" s="8"/>
      <c r="V44" s="8"/>
      <c r="W44" s="8"/>
      <c r="X44" s="8"/>
      <c r="Y44" s="8"/>
      <c r="Z44" s="8"/>
      <c r="AA44" s="8"/>
    </row>
    <row r="45" spans="1:27" ht="15">
      <c r="A45" s="21"/>
      <c r="B45" s="15">
        <v>14</v>
      </c>
      <c r="C45" s="16" t="s">
        <v>88</v>
      </c>
      <c r="D45" s="17">
        <v>0.2545584412271571</v>
      </c>
      <c r="E45" s="33">
        <v>314.01316968594335</v>
      </c>
      <c r="F45" s="33">
        <v>436.45191756794907</v>
      </c>
      <c r="G45" s="33">
        <v>464.50572042567728</v>
      </c>
      <c r="H45" s="33">
        <v>373.06487371180503</v>
      </c>
      <c r="I45" s="33">
        <v>442.85971983731361</v>
      </c>
      <c r="J45" s="33">
        <v>395.41938664856457</v>
      </c>
      <c r="K45" s="34">
        <v>418.75735048044316</v>
      </c>
      <c r="L45" s="34">
        <v>519.02564405076635</v>
      </c>
      <c r="M45" s="33">
        <v>400.60347738893591</v>
      </c>
      <c r="N45" s="33">
        <v>468.77150390693782</v>
      </c>
      <c r="O45" s="33">
        <v>422.42887560915744</v>
      </c>
      <c r="P45" s="33">
        <v>445.53015761114574</v>
      </c>
      <c r="Q45" s="33">
        <v>541.34532887770354</v>
      </c>
      <c r="R45" s="33">
        <v>415.95473692101001</v>
      </c>
      <c r="S45" s="8"/>
      <c r="T45" s="8"/>
      <c r="U45" s="8"/>
      <c r="V45" s="8"/>
      <c r="W45" s="8"/>
      <c r="X45" s="8"/>
      <c r="Y45" s="8"/>
      <c r="Z45" s="8"/>
      <c r="AA45" s="8"/>
    </row>
    <row r="46" spans="1:27" ht="15">
      <c r="A46" s="21"/>
      <c r="B46" s="15">
        <v>15</v>
      </c>
      <c r="C46" s="16" t="s">
        <v>89</v>
      </c>
      <c r="D46" s="17">
        <v>0.36</v>
      </c>
      <c r="E46" s="33">
        <v>344.27731961693792</v>
      </c>
      <c r="F46" s="33">
        <v>473.36088046483758</v>
      </c>
      <c r="G46" s="33">
        <v>495.69068419435422</v>
      </c>
      <c r="H46" s="33">
        <v>405.81563758071013</v>
      </c>
      <c r="I46" s="33">
        <v>478.79146898421544</v>
      </c>
      <c r="J46" s="33">
        <v>442.58097829075024</v>
      </c>
      <c r="K46" s="34">
        <v>472.16676815122793</v>
      </c>
      <c r="L46" s="34">
        <v>569.25722340895413</v>
      </c>
      <c r="M46" s="33">
        <v>454.54306090224458</v>
      </c>
      <c r="N46" s="33">
        <v>504.91191093849523</v>
      </c>
      <c r="O46" s="33">
        <v>452.69702709441822</v>
      </c>
      <c r="P46" s="33">
        <v>483.66842054897978</v>
      </c>
      <c r="Q46" s="33">
        <v>583.72505777821357</v>
      </c>
      <c r="R46" s="33">
        <v>465.75231287020199</v>
      </c>
      <c r="S46" s="8"/>
      <c r="T46" s="8"/>
      <c r="U46" s="8"/>
      <c r="V46" s="8"/>
      <c r="W46" s="8"/>
      <c r="X46" s="8"/>
      <c r="Y46" s="8"/>
      <c r="Z46" s="8"/>
      <c r="AA46" s="8"/>
    </row>
    <row r="47" spans="1:27" ht="15">
      <c r="A47" s="21"/>
      <c r="B47" s="15">
        <v>16</v>
      </c>
      <c r="C47" s="16" t="s">
        <v>90</v>
      </c>
      <c r="D47" s="17">
        <v>0.72</v>
      </c>
      <c r="E47" s="33">
        <v>406.96858244115253</v>
      </c>
      <c r="F47" s="33">
        <v>548.07636514985677</v>
      </c>
      <c r="G47" s="33">
        <v>572.86486127233388</v>
      </c>
      <c r="H47" s="33">
        <v>472.68785870956395</v>
      </c>
      <c r="I47" s="33">
        <v>551.61287400103527</v>
      </c>
      <c r="J47" s="33">
        <v>543.5783369939594</v>
      </c>
      <c r="K47" s="34">
        <v>545.97766563080199</v>
      </c>
      <c r="L47" s="34">
        <v>671.90092327546893</v>
      </c>
      <c r="M47" s="33">
        <v>573.14955952517676</v>
      </c>
      <c r="N47" s="33">
        <v>578.00924179462743</v>
      </c>
      <c r="O47" s="33">
        <v>513.66640025031734</v>
      </c>
      <c r="P47" s="33">
        <v>561.01802129388386</v>
      </c>
      <c r="Q47" s="33">
        <v>669.54000652899606</v>
      </c>
      <c r="R47" s="33">
        <v>569.72438995419395</v>
      </c>
      <c r="S47" s="8"/>
      <c r="T47" s="8"/>
      <c r="U47" s="8"/>
      <c r="V47" s="8"/>
      <c r="W47" s="8"/>
      <c r="X47" s="8"/>
      <c r="Y47" s="8"/>
      <c r="Z47" s="8"/>
      <c r="AA47" s="8"/>
    </row>
    <row r="48" spans="1:27" ht="15">
      <c r="A48" s="21"/>
      <c r="B48" s="28">
        <v>17</v>
      </c>
      <c r="C48" s="29" t="s">
        <v>91</v>
      </c>
      <c r="D48" s="30">
        <v>0.90004485786135058</v>
      </c>
      <c r="E48" s="39">
        <v>427.57242417626179</v>
      </c>
      <c r="F48" s="39">
        <v>572.30424224755473</v>
      </c>
      <c r="G48" s="39">
        <v>597.8952574428007</v>
      </c>
      <c r="H48" s="39">
        <v>494.47782054988323</v>
      </c>
      <c r="I48" s="39">
        <v>575.2372623341173</v>
      </c>
      <c r="J48" s="39">
        <v>577.45647523643129</v>
      </c>
      <c r="K48" s="40">
        <v>569.94640835036046</v>
      </c>
      <c r="L48" s="40">
        <v>705.36192286239657</v>
      </c>
      <c r="M48" s="39">
        <v>613.60966955484082</v>
      </c>
      <c r="N48" s="39">
        <v>601.69528923198982</v>
      </c>
      <c r="O48" s="39">
        <v>533.37534691280632</v>
      </c>
      <c r="P48" s="39">
        <v>586.12214759077051</v>
      </c>
      <c r="Q48" s="39">
        <v>697.36559224071323</v>
      </c>
      <c r="R48" s="39">
        <v>603.19592265132599</v>
      </c>
      <c r="S48" s="8"/>
      <c r="T48" s="8"/>
      <c r="U48" s="8"/>
      <c r="V48" s="8"/>
      <c r="W48" s="8"/>
      <c r="X48" s="8"/>
      <c r="Y48" s="8"/>
      <c r="Z48" s="8"/>
      <c r="AA48" s="8"/>
    </row>
    <row r="49" spans="1:27" ht="15">
      <c r="A49" s="14"/>
      <c r="B49" s="15">
        <v>18</v>
      </c>
      <c r="C49" s="16" t="s">
        <v>92</v>
      </c>
      <c r="D49" s="17">
        <v>1.44</v>
      </c>
      <c r="E49" s="33">
        <v>471.40510342044871</v>
      </c>
      <c r="F49" s="33">
        <v>623.48881957935873</v>
      </c>
      <c r="G49" s="33">
        <v>650.80366593528072</v>
      </c>
      <c r="H49" s="33">
        <v>540.63978006312527</v>
      </c>
      <c r="I49" s="33">
        <v>625.17953367144924</v>
      </c>
      <c r="J49" s="33">
        <v>650.27358329768686</v>
      </c>
      <c r="K49" s="34">
        <v>620.64036799198902</v>
      </c>
      <c r="L49" s="34">
        <v>776.26442324102493</v>
      </c>
      <c r="M49" s="33">
        <v>701.34319386951756</v>
      </c>
      <c r="N49" s="33">
        <v>651.73971849131317</v>
      </c>
      <c r="O49" s="33">
        <v>574.96931772947949</v>
      </c>
      <c r="P49" s="33">
        <v>639.20348572203443</v>
      </c>
      <c r="Q49" s="33">
        <v>756.17495541439996</v>
      </c>
      <c r="R49" s="33">
        <v>673.69646703818603</v>
      </c>
      <c r="S49" s="8"/>
      <c r="T49" s="8"/>
      <c r="U49" s="8"/>
      <c r="V49" s="8"/>
      <c r="W49" s="8"/>
      <c r="X49" s="8"/>
      <c r="Y49" s="8"/>
      <c r="Z49" s="8"/>
      <c r="AA49" s="8"/>
    </row>
    <row r="50" spans="1:27" ht="15">
      <c r="A50" s="14"/>
      <c r="B50" s="15">
        <v>19</v>
      </c>
      <c r="C50" s="16" t="s">
        <v>93</v>
      </c>
      <c r="D50" s="17">
        <v>2.88</v>
      </c>
      <c r="E50" s="33">
        <v>536.75263670563947</v>
      </c>
      <c r="F50" s="33">
        <v>699.25485079434486</v>
      </c>
      <c r="G50" s="33">
        <v>729.13071923167183</v>
      </c>
      <c r="H50" s="33">
        <v>609.14524796392084</v>
      </c>
      <c r="I50" s="33">
        <v>699.12479649004365</v>
      </c>
      <c r="J50" s="33">
        <v>760.07518196066826</v>
      </c>
      <c r="K50" s="34">
        <v>695.73667955429812</v>
      </c>
      <c r="L50" s="34">
        <v>881.51046940566005</v>
      </c>
      <c r="M50" s="33">
        <v>834.95824863981431</v>
      </c>
      <c r="N50" s="33">
        <v>725.79106183831766</v>
      </c>
      <c r="O50" s="33">
        <v>636.4404338918639</v>
      </c>
      <c r="P50" s="33">
        <v>717.8139610600856</v>
      </c>
      <c r="Q50" s="33">
        <v>843.22604162927303</v>
      </c>
      <c r="R50" s="33">
        <v>777.66854412217799</v>
      </c>
      <c r="S50" s="8"/>
      <c r="T50" s="8"/>
      <c r="U50" s="8"/>
      <c r="V50" s="8"/>
      <c r="W50" s="8"/>
      <c r="X50" s="8"/>
      <c r="Y50" s="8"/>
      <c r="Z50" s="8"/>
      <c r="AA50" s="8"/>
    </row>
    <row r="51" spans="1:27" ht="15">
      <c r="A51" s="14"/>
      <c r="B51" s="15">
        <v>20</v>
      </c>
      <c r="C51" s="16" t="s">
        <v>94</v>
      </c>
      <c r="D51" s="17">
        <v>5.76</v>
      </c>
      <c r="E51" s="33">
        <v>602.56578624630708</v>
      </c>
      <c r="F51" s="33">
        <v>775.19896593735541</v>
      </c>
      <c r="G51" s="33">
        <v>807.65340849105894</v>
      </c>
      <c r="H51" s="33">
        <v>677.9310187822872</v>
      </c>
      <c r="I51" s="33">
        <v>773.26088389990446</v>
      </c>
      <c r="J51" s="33">
        <v>871.50144693790514</v>
      </c>
      <c r="K51" s="34">
        <v>771.05176471110622</v>
      </c>
      <c r="L51" s="34">
        <v>987.20363136789274</v>
      </c>
      <c r="M51" s="33">
        <v>971.46638252355694</v>
      </c>
      <c r="N51" s="33">
        <v>800.00392959625958</v>
      </c>
      <c r="O51" s="33">
        <v>697.99600972209032</v>
      </c>
      <c r="P51" s="33">
        <v>796.63874798755569</v>
      </c>
      <c r="Q51" s="33">
        <v>930.48675867877807</v>
      </c>
      <c r="R51" s="33">
        <v>881.64062120616995</v>
      </c>
      <c r="S51" s="8"/>
      <c r="T51" s="8"/>
      <c r="U51" s="8"/>
      <c r="V51" s="8"/>
      <c r="W51" s="8"/>
      <c r="X51" s="8"/>
      <c r="Y51" s="8"/>
      <c r="Z51" s="8"/>
      <c r="AA51" s="8"/>
    </row>
    <row r="52" spans="1:27" ht="15">
      <c r="A52" s="14"/>
      <c r="B52" s="15">
        <v>21</v>
      </c>
      <c r="C52" s="16" t="s">
        <v>95</v>
      </c>
      <c r="D52" s="17">
        <v>11.52</v>
      </c>
      <c r="E52" s="33">
        <v>668.61433955651512</v>
      </c>
      <c r="F52" s="33">
        <v>851.23244980320032</v>
      </c>
      <c r="G52" s="33">
        <v>886.27429720839814</v>
      </c>
      <c r="H52" s="33">
        <v>746.85783711344266</v>
      </c>
      <c r="I52" s="33">
        <v>847.49276807076023</v>
      </c>
      <c r="J52" s="33">
        <v>983.75892031287208</v>
      </c>
      <c r="K52" s="34">
        <v>846.47673433036846</v>
      </c>
      <c r="L52" s="17">
        <v>1093.0999999999999</v>
      </c>
      <c r="M52" s="33">
        <v>1109.4703997451068</v>
      </c>
      <c r="N52" s="33">
        <v>874.29783457799374</v>
      </c>
      <c r="O52" s="33">
        <v>759.5939059350784</v>
      </c>
      <c r="P52" s="33">
        <v>875.57114689284219</v>
      </c>
      <c r="Q52" s="33">
        <v>1017.8526852399325</v>
      </c>
      <c r="R52" s="33">
        <v>985.61269829016101</v>
      </c>
      <c r="S52" s="8"/>
      <c r="T52" s="8"/>
      <c r="U52" s="8"/>
      <c r="V52" s="8"/>
      <c r="W52" s="8"/>
      <c r="X52" s="8"/>
      <c r="Y52" s="8"/>
      <c r="Z52" s="8"/>
      <c r="AA52" s="8"/>
    </row>
    <row r="53" spans="1:27" ht="15">
      <c r="A53" s="14"/>
      <c r="B53" s="15">
        <v>22</v>
      </c>
      <c r="C53" s="16" t="s">
        <v>96</v>
      </c>
      <c r="D53" s="17">
        <v>23.04</v>
      </c>
      <c r="E53" s="33">
        <v>734.78125243098123</v>
      </c>
      <c r="F53" s="33">
        <v>927.31070008307665</v>
      </c>
      <c r="G53" s="33">
        <v>964.9443814740963</v>
      </c>
      <c r="H53" s="33">
        <v>815.85540494909117</v>
      </c>
      <c r="I53" s="33">
        <v>921.77264720734604</v>
      </c>
      <c r="J53" s="33">
        <v>1096.4368498517013</v>
      </c>
      <c r="K53" s="34">
        <v>921.95677128250236</v>
      </c>
      <c r="L53" s="16"/>
      <c r="M53" s="16"/>
      <c r="N53" s="33">
        <v>948.63232720962731</v>
      </c>
      <c r="O53" s="33">
        <v>821.2129850354022</v>
      </c>
      <c r="P53" s="33">
        <v>954.55746642063013</v>
      </c>
      <c r="Q53" s="33">
        <v>1105.2713155289512</v>
      </c>
      <c r="R53" s="33">
        <v>1089.58477537415</v>
      </c>
      <c r="S53" s="8"/>
      <c r="T53" s="8"/>
      <c r="U53" s="8"/>
      <c r="V53" s="8"/>
      <c r="W53" s="8"/>
      <c r="X53" s="8"/>
      <c r="Y53" s="8"/>
      <c r="Z53" s="8"/>
      <c r="AA53" s="8"/>
    </row>
    <row r="54" spans="1:27" ht="15">
      <c r="A54" s="14"/>
      <c r="B54" s="15">
        <v>23</v>
      </c>
      <c r="C54" s="16" t="s">
        <v>97</v>
      </c>
      <c r="D54" s="17">
        <v>46.08</v>
      </c>
      <c r="E54" s="33">
        <v>801.00751061999301</v>
      </c>
      <c r="F54" s="33">
        <v>1003.4113541287095</v>
      </c>
      <c r="G54" s="33">
        <v>1043.6390875253917</v>
      </c>
      <c r="H54" s="33">
        <v>884.88840419269513</v>
      </c>
      <c r="I54" s="33">
        <v>996.07654803203297</v>
      </c>
      <c r="J54" s="17"/>
      <c r="K54" s="34">
        <v>997.46437326267448</v>
      </c>
      <c r="L54" s="16"/>
      <c r="M54" s="16"/>
      <c r="N54" s="33">
        <v>1022.9871309613011</v>
      </c>
      <c r="O54" s="33">
        <v>882.84266126074772</v>
      </c>
      <c r="P54" s="33">
        <v>1033.5707749919629</v>
      </c>
      <c r="Q54" s="16"/>
      <c r="R54" s="16"/>
      <c r="S54" s="8"/>
      <c r="T54" s="8"/>
      <c r="U54" s="8"/>
      <c r="V54" s="8"/>
      <c r="W54" s="8"/>
      <c r="X54" s="8"/>
      <c r="Y54" s="8"/>
      <c r="Z54" s="8"/>
      <c r="AA54" s="8"/>
    </row>
    <row r="55" spans="1:27" ht="13">
      <c r="A55" s="14"/>
      <c r="B55" s="15">
        <v>24</v>
      </c>
      <c r="C55" s="16" t="s">
        <v>98</v>
      </c>
      <c r="D55" s="17">
        <v>92.16</v>
      </c>
      <c r="E55" s="33">
        <v>867.2634829894896</v>
      </c>
      <c r="F55" s="17">
        <v>1079.5</v>
      </c>
      <c r="G55" s="16"/>
      <c r="H55" s="33">
        <v>953.93913333165676</v>
      </c>
      <c r="I55" s="16"/>
      <c r="J55" s="16"/>
      <c r="K55" s="5"/>
      <c r="L55" s="16"/>
      <c r="M55" s="16"/>
      <c r="N55" s="16"/>
      <c r="O55" s="33">
        <v>944.47763746986482</v>
      </c>
      <c r="P55" s="16"/>
      <c r="Q55" s="16"/>
      <c r="R55" s="16"/>
      <c r="S55" s="8"/>
      <c r="T55" s="8"/>
      <c r="U55" s="8"/>
      <c r="V55" s="8"/>
      <c r="W55" s="8"/>
      <c r="X55" s="8"/>
      <c r="Y55" s="8"/>
      <c r="Z55" s="8"/>
      <c r="AA55" s="8"/>
    </row>
    <row r="56" spans="1:27" ht="13">
      <c r="A56" s="14"/>
      <c r="B56" s="15">
        <v>25</v>
      </c>
      <c r="C56" s="16" t="s">
        <v>99</v>
      </c>
      <c r="D56" s="17">
        <v>184.32</v>
      </c>
      <c r="E56" s="33">
        <v>933.53432284761186</v>
      </c>
      <c r="F56" s="16"/>
      <c r="G56" s="16"/>
      <c r="H56" s="33">
        <v>1022.9987309695814</v>
      </c>
      <c r="I56" s="16"/>
      <c r="J56" s="16"/>
      <c r="K56" s="16"/>
      <c r="L56" s="16"/>
      <c r="M56" s="16"/>
      <c r="N56" s="16"/>
      <c r="O56" s="16"/>
      <c r="P56" s="16"/>
      <c r="Q56" s="16"/>
      <c r="R56" s="16"/>
      <c r="S56" s="8"/>
      <c r="T56" s="8"/>
      <c r="U56" s="8"/>
      <c r="V56" s="8"/>
      <c r="W56" s="8"/>
      <c r="X56" s="8"/>
      <c r="Y56" s="8"/>
      <c r="Z56" s="8"/>
      <c r="AA56" s="8"/>
    </row>
    <row r="57" spans="1:27" ht="13">
      <c r="A57" s="8"/>
      <c r="B57" s="8"/>
      <c r="C57" s="8"/>
      <c r="D57" s="8"/>
      <c r="E57" s="8"/>
      <c r="F57" s="8"/>
      <c r="G57" s="8"/>
      <c r="H57" s="8"/>
      <c r="I57" s="8"/>
      <c r="J57" s="8"/>
      <c r="K57" s="8"/>
      <c r="L57" s="8"/>
      <c r="M57" s="8"/>
      <c r="N57" s="8"/>
      <c r="O57" s="8"/>
      <c r="P57" s="8"/>
      <c r="Q57" s="8"/>
      <c r="R57" s="8"/>
      <c r="S57" s="8"/>
      <c r="T57" s="8"/>
      <c r="U57" s="8"/>
      <c r="V57" s="8"/>
      <c r="W57" s="8"/>
      <c r="X57" s="8"/>
      <c r="Y57" s="8"/>
      <c r="Z57" s="8"/>
      <c r="AA57" s="8"/>
    </row>
    <row r="58" spans="1:27" ht="13">
      <c r="A58" s="8"/>
      <c r="B58" s="8"/>
      <c r="C58" s="8"/>
      <c r="D58" s="8"/>
      <c r="E58" s="8"/>
      <c r="F58" s="8"/>
      <c r="G58" s="8"/>
      <c r="H58" s="8"/>
      <c r="I58" s="8"/>
      <c r="J58" s="8"/>
      <c r="K58" s="8"/>
      <c r="L58" s="8"/>
      <c r="M58" s="8"/>
      <c r="N58" s="8"/>
      <c r="O58" s="8"/>
      <c r="P58" s="8"/>
      <c r="Q58" s="8"/>
      <c r="R58" s="8"/>
      <c r="S58" s="8"/>
      <c r="T58" s="8"/>
      <c r="U58" s="8"/>
      <c r="V58" s="8"/>
      <c r="W58" s="8"/>
      <c r="X58" s="8"/>
      <c r="Y58" s="8"/>
      <c r="Z58" s="8"/>
      <c r="AA58" s="8"/>
    </row>
    <row r="59" spans="1:27" ht="13">
      <c r="A59" s="8"/>
      <c r="B59" s="8"/>
      <c r="C59" s="172" t="s">
        <v>101</v>
      </c>
      <c r="D59" s="166"/>
      <c r="E59" s="166"/>
      <c r="F59" s="166"/>
      <c r="G59" s="166"/>
      <c r="H59" s="166"/>
      <c r="I59" s="166"/>
      <c r="J59" s="167"/>
      <c r="K59" s="8"/>
      <c r="L59" s="8"/>
      <c r="M59" s="8"/>
      <c r="N59" s="8"/>
      <c r="O59" s="8"/>
      <c r="P59" s="8"/>
      <c r="Q59" s="8"/>
      <c r="R59" s="8"/>
      <c r="S59" s="8"/>
      <c r="T59" s="8"/>
      <c r="U59" s="8"/>
      <c r="V59" s="8"/>
      <c r="W59" s="8"/>
      <c r="X59" s="8"/>
      <c r="Y59" s="8"/>
      <c r="Z59" s="8"/>
      <c r="AA59" s="8"/>
    </row>
    <row r="60" spans="1:27" ht="13">
      <c r="A60" s="8"/>
      <c r="B60" s="8"/>
      <c r="C60" s="41" t="s">
        <v>102</v>
      </c>
      <c r="D60" s="42" t="s">
        <v>103</v>
      </c>
      <c r="E60" s="41" t="s">
        <v>104</v>
      </c>
      <c r="F60" s="41" t="s">
        <v>105</v>
      </c>
      <c r="G60" s="173" t="s">
        <v>106</v>
      </c>
      <c r="H60" s="166"/>
      <c r="I60" s="166"/>
      <c r="J60" s="167"/>
      <c r="K60" s="8"/>
      <c r="L60" s="8"/>
      <c r="M60" s="8"/>
      <c r="N60" s="8"/>
      <c r="O60" s="8"/>
      <c r="P60" s="8"/>
      <c r="Q60" s="8"/>
      <c r="R60" s="8"/>
      <c r="S60" s="8"/>
      <c r="T60" s="8"/>
      <c r="U60" s="8"/>
      <c r="V60" s="8"/>
      <c r="W60" s="8"/>
      <c r="X60" s="8"/>
      <c r="Y60" s="8"/>
      <c r="Z60" s="8"/>
      <c r="AA60" s="8"/>
    </row>
    <row r="61" spans="1:27" ht="13">
      <c r="A61" s="8"/>
      <c r="B61" s="8"/>
      <c r="C61" s="43" t="s">
        <v>107</v>
      </c>
      <c r="D61" s="44">
        <v>800</v>
      </c>
      <c r="E61" s="45">
        <v>101.7</v>
      </c>
      <c r="F61" s="45">
        <v>912.1</v>
      </c>
      <c r="G61" s="165"/>
      <c r="H61" s="166"/>
      <c r="I61" s="166"/>
      <c r="J61" s="167"/>
      <c r="K61" s="8"/>
      <c r="L61" s="8"/>
      <c r="M61" s="8"/>
      <c r="N61" s="8"/>
      <c r="O61" s="8"/>
      <c r="P61" s="8"/>
      <c r="Q61" s="8"/>
      <c r="R61" s="8"/>
      <c r="S61" s="8"/>
      <c r="T61" s="8"/>
      <c r="U61" s="8"/>
      <c r="V61" s="8"/>
      <c r="W61" s="8"/>
      <c r="X61" s="8"/>
      <c r="Y61" s="8"/>
      <c r="Z61" s="8"/>
      <c r="AA61" s="8"/>
    </row>
    <row r="62" spans="1:27" ht="13">
      <c r="A62" s="8"/>
      <c r="B62" s="8"/>
      <c r="C62" s="43" t="s">
        <v>108</v>
      </c>
      <c r="D62" s="44">
        <v>800</v>
      </c>
      <c r="E62" s="45">
        <v>99</v>
      </c>
      <c r="F62" s="45">
        <v>845</v>
      </c>
      <c r="G62" s="165"/>
      <c r="H62" s="166"/>
      <c r="I62" s="166"/>
      <c r="J62" s="167"/>
      <c r="K62" s="8"/>
      <c r="L62" s="8"/>
      <c r="M62" s="8"/>
      <c r="N62" s="8"/>
      <c r="O62" s="8"/>
      <c r="P62" s="8"/>
      <c r="Q62" s="8"/>
      <c r="R62" s="8"/>
      <c r="S62" s="8"/>
      <c r="T62" s="8"/>
      <c r="U62" s="8"/>
      <c r="V62" s="8"/>
      <c r="W62" s="8"/>
      <c r="X62" s="8"/>
      <c r="Y62" s="8"/>
      <c r="Z62" s="8"/>
      <c r="AA62" s="8"/>
    </row>
    <row r="63" spans="1:27" ht="13">
      <c r="A63" s="8"/>
      <c r="B63" s="8"/>
      <c r="C63" s="43" t="s">
        <v>109</v>
      </c>
      <c r="D63" s="44">
        <v>800</v>
      </c>
      <c r="E63" s="45">
        <v>99</v>
      </c>
      <c r="F63" s="45">
        <v>721.5</v>
      </c>
      <c r="G63" s="165"/>
      <c r="H63" s="166"/>
      <c r="I63" s="166"/>
      <c r="J63" s="167"/>
      <c r="K63" s="8"/>
      <c r="L63" s="8"/>
      <c r="M63" s="8"/>
      <c r="N63" s="8"/>
      <c r="O63" s="8"/>
      <c r="P63" s="8"/>
      <c r="Q63" s="8"/>
      <c r="R63" s="8"/>
      <c r="S63" s="8"/>
      <c r="T63" s="8"/>
      <c r="U63" s="8"/>
      <c r="V63" s="8"/>
      <c r="W63" s="8"/>
      <c r="X63" s="8"/>
      <c r="Y63" s="8"/>
      <c r="Z63" s="8"/>
      <c r="AA63" s="8"/>
    </row>
    <row r="64" spans="1:27" ht="13">
      <c r="A64" s="8"/>
      <c r="B64" s="8"/>
      <c r="C64" s="43" t="s">
        <v>110</v>
      </c>
      <c r="D64" s="44">
        <v>800</v>
      </c>
      <c r="E64" s="45">
        <v>105</v>
      </c>
      <c r="F64" s="45">
        <v>886.3</v>
      </c>
      <c r="G64" s="165" t="s">
        <v>111</v>
      </c>
      <c r="H64" s="166"/>
      <c r="I64" s="166"/>
      <c r="J64" s="167"/>
      <c r="K64" s="8"/>
      <c r="L64" s="8"/>
      <c r="M64" s="8"/>
      <c r="N64" s="8"/>
      <c r="O64" s="8"/>
      <c r="P64" s="8"/>
      <c r="Q64" s="8"/>
      <c r="R64" s="8"/>
      <c r="S64" s="8"/>
      <c r="T64" s="8"/>
      <c r="U64" s="8"/>
      <c r="V64" s="8"/>
      <c r="W64" s="8"/>
      <c r="X64" s="8"/>
      <c r="Y64" s="8"/>
      <c r="Z64" s="8"/>
      <c r="AA64" s="8"/>
    </row>
    <row r="65" spans="1:27" ht="13">
      <c r="A65" s="8"/>
      <c r="B65" s="8"/>
      <c r="C65" s="43" t="s">
        <v>110</v>
      </c>
      <c r="D65" s="44">
        <v>12800</v>
      </c>
      <c r="E65" s="45">
        <v>115.4</v>
      </c>
      <c r="F65" s="45">
        <v>854</v>
      </c>
      <c r="G65" s="165"/>
      <c r="H65" s="166"/>
      <c r="I65" s="166"/>
      <c r="J65" s="167"/>
      <c r="K65" s="8"/>
      <c r="L65" s="8"/>
      <c r="M65" s="8"/>
      <c r="N65" s="8"/>
      <c r="O65" s="8"/>
      <c r="P65" s="8"/>
      <c r="Q65" s="8"/>
      <c r="R65" s="8"/>
      <c r="S65" s="8"/>
      <c r="T65" s="8"/>
      <c r="U65" s="8"/>
      <c r="V65" s="8"/>
      <c r="W65" s="8"/>
      <c r="X65" s="8"/>
      <c r="Y65" s="8"/>
      <c r="Z65" s="8"/>
      <c r="AA65" s="8"/>
    </row>
    <row r="66" spans="1:27" ht="13">
      <c r="A66" s="8"/>
      <c r="B66" s="8"/>
      <c r="C66" s="43" t="s">
        <v>64</v>
      </c>
      <c r="D66" s="44">
        <v>800</v>
      </c>
      <c r="E66" s="45">
        <v>101.8</v>
      </c>
      <c r="F66" s="45">
        <v>815.9</v>
      </c>
      <c r="G66" s="168" t="s">
        <v>112</v>
      </c>
      <c r="H66" s="166"/>
      <c r="I66" s="166"/>
      <c r="J66" s="167"/>
      <c r="K66" s="8"/>
      <c r="L66" s="8"/>
      <c r="M66" s="8"/>
      <c r="N66" s="8"/>
      <c r="O66" s="8"/>
      <c r="P66" s="8"/>
      <c r="Q66" s="8"/>
      <c r="R66" s="8"/>
      <c r="S66" s="8"/>
      <c r="T66" s="8"/>
      <c r="U66" s="8"/>
      <c r="V66" s="8"/>
      <c r="W66" s="8"/>
      <c r="X66" s="8"/>
      <c r="Y66" s="8"/>
      <c r="Z66" s="8"/>
      <c r="AA66" s="8"/>
    </row>
    <row r="67" spans="1:27" ht="13">
      <c r="A67" s="8"/>
      <c r="B67" s="8"/>
      <c r="C67" s="43" t="s">
        <v>65</v>
      </c>
      <c r="D67" s="44" t="s">
        <v>113</v>
      </c>
      <c r="E67" s="45">
        <v>109</v>
      </c>
      <c r="F67" s="45">
        <v>859</v>
      </c>
      <c r="G67" s="165"/>
      <c r="H67" s="166"/>
      <c r="I67" s="166"/>
      <c r="J67" s="167"/>
      <c r="K67" s="8"/>
      <c r="L67" s="8"/>
      <c r="M67" s="8"/>
      <c r="N67" s="8"/>
      <c r="O67" s="8"/>
      <c r="P67" s="8"/>
      <c r="Q67" s="8"/>
      <c r="R67" s="8"/>
      <c r="S67" s="8"/>
      <c r="T67" s="8"/>
      <c r="U67" s="8"/>
      <c r="V67" s="8"/>
      <c r="W67" s="8"/>
      <c r="X67" s="8"/>
      <c r="Y67" s="8"/>
      <c r="Z67" s="8"/>
      <c r="AA67" s="8"/>
    </row>
    <row r="68" spans="1:27" ht="13">
      <c r="A68" s="8"/>
      <c r="B68" s="8"/>
      <c r="C68" s="43" t="s">
        <v>66</v>
      </c>
      <c r="D68" s="44" t="s">
        <v>113</v>
      </c>
      <c r="E68" s="45">
        <v>133</v>
      </c>
      <c r="F68" s="45">
        <v>1001</v>
      </c>
      <c r="G68" s="165"/>
      <c r="H68" s="166"/>
      <c r="I68" s="166"/>
      <c r="J68" s="167"/>
      <c r="K68" s="8"/>
      <c r="L68" s="8"/>
      <c r="M68" s="8"/>
      <c r="N68" s="8"/>
      <c r="O68" s="8"/>
      <c r="P68" s="8"/>
      <c r="Q68" s="8"/>
      <c r="R68" s="8"/>
      <c r="S68" s="8"/>
      <c r="T68" s="8"/>
      <c r="U68" s="8"/>
      <c r="V68" s="8"/>
      <c r="W68" s="8"/>
      <c r="X68" s="8"/>
      <c r="Y68" s="8"/>
      <c r="Z68" s="8"/>
      <c r="AA68" s="8"/>
    </row>
    <row r="69" spans="1:27" ht="13">
      <c r="A69" s="8"/>
      <c r="B69" s="8"/>
      <c r="C69" s="43" t="s">
        <v>67</v>
      </c>
      <c r="D69" s="44" t="s">
        <v>113</v>
      </c>
      <c r="E69" s="45">
        <v>114</v>
      </c>
      <c r="F69" s="45">
        <v>869</v>
      </c>
      <c r="G69" s="165"/>
      <c r="H69" s="166"/>
      <c r="I69" s="166"/>
      <c r="J69" s="167"/>
      <c r="K69" s="8"/>
      <c r="L69" s="8"/>
      <c r="M69" s="8"/>
      <c r="N69" s="8"/>
      <c r="O69" s="8"/>
      <c r="P69" s="8"/>
      <c r="Q69" s="8"/>
      <c r="R69" s="8"/>
      <c r="S69" s="8"/>
      <c r="T69" s="8"/>
      <c r="U69" s="8"/>
      <c r="V69" s="8"/>
      <c r="W69" s="8"/>
      <c r="X69" s="8"/>
      <c r="Y69" s="8"/>
      <c r="Z69" s="8"/>
      <c r="AA69" s="8"/>
    </row>
    <row r="70" spans="1:27" ht="13">
      <c r="A70" s="8"/>
      <c r="B70" s="8"/>
      <c r="C70" s="43" t="s">
        <v>68</v>
      </c>
      <c r="D70" s="44" t="s">
        <v>113</v>
      </c>
      <c r="E70" s="45">
        <v>107</v>
      </c>
      <c r="F70" s="45">
        <v>1011</v>
      </c>
      <c r="G70" s="165"/>
      <c r="H70" s="166"/>
      <c r="I70" s="166"/>
      <c r="J70" s="167"/>
      <c r="K70" s="8"/>
      <c r="L70" s="8"/>
      <c r="M70" s="8"/>
      <c r="N70" s="8"/>
      <c r="O70" s="8"/>
      <c r="P70" s="8"/>
      <c r="Q70" s="8"/>
      <c r="R70" s="8"/>
      <c r="S70" s="8"/>
      <c r="T70" s="8"/>
      <c r="U70" s="8"/>
      <c r="V70" s="8"/>
      <c r="W70" s="8"/>
      <c r="X70" s="8"/>
      <c r="Y70" s="8"/>
      <c r="Z70" s="8"/>
      <c r="AA70" s="8"/>
    </row>
    <row r="71" spans="1:27" ht="13">
      <c r="A71" s="8"/>
      <c r="B71" s="8"/>
      <c r="C71" s="43" t="s">
        <v>69</v>
      </c>
      <c r="D71" s="44" t="s">
        <v>113</v>
      </c>
      <c r="E71" s="45">
        <v>134</v>
      </c>
      <c r="F71" s="45">
        <v>999</v>
      </c>
      <c r="G71" s="165"/>
      <c r="H71" s="166"/>
      <c r="I71" s="166"/>
      <c r="J71" s="167"/>
      <c r="K71" s="8"/>
      <c r="L71" s="8"/>
      <c r="M71" s="8"/>
      <c r="N71" s="8"/>
      <c r="O71" s="8"/>
      <c r="P71" s="8"/>
      <c r="Q71" s="8"/>
      <c r="R71" s="8"/>
      <c r="S71" s="8"/>
      <c r="T71" s="8"/>
      <c r="U71" s="8"/>
      <c r="V71" s="8"/>
      <c r="W71" s="8"/>
      <c r="X71" s="8"/>
      <c r="Y71" s="8"/>
      <c r="Z71" s="8"/>
      <c r="AA71" s="8"/>
    </row>
    <row r="72" spans="1:27" ht="13">
      <c r="A72" s="8"/>
      <c r="B72" s="8"/>
      <c r="C72" s="43" t="s">
        <v>70</v>
      </c>
      <c r="D72" s="44" t="s">
        <v>113</v>
      </c>
      <c r="E72" s="45">
        <v>135.9</v>
      </c>
      <c r="F72" s="45">
        <v>874.3</v>
      </c>
      <c r="G72" s="165"/>
      <c r="H72" s="166"/>
      <c r="I72" s="166"/>
      <c r="J72" s="167"/>
      <c r="K72" s="8"/>
      <c r="L72" s="8"/>
      <c r="M72" s="8"/>
      <c r="N72" s="8"/>
      <c r="O72" s="8"/>
      <c r="P72" s="8"/>
      <c r="Q72" s="8"/>
      <c r="R72" s="8"/>
      <c r="S72" s="8"/>
      <c r="T72" s="8"/>
      <c r="U72" s="8"/>
      <c r="V72" s="8"/>
      <c r="W72" s="8"/>
      <c r="X72" s="8"/>
      <c r="Y72" s="8"/>
      <c r="Z72" s="8"/>
      <c r="AA72" s="8"/>
    </row>
    <row r="73" spans="1:27" ht="13">
      <c r="A73" s="8"/>
      <c r="B73" s="8"/>
      <c r="C73" s="43" t="s">
        <v>71</v>
      </c>
      <c r="D73" s="44" t="s">
        <v>113</v>
      </c>
      <c r="E73" s="45">
        <v>118.4</v>
      </c>
      <c r="F73" s="45">
        <v>735</v>
      </c>
      <c r="G73" s="165" t="s">
        <v>114</v>
      </c>
      <c r="H73" s="166"/>
      <c r="I73" s="166"/>
      <c r="J73" s="167"/>
      <c r="K73" s="8"/>
      <c r="L73" s="8"/>
      <c r="M73" s="8"/>
      <c r="N73" s="8"/>
      <c r="O73" s="8"/>
      <c r="P73" s="8"/>
      <c r="Q73" s="8"/>
      <c r="R73" s="8"/>
      <c r="S73" s="8"/>
      <c r="T73" s="8"/>
      <c r="U73" s="8"/>
      <c r="V73" s="8"/>
      <c r="W73" s="8"/>
      <c r="X73" s="8"/>
      <c r="Y73" s="8"/>
      <c r="Z73" s="8"/>
      <c r="AA73" s="8"/>
    </row>
    <row r="74" spans="1:27" ht="13">
      <c r="A74" s="8"/>
      <c r="B74" s="8"/>
      <c r="C74" s="43" t="s">
        <v>72</v>
      </c>
      <c r="D74" s="44" t="s">
        <v>113</v>
      </c>
      <c r="E74" s="45">
        <v>109.1</v>
      </c>
      <c r="F74" s="45">
        <v>899.3</v>
      </c>
      <c r="G74" s="165"/>
      <c r="H74" s="166"/>
      <c r="I74" s="166"/>
      <c r="J74" s="167"/>
      <c r="K74" s="8"/>
      <c r="L74" s="8"/>
      <c r="M74" s="8"/>
      <c r="N74" s="8"/>
      <c r="O74" s="8"/>
      <c r="P74" s="8"/>
      <c r="Q74" s="8"/>
      <c r="R74" s="8"/>
      <c r="S74" s="8"/>
      <c r="T74" s="8"/>
      <c r="U74" s="8"/>
      <c r="V74" s="8"/>
      <c r="W74" s="8"/>
      <c r="X74" s="8"/>
      <c r="Y74" s="8"/>
      <c r="Z74" s="8"/>
      <c r="AA74" s="8"/>
    </row>
    <row r="75" spans="1:27" ht="13">
      <c r="A75" s="8"/>
      <c r="B75" s="8"/>
      <c r="C75" s="43" t="s">
        <v>115</v>
      </c>
      <c r="D75" s="44">
        <v>55</v>
      </c>
      <c r="E75" s="45">
        <v>169.7</v>
      </c>
      <c r="F75" s="45">
        <v>800</v>
      </c>
      <c r="G75" s="168" t="s">
        <v>116</v>
      </c>
      <c r="H75" s="166"/>
      <c r="I75" s="166"/>
      <c r="J75" s="167"/>
      <c r="K75" s="8"/>
      <c r="L75" s="8"/>
      <c r="M75" s="8"/>
      <c r="N75" s="8"/>
      <c r="O75" s="8"/>
      <c r="P75" s="8"/>
      <c r="Q75" s="8"/>
      <c r="R75" s="8"/>
      <c r="S75" s="8"/>
      <c r="T75" s="8"/>
      <c r="U75" s="8"/>
      <c r="V75" s="8"/>
      <c r="W75" s="8"/>
      <c r="X75" s="8"/>
      <c r="Y75" s="8"/>
      <c r="Z75" s="8"/>
      <c r="AA75" s="8"/>
    </row>
    <row r="76" spans="1:27" ht="13">
      <c r="A76" s="8"/>
      <c r="B76" s="8"/>
      <c r="C76" s="43" t="s">
        <v>115</v>
      </c>
      <c r="D76" s="44">
        <v>1250</v>
      </c>
      <c r="E76" s="45">
        <v>169.7</v>
      </c>
      <c r="F76" s="45">
        <v>921.8</v>
      </c>
      <c r="G76" s="168" t="s">
        <v>117</v>
      </c>
      <c r="H76" s="166"/>
      <c r="I76" s="166"/>
      <c r="J76" s="167"/>
      <c r="K76" s="8"/>
      <c r="L76" s="8"/>
      <c r="M76" s="8"/>
      <c r="N76" s="8"/>
      <c r="O76" s="8"/>
      <c r="P76" s="8"/>
      <c r="Q76" s="8"/>
      <c r="R76" s="8"/>
      <c r="S76" s="8"/>
      <c r="T76" s="8"/>
      <c r="U76" s="8"/>
      <c r="V76" s="8"/>
      <c r="W76" s="8"/>
      <c r="X76" s="8"/>
      <c r="Y76" s="8"/>
      <c r="Z76" s="8"/>
      <c r="AA76" s="8"/>
    </row>
    <row r="77" spans="1:27" ht="13">
      <c r="A77" s="8"/>
      <c r="B77" s="8"/>
      <c r="C77" s="43" t="s">
        <v>74</v>
      </c>
      <c r="D77" s="44" t="s">
        <v>113</v>
      </c>
      <c r="E77" s="45">
        <v>135</v>
      </c>
      <c r="F77" s="45">
        <v>985.6</v>
      </c>
      <c r="G77" s="165"/>
      <c r="H77" s="166"/>
      <c r="I77" s="166"/>
      <c r="J77" s="167"/>
      <c r="K77" s="8"/>
      <c r="L77" s="8"/>
      <c r="M77" s="8"/>
      <c r="N77" s="8"/>
      <c r="O77" s="8"/>
      <c r="P77" s="8"/>
      <c r="Q77" s="8"/>
      <c r="R77" s="8"/>
      <c r="S77" s="8"/>
      <c r="T77" s="8"/>
      <c r="U77" s="8"/>
      <c r="V77" s="8"/>
      <c r="W77" s="8"/>
      <c r="X77" s="8"/>
      <c r="Y77" s="8"/>
      <c r="Z77" s="8"/>
      <c r="AA77" s="8"/>
    </row>
    <row r="78" spans="1:27" ht="13">
      <c r="A78" s="8"/>
      <c r="B78" s="8"/>
      <c r="C78" s="8"/>
      <c r="D78" s="8"/>
      <c r="E78" s="8"/>
      <c r="F78" s="8"/>
      <c r="G78" s="8"/>
      <c r="H78" s="8"/>
      <c r="I78" s="8"/>
      <c r="J78" s="8"/>
      <c r="K78" s="8"/>
      <c r="L78" s="8"/>
      <c r="M78" s="8"/>
      <c r="N78" s="8"/>
      <c r="O78" s="8"/>
      <c r="P78" s="8"/>
      <c r="Q78" s="8"/>
      <c r="R78" s="8"/>
      <c r="S78" s="8"/>
      <c r="T78" s="8"/>
      <c r="U78" s="8"/>
      <c r="V78" s="8"/>
      <c r="W78" s="8"/>
      <c r="X78" s="8"/>
      <c r="Y78" s="8"/>
      <c r="Z78" s="8"/>
      <c r="AA78" s="8"/>
    </row>
    <row r="79" spans="1:27" ht="13">
      <c r="A79" s="8"/>
      <c r="B79" s="8"/>
      <c r="C79" s="8"/>
      <c r="D79" s="8"/>
      <c r="E79" s="8"/>
      <c r="F79" s="8"/>
      <c r="G79" s="8"/>
      <c r="H79" s="8"/>
      <c r="I79" s="8"/>
      <c r="J79" s="8"/>
      <c r="K79" s="8"/>
      <c r="L79" s="8"/>
      <c r="M79" s="8"/>
      <c r="N79" s="8"/>
      <c r="O79" s="8"/>
      <c r="P79" s="8"/>
      <c r="Q79" s="8"/>
      <c r="R79" s="8"/>
      <c r="S79" s="8"/>
      <c r="T79" s="8"/>
      <c r="U79" s="8"/>
      <c r="V79" s="8"/>
      <c r="W79" s="8"/>
      <c r="X79" s="8"/>
      <c r="Y79" s="8"/>
      <c r="Z79" s="8"/>
      <c r="AA79" s="8"/>
    </row>
    <row r="80" spans="1:27" ht="13">
      <c r="A80" s="8"/>
      <c r="B80" s="8"/>
      <c r="C80" s="8"/>
      <c r="D80" s="8"/>
      <c r="E80" s="8"/>
      <c r="F80" s="8"/>
      <c r="G80" s="8"/>
      <c r="H80" s="8"/>
      <c r="I80" s="8"/>
      <c r="J80" s="8"/>
      <c r="K80" s="8"/>
      <c r="L80" s="8"/>
      <c r="M80" s="8"/>
      <c r="N80" s="8"/>
      <c r="O80" s="8"/>
      <c r="P80" s="8"/>
      <c r="Q80" s="8"/>
      <c r="R80" s="8"/>
      <c r="S80" s="8"/>
      <c r="T80" s="8"/>
      <c r="U80" s="8"/>
      <c r="V80" s="8"/>
      <c r="W80" s="8"/>
      <c r="X80" s="8"/>
      <c r="Y80" s="8"/>
      <c r="Z80" s="8"/>
      <c r="AA80" s="8"/>
    </row>
    <row r="81" spans="1:27" ht="13">
      <c r="A81" s="8"/>
      <c r="B81" s="8"/>
      <c r="C81" s="8"/>
      <c r="D81" s="8"/>
      <c r="E81" s="8"/>
      <c r="F81" s="8"/>
      <c r="G81" s="8"/>
      <c r="H81" s="8"/>
      <c r="I81" s="8"/>
      <c r="J81" s="8"/>
      <c r="K81" s="8"/>
      <c r="L81" s="8"/>
      <c r="M81" s="8"/>
      <c r="N81" s="8"/>
      <c r="O81" s="8"/>
      <c r="P81" s="8"/>
      <c r="Q81" s="8"/>
      <c r="R81" s="8"/>
      <c r="S81" s="8"/>
      <c r="T81" s="8"/>
      <c r="U81" s="8"/>
      <c r="V81" s="8"/>
      <c r="W81" s="8"/>
      <c r="X81" s="8"/>
      <c r="Y81" s="8"/>
      <c r="Z81" s="8"/>
      <c r="AA81" s="8"/>
    </row>
    <row r="82" spans="1:27" ht="13">
      <c r="A82" s="8"/>
      <c r="B82" s="8"/>
      <c r="C82" s="8"/>
      <c r="D82" s="8"/>
      <c r="E82" s="8"/>
      <c r="F82" s="8"/>
      <c r="G82" s="8"/>
      <c r="H82" s="8"/>
      <c r="I82" s="8"/>
      <c r="J82" s="8"/>
      <c r="K82" s="8"/>
      <c r="L82" s="8"/>
      <c r="M82" s="8"/>
      <c r="N82" s="8"/>
      <c r="O82" s="8"/>
      <c r="P82" s="8"/>
      <c r="Q82" s="8"/>
      <c r="R82" s="8"/>
      <c r="S82" s="8"/>
      <c r="T82" s="8"/>
      <c r="U82" s="8"/>
      <c r="V82" s="8"/>
      <c r="W82" s="8"/>
      <c r="X82" s="8"/>
      <c r="Y82" s="8"/>
      <c r="Z82" s="8"/>
      <c r="AA82" s="8"/>
    </row>
    <row r="83" spans="1:27" ht="13">
      <c r="A83" s="8"/>
      <c r="B83" s="8"/>
      <c r="C83" s="8"/>
      <c r="D83" s="8"/>
      <c r="E83" s="8"/>
      <c r="F83" s="8"/>
      <c r="G83" s="8"/>
      <c r="H83" s="8"/>
      <c r="I83" s="8"/>
      <c r="J83" s="8"/>
      <c r="K83" s="8"/>
      <c r="L83" s="8"/>
      <c r="M83" s="8"/>
      <c r="N83" s="8"/>
      <c r="O83" s="8"/>
      <c r="P83" s="8"/>
      <c r="Q83" s="8"/>
      <c r="R83" s="8"/>
      <c r="S83" s="8"/>
      <c r="T83" s="8"/>
      <c r="U83" s="8"/>
      <c r="V83" s="8"/>
      <c r="W83" s="8"/>
      <c r="X83" s="8"/>
      <c r="Y83" s="8"/>
      <c r="Z83" s="8"/>
      <c r="AA83" s="8"/>
    </row>
    <row r="84" spans="1:27" ht="13">
      <c r="A84" s="8"/>
      <c r="B84" s="8"/>
      <c r="C84" s="8"/>
      <c r="D84" s="8"/>
      <c r="E84" s="8"/>
      <c r="F84" s="8"/>
      <c r="G84" s="8"/>
      <c r="H84" s="8"/>
      <c r="I84" s="8"/>
      <c r="J84" s="8"/>
      <c r="K84" s="8"/>
      <c r="L84" s="8"/>
      <c r="M84" s="8"/>
      <c r="N84" s="8"/>
      <c r="O84" s="8"/>
      <c r="P84" s="8"/>
      <c r="Q84" s="8"/>
      <c r="R84" s="8"/>
      <c r="S84" s="8"/>
      <c r="T84" s="8"/>
      <c r="U84" s="8"/>
      <c r="V84" s="8"/>
      <c r="W84" s="8"/>
      <c r="X84" s="8"/>
      <c r="Y84" s="8"/>
      <c r="Z84" s="8"/>
      <c r="AA84" s="8"/>
    </row>
    <row r="85" spans="1:27" ht="13">
      <c r="A85" s="8"/>
      <c r="B85" s="8"/>
      <c r="C85" s="8"/>
      <c r="D85" s="8"/>
      <c r="E85" s="8"/>
      <c r="F85" s="8"/>
      <c r="G85" s="8"/>
      <c r="H85" s="8"/>
      <c r="I85" s="8"/>
      <c r="J85" s="8"/>
      <c r="K85" s="8"/>
      <c r="L85" s="8"/>
      <c r="M85" s="8"/>
      <c r="N85" s="8"/>
      <c r="O85" s="8"/>
      <c r="P85" s="8"/>
      <c r="Q85" s="8"/>
      <c r="R85" s="8"/>
      <c r="S85" s="8"/>
      <c r="T85" s="8"/>
      <c r="U85" s="8"/>
      <c r="V85" s="8"/>
      <c r="W85" s="8"/>
      <c r="X85" s="8"/>
      <c r="Y85" s="8"/>
      <c r="Z85" s="8"/>
      <c r="AA85" s="8"/>
    </row>
    <row r="86" spans="1:27" ht="13">
      <c r="A86" s="8"/>
      <c r="B86" s="8"/>
      <c r="C86" s="8"/>
      <c r="D86" s="8"/>
      <c r="E86" s="8"/>
      <c r="F86" s="8"/>
      <c r="G86" s="8"/>
      <c r="H86" s="8"/>
      <c r="I86" s="8"/>
      <c r="J86" s="8"/>
      <c r="K86" s="8"/>
      <c r="L86" s="8"/>
      <c r="M86" s="8"/>
      <c r="N86" s="8"/>
      <c r="O86" s="8"/>
      <c r="P86" s="8"/>
      <c r="Q86" s="8"/>
      <c r="R86" s="8"/>
      <c r="S86" s="8"/>
      <c r="T86" s="8"/>
      <c r="U86" s="8"/>
      <c r="V86" s="8"/>
      <c r="W86" s="8"/>
      <c r="X86" s="8"/>
      <c r="Y86" s="8"/>
      <c r="Z86" s="8"/>
      <c r="AA86" s="8"/>
    </row>
    <row r="87" spans="1:27" ht="13">
      <c r="A87" s="8"/>
      <c r="B87" s="8"/>
      <c r="C87" s="8"/>
      <c r="D87" s="8"/>
      <c r="E87" s="8"/>
      <c r="F87" s="8"/>
      <c r="G87" s="8"/>
      <c r="H87" s="8"/>
      <c r="I87" s="8"/>
      <c r="J87" s="8"/>
      <c r="K87" s="8"/>
      <c r="L87" s="8"/>
      <c r="M87" s="8"/>
      <c r="N87" s="8"/>
      <c r="O87" s="8"/>
      <c r="P87" s="8"/>
      <c r="Q87" s="8"/>
      <c r="R87" s="8"/>
      <c r="S87" s="8"/>
      <c r="T87" s="8"/>
      <c r="U87" s="8"/>
      <c r="V87" s="8"/>
      <c r="W87" s="8"/>
      <c r="X87" s="8"/>
      <c r="Y87" s="8"/>
      <c r="Z87" s="8"/>
      <c r="AA87" s="8"/>
    </row>
    <row r="88" spans="1:27" ht="13">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spans="1:27" ht="13">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spans="1:27" ht="13">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spans="1:27" ht="13">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spans="1:27" ht="13">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spans="1:27" ht="1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spans="1:27" ht="13">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spans="1:27" ht="13">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spans="1:27" ht="13">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spans="1:27" ht="13">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spans="1:27" ht="13">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spans="1:27" ht="13">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spans="1:27"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spans="1:27"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spans="1:27"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spans="1:27"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spans="1:27"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spans="1:27"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spans="1:27"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spans="1:27"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spans="1:27"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spans="1:27"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spans="1:27"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spans="1:27"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spans="1:27"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spans="1:27"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spans="1:27"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spans="1:27"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spans="1:27"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spans="1:27"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spans="1:27"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spans="1:27"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spans="1:27"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spans="1:27"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spans="1:27"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spans="1:27"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spans="1:27"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spans="1:27"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spans="1:27"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spans="1:27"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spans="1:27"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spans="1:27"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spans="1:27"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spans="1:27"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spans="1:27"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spans="1:27"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spans="1:27"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spans="1:27"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spans="1:27"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spans="1:27"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spans="1:27"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spans="1:27"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spans="1:27"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spans="1:27"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spans="1:27"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spans="1:27"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spans="1:27"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spans="1:27"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sheetData>
  <mergeCells count="21">
    <mergeCell ref="B2:R2"/>
    <mergeCell ref="B30:R30"/>
    <mergeCell ref="C59:J59"/>
    <mergeCell ref="G60:J60"/>
    <mergeCell ref="G61:J61"/>
    <mergeCell ref="G62:J62"/>
    <mergeCell ref="G63:J63"/>
    <mergeCell ref="G71:J71"/>
    <mergeCell ref="G72:J72"/>
    <mergeCell ref="G73:J73"/>
    <mergeCell ref="G74:J74"/>
    <mergeCell ref="G75:J75"/>
    <mergeCell ref="G76:J76"/>
    <mergeCell ref="G77:J77"/>
    <mergeCell ref="G64:J64"/>
    <mergeCell ref="G65:J65"/>
    <mergeCell ref="G66:J66"/>
    <mergeCell ref="G67:J67"/>
    <mergeCell ref="G68:J68"/>
    <mergeCell ref="G69:J69"/>
    <mergeCell ref="G70:J7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J1017"/>
  <sheetViews>
    <sheetView topLeftCell="A4" workbookViewId="0"/>
  </sheetViews>
  <sheetFormatPr baseColWidth="10" defaultColWidth="12.6640625" defaultRowHeight="15.75" customHeight="1"/>
  <cols>
    <col min="1" max="1" width="12.1640625" customWidth="1"/>
    <col min="2" max="2" width="9.5" customWidth="1"/>
    <col min="3" max="3" width="12.83203125" customWidth="1"/>
    <col min="6" max="6" width="7.83203125" customWidth="1"/>
    <col min="7" max="7" width="10.33203125" customWidth="1"/>
    <col min="8" max="8" width="9.33203125" customWidth="1"/>
    <col min="9" max="11" width="11.33203125" customWidth="1"/>
    <col min="12" max="12" width="9.5" customWidth="1"/>
    <col min="13" max="13" width="85.6640625" customWidth="1"/>
    <col min="14" max="14" width="11.33203125" customWidth="1"/>
    <col min="15" max="15" width="76.5" customWidth="1"/>
    <col min="16" max="16" width="3.6640625" customWidth="1"/>
  </cols>
  <sheetData>
    <row r="1" spans="1:22" ht="70">
      <c r="A1" s="8"/>
      <c r="B1" s="8"/>
      <c r="C1" s="8"/>
      <c r="D1" s="8"/>
      <c r="E1" s="8"/>
      <c r="F1" s="8"/>
      <c r="G1" s="8"/>
      <c r="H1" s="8"/>
      <c r="I1" s="8"/>
      <c r="J1" s="8"/>
      <c r="K1" s="8"/>
      <c r="L1" s="46" t="s">
        <v>118</v>
      </c>
      <c r="M1" s="47" t="s">
        <v>119</v>
      </c>
      <c r="N1" s="8"/>
      <c r="O1" s="8"/>
      <c r="P1" s="8"/>
      <c r="Q1" s="8"/>
      <c r="R1" s="8"/>
      <c r="S1" s="8"/>
      <c r="T1" s="8"/>
      <c r="U1" s="8"/>
      <c r="V1" s="8"/>
    </row>
    <row r="2" spans="1:22" ht="56">
      <c r="A2" s="8"/>
      <c r="B2" s="8"/>
      <c r="C2" s="8"/>
      <c r="D2" s="8"/>
      <c r="E2" s="8"/>
      <c r="F2" s="8"/>
      <c r="G2" s="8"/>
      <c r="H2" s="8"/>
      <c r="I2" s="8"/>
      <c r="J2" s="8"/>
      <c r="K2" s="8"/>
      <c r="L2" s="46" t="s">
        <v>120</v>
      </c>
      <c r="M2" s="47" t="s">
        <v>121</v>
      </c>
      <c r="N2" s="8"/>
      <c r="O2" s="8"/>
      <c r="P2" s="8"/>
      <c r="Q2" s="8"/>
      <c r="R2" s="8"/>
      <c r="S2" s="8"/>
      <c r="T2" s="8"/>
      <c r="U2" s="8"/>
      <c r="V2" s="8"/>
    </row>
    <row r="3" spans="1:22" ht="13">
      <c r="A3" s="8"/>
      <c r="B3" s="8"/>
      <c r="C3" s="8"/>
      <c r="D3" s="8"/>
      <c r="E3" s="8"/>
      <c r="F3" s="8"/>
      <c r="G3" s="8"/>
      <c r="H3" s="8"/>
      <c r="I3" s="8"/>
      <c r="J3" s="8"/>
      <c r="K3" s="8"/>
      <c r="L3" s="48"/>
      <c r="M3" s="8" t="s">
        <v>122</v>
      </c>
      <c r="N3" s="8"/>
      <c r="O3" s="8"/>
      <c r="P3" s="8"/>
      <c r="Q3" s="8"/>
      <c r="R3" s="8"/>
      <c r="S3" s="8"/>
      <c r="T3" s="8"/>
      <c r="U3" s="8"/>
      <c r="V3" s="8"/>
    </row>
    <row r="4" spans="1:22" ht="224">
      <c r="A4" s="8"/>
      <c r="B4" s="8"/>
      <c r="C4" s="8"/>
      <c r="D4" s="8"/>
      <c r="E4" s="8"/>
      <c r="F4" s="8"/>
      <c r="G4" s="8"/>
      <c r="H4" s="8"/>
      <c r="I4" s="8"/>
      <c r="J4" s="8"/>
      <c r="K4" s="8"/>
      <c r="L4" s="46" t="s">
        <v>123</v>
      </c>
      <c r="M4" s="47" t="s">
        <v>124</v>
      </c>
      <c r="N4" s="8"/>
      <c r="O4" s="8"/>
      <c r="P4" s="8"/>
      <c r="Q4" s="8"/>
      <c r="R4" s="8"/>
      <c r="S4" s="8"/>
      <c r="T4" s="8"/>
      <c r="U4" s="8"/>
      <c r="V4" s="8"/>
    </row>
    <row r="5" spans="1:22" ht="140">
      <c r="A5" s="8"/>
      <c r="B5" s="8"/>
      <c r="C5" s="8"/>
      <c r="D5" s="8"/>
      <c r="E5" s="8"/>
      <c r="F5" s="8"/>
      <c r="G5" s="8"/>
      <c r="H5" s="8"/>
      <c r="I5" s="8"/>
      <c r="J5" s="8"/>
      <c r="K5" s="8"/>
      <c r="L5" s="46" t="s">
        <v>125</v>
      </c>
      <c r="M5" s="47" t="s">
        <v>126</v>
      </c>
      <c r="N5" s="8"/>
      <c r="O5" s="8"/>
      <c r="P5" s="8"/>
      <c r="Q5" s="8"/>
      <c r="R5" s="8"/>
      <c r="S5" s="8"/>
      <c r="T5" s="8"/>
      <c r="U5" s="8"/>
      <c r="V5" s="8"/>
    </row>
    <row r="6" spans="1:22" ht="28">
      <c r="A6" s="8"/>
      <c r="B6" s="8"/>
      <c r="C6" s="8"/>
      <c r="D6" s="8"/>
      <c r="E6" s="8"/>
      <c r="F6" s="8"/>
      <c r="G6" s="8"/>
      <c r="H6" s="8"/>
      <c r="I6" s="8"/>
      <c r="J6" s="8"/>
      <c r="K6" s="8"/>
      <c r="L6" s="46" t="s">
        <v>127</v>
      </c>
      <c r="M6" s="47" t="s">
        <v>128</v>
      </c>
      <c r="N6" s="8"/>
      <c r="O6" s="8"/>
      <c r="P6" s="8"/>
      <c r="Q6" s="8"/>
      <c r="R6" s="8"/>
      <c r="S6" s="8"/>
      <c r="T6" s="8"/>
      <c r="U6" s="8"/>
      <c r="V6" s="8"/>
    </row>
    <row r="7" spans="1:22" ht="140">
      <c r="A7" s="8"/>
      <c r="B7" s="8"/>
      <c r="C7" s="8"/>
      <c r="D7" s="8"/>
      <c r="E7" s="8"/>
      <c r="F7" s="8"/>
      <c r="G7" s="8"/>
      <c r="H7" s="8"/>
      <c r="I7" s="8"/>
      <c r="J7" s="8"/>
      <c r="K7" s="8"/>
      <c r="L7" s="46" t="s">
        <v>129</v>
      </c>
      <c r="M7" s="47" t="s">
        <v>130</v>
      </c>
      <c r="N7" s="8"/>
      <c r="O7" s="8"/>
      <c r="P7" s="8"/>
      <c r="Q7" s="8"/>
      <c r="R7" s="8"/>
      <c r="S7" s="8"/>
      <c r="T7" s="8"/>
      <c r="U7" s="8"/>
      <c r="V7" s="8"/>
    </row>
    <row r="8" spans="1:22" ht="13">
      <c r="A8" s="8"/>
      <c r="B8" s="8"/>
      <c r="C8" s="8"/>
      <c r="D8" s="8"/>
      <c r="E8" s="8"/>
      <c r="F8" s="8"/>
      <c r="G8" s="8"/>
      <c r="H8" s="8"/>
      <c r="I8" s="8"/>
      <c r="J8" s="8"/>
      <c r="K8" s="8"/>
      <c r="L8" s="8"/>
      <c r="M8" s="8"/>
      <c r="N8" s="8"/>
      <c r="O8" s="8"/>
      <c r="P8" s="8"/>
      <c r="Q8" s="8"/>
      <c r="R8" s="8"/>
      <c r="S8" s="8"/>
      <c r="T8" s="8"/>
      <c r="U8" s="8"/>
      <c r="V8" s="8"/>
    </row>
    <row r="9" spans="1:22" ht="13">
      <c r="A9" s="8"/>
      <c r="B9" s="8"/>
      <c r="C9" s="8"/>
      <c r="D9" s="8" t="s">
        <v>62</v>
      </c>
      <c r="E9" s="8" t="s">
        <v>61</v>
      </c>
      <c r="F9" s="8"/>
      <c r="G9" s="8" t="s">
        <v>131</v>
      </c>
      <c r="H9" s="8"/>
      <c r="I9" s="8" t="s">
        <v>132</v>
      </c>
      <c r="J9" s="8"/>
      <c r="K9" s="8"/>
      <c r="L9" s="8"/>
      <c r="M9" s="8"/>
      <c r="N9" s="8"/>
      <c r="O9" s="8"/>
      <c r="P9" s="8"/>
      <c r="Q9" s="8"/>
      <c r="R9" s="8"/>
      <c r="S9" s="8"/>
      <c r="T9" s="8"/>
      <c r="U9" s="8"/>
      <c r="V9" s="8"/>
    </row>
    <row r="10" spans="1:22" ht="13">
      <c r="A10" s="49" t="s">
        <v>58</v>
      </c>
      <c r="B10" s="12" t="s">
        <v>59</v>
      </c>
      <c r="C10" s="8" t="s">
        <v>133</v>
      </c>
      <c r="D10" s="8" t="s">
        <v>134</v>
      </c>
      <c r="E10" s="8" t="s">
        <v>135</v>
      </c>
      <c r="F10" s="8" t="s">
        <v>136</v>
      </c>
      <c r="G10" s="8" t="s">
        <v>137</v>
      </c>
      <c r="H10" s="8" t="s">
        <v>138</v>
      </c>
      <c r="I10" s="8" t="s">
        <v>139</v>
      </c>
      <c r="J10" s="8" t="s">
        <v>140</v>
      </c>
      <c r="K10" s="8"/>
      <c r="L10" s="8"/>
      <c r="M10" s="8"/>
      <c r="N10" s="8"/>
      <c r="O10" s="8"/>
      <c r="P10" s="8"/>
      <c r="Q10" s="8"/>
      <c r="R10" s="8"/>
      <c r="S10" s="8"/>
      <c r="T10" s="8"/>
      <c r="U10" s="8"/>
      <c r="V10" s="8"/>
    </row>
    <row r="11" spans="1:22" ht="13">
      <c r="A11" s="50">
        <v>1</v>
      </c>
      <c r="B11" s="16" t="s">
        <v>75</v>
      </c>
      <c r="C11" s="8">
        <v>0</v>
      </c>
      <c r="D11" s="8">
        <v>1.6E-2</v>
      </c>
      <c r="E11" s="2">
        <v>1.6E-2</v>
      </c>
      <c r="F11" s="8">
        <v>0.4</v>
      </c>
      <c r="G11" s="51">
        <v>6.4111516108960949E-6</v>
      </c>
      <c r="H11" s="8">
        <v>0.40899999999999997</v>
      </c>
      <c r="I11" s="8">
        <v>4.3040000000000002E-2</v>
      </c>
      <c r="J11" s="8">
        <v>0.45</v>
      </c>
      <c r="K11" s="8"/>
      <c r="L11" s="8"/>
      <c r="M11" s="8"/>
      <c r="N11" s="8"/>
      <c r="O11" s="8"/>
      <c r="P11" s="8"/>
      <c r="Q11" s="8"/>
      <c r="R11" s="8"/>
      <c r="S11" s="8">
        <v>0</v>
      </c>
      <c r="T11" s="8">
        <v>1.6E-2</v>
      </c>
      <c r="U11" s="8">
        <v>4.3040000000000002E-2</v>
      </c>
      <c r="V11" s="8"/>
    </row>
    <row r="12" spans="1:22" ht="13">
      <c r="A12" s="50">
        <v>2</v>
      </c>
      <c r="B12" s="16" t="s">
        <v>76</v>
      </c>
      <c r="C12" s="8">
        <v>0.05</v>
      </c>
      <c r="D12" s="8">
        <v>1.7000000000000001E-2</v>
      </c>
      <c r="E12" s="2">
        <v>1.61E-2</v>
      </c>
      <c r="F12" s="8">
        <v>0.4</v>
      </c>
      <c r="G12" s="52">
        <v>3.1640624984280779E-3</v>
      </c>
      <c r="H12" s="8">
        <v>0.40899999999999997</v>
      </c>
      <c r="I12" s="8">
        <v>4.3299999999999998E-2</v>
      </c>
      <c r="J12" s="8">
        <v>0.45</v>
      </c>
      <c r="K12" s="8"/>
      <c r="L12" s="8"/>
      <c r="M12" s="8"/>
      <c r="N12" s="8"/>
      <c r="O12" s="8"/>
      <c r="P12" s="8"/>
      <c r="Q12" s="8"/>
      <c r="R12" s="8"/>
      <c r="S12" s="8">
        <v>0.05</v>
      </c>
      <c r="T12" s="8">
        <v>1.7000000000000001E-2</v>
      </c>
      <c r="U12" s="8">
        <v>4.3299999999999998E-2</v>
      </c>
      <c r="V12" s="8"/>
    </row>
    <row r="13" spans="1:22" ht="13">
      <c r="A13" s="50">
        <v>3</v>
      </c>
      <c r="B13" s="16" t="s">
        <v>77</v>
      </c>
      <c r="C13" s="8">
        <v>0.1</v>
      </c>
      <c r="D13" s="8">
        <v>1.9E-2</v>
      </c>
      <c r="E13" s="2">
        <v>1.6199999999999999E-2</v>
      </c>
      <c r="F13" s="8">
        <v>0.4</v>
      </c>
      <c r="G13" s="52">
        <v>6.3281249633219397E-3</v>
      </c>
      <c r="H13" s="8">
        <v>0.40899999999999997</v>
      </c>
      <c r="I13" s="8">
        <v>4.4249999999999998E-2</v>
      </c>
      <c r="J13" s="8">
        <v>0.45</v>
      </c>
      <c r="K13" s="8"/>
      <c r="L13" s="8"/>
      <c r="M13" s="8"/>
      <c r="N13" s="8"/>
      <c r="O13" s="8"/>
      <c r="P13" s="8"/>
      <c r="Q13" s="8"/>
      <c r="R13" s="8"/>
      <c r="S13" s="8">
        <v>0.1</v>
      </c>
      <c r="T13" s="8">
        <v>1.9E-2</v>
      </c>
      <c r="U13" s="8">
        <v>4.4249999999999998E-2</v>
      </c>
      <c r="V13" s="8"/>
    </row>
    <row r="14" spans="1:22" ht="13">
      <c r="A14" s="50">
        <v>4</v>
      </c>
      <c r="B14" s="16" t="s">
        <v>78</v>
      </c>
      <c r="C14" s="8">
        <v>0.15</v>
      </c>
      <c r="D14" s="8">
        <v>2.3E-2</v>
      </c>
      <c r="E14" s="2">
        <v>1.66E-2</v>
      </c>
      <c r="F14" s="8">
        <v>0.4</v>
      </c>
      <c r="G14" s="52">
        <v>1.265625001047942E-2</v>
      </c>
      <c r="H14" s="8">
        <v>0.40899999999999997</v>
      </c>
      <c r="I14" s="8">
        <v>4.5600000000000002E-2</v>
      </c>
      <c r="J14" s="8">
        <v>0.45</v>
      </c>
      <c r="K14" s="8"/>
      <c r="L14" s="8"/>
      <c r="M14" s="8"/>
      <c r="N14" s="8"/>
      <c r="O14" s="8"/>
      <c r="P14" s="8"/>
      <c r="Q14" s="8"/>
      <c r="R14" s="8"/>
      <c r="S14" s="8">
        <v>0.15</v>
      </c>
      <c r="T14" s="8">
        <v>2.3E-2</v>
      </c>
      <c r="U14" s="8">
        <v>4.5600000000000002E-2</v>
      </c>
      <c r="V14" s="8"/>
    </row>
    <row r="15" spans="1:22" ht="13">
      <c r="A15" s="50">
        <v>5</v>
      </c>
      <c r="B15" s="16" t="s">
        <v>79</v>
      </c>
      <c r="C15" s="8">
        <v>0.2</v>
      </c>
      <c r="D15" s="8">
        <v>0.03</v>
      </c>
      <c r="E15" s="2">
        <v>2.1999999999999999E-2</v>
      </c>
      <c r="F15" s="8">
        <v>0.4</v>
      </c>
      <c r="G15" s="52">
        <v>2.531250002095884E-2</v>
      </c>
      <c r="H15" s="8">
        <v>0.40899999999999997</v>
      </c>
      <c r="I15" s="8">
        <v>4.82E-2</v>
      </c>
      <c r="J15" s="8">
        <v>0.45</v>
      </c>
      <c r="K15" s="8"/>
      <c r="L15" s="8"/>
      <c r="M15" s="8"/>
      <c r="N15" s="8"/>
      <c r="O15" s="8"/>
      <c r="P15" s="8"/>
      <c r="Q15" s="8"/>
      <c r="R15" s="8"/>
      <c r="S15" s="8">
        <v>0.2</v>
      </c>
      <c r="T15" s="8">
        <v>0.03</v>
      </c>
      <c r="U15" s="8">
        <v>4.82E-2</v>
      </c>
      <c r="V15" s="8"/>
    </row>
    <row r="16" spans="1:22" ht="13">
      <c r="A16" s="50">
        <v>6</v>
      </c>
      <c r="B16" s="16" t="s">
        <v>80</v>
      </c>
      <c r="C16" s="8">
        <v>0.25</v>
      </c>
      <c r="D16" s="8">
        <v>0.05</v>
      </c>
      <c r="E16" s="2">
        <v>3.5000000000000003E-2</v>
      </c>
      <c r="F16" s="8">
        <v>0.4</v>
      </c>
      <c r="G16" s="52">
        <v>5.0625000023429248E-2</v>
      </c>
      <c r="H16" s="8">
        <v>0.40899999999999997</v>
      </c>
      <c r="I16" s="8">
        <v>5.3900000000000003E-2</v>
      </c>
      <c r="J16" s="8">
        <v>0.45</v>
      </c>
      <c r="K16" s="8"/>
      <c r="L16" s="8"/>
      <c r="M16" s="8"/>
      <c r="N16" s="8"/>
      <c r="O16" s="8"/>
      <c r="P16" s="8"/>
      <c r="Q16" s="8"/>
      <c r="R16" s="8"/>
      <c r="S16" s="8">
        <v>0.25</v>
      </c>
      <c r="T16" s="8">
        <v>0.05</v>
      </c>
      <c r="U16" s="8">
        <v>5.3900000000000003E-2</v>
      </c>
      <c r="V16" s="8"/>
    </row>
    <row r="17" spans="1:22" ht="13">
      <c r="A17" s="50">
        <v>7</v>
      </c>
      <c r="B17" s="16" t="s">
        <v>81</v>
      </c>
      <c r="C17" s="8">
        <v>0.3</v>
      </c>
      <c r="D17" s="8">
        <v>0.08</v>
      </c>
      <c r="E17" s="2">
        <v>0.06</v>
      </c>
      <c r="F17" s="8">
        <v>0.4</v>
      </c>
      <c r="G17" s="52">
        <v>0.10028739287352589</v>
      </c>
      <c r="H17" s="8">
        <v>0.40899999999999997</v>
      </c>
      <c r="I17" s="8">
        <v>7.0999999999999994E-2</v>
      </c>
      <c r="J17" s="8">
        <v>0.45</v>
      </c>
      <c r="K17" s="8"/>
      <c r="L17" s="8"/>
      <c r="M17" s="8"/>
      <c r="N17" s="8"/>
      <c r="O17" s="8"/>
      <c r="P17" s="8"/>
      <c r="Q17" s="8"/>
      <c r="R17" s="8"/>
      <c r="S17" s="8">
        <v>0.3</v>
      </c>
      <c r="T17" s="8">
        <v>0.08</v>
      </c>
      <c r="U17" s="8">
        <v>7.0999999999999994E-2</v>
      </c>
      <c r="V17" s="8"/>
    </row>
    <row r="18" spans="1:22" ht="13">
      <c r="A18" s="50">
        <v>8</v>
      </c>
      <c r="B18" s="16" t="s">
        <v>82</v>
      </c>
      <c r="C18" s="8">
        <v>0.35</v>
      </c>
      <c r="D18" s="8">
        <v>0.15</v>
      </c>
      <c r="E18" s="2">
        <v>0.13</v>
      </c>
      <c r="F18" s="8">
        <v>0.4</v>
      </c>
      <c r="G18" s="52">
        <v>0.1732346012257808</v>
      </c>
      <c r="H18" s="8">
        <v>0.40899999999999997</v>
      </c>
      <c r="I18" s="8">
        <v>0.1145</v>
      </c>
      <c r="J18" s="8">
        <v>0.45</v>
      </c>
      <c r="K18" s="8"/>
      <c r="L18" s="8"/>
      <c r="M18" s="8"/>
      <c r="N18" s="8"/>
      <c r="O18" s="8"/>
      <c r="P18" s="8"/>
      <c r="Q18" s="8"/>
      <c r="R18" s="8"/>
      <c r="S18" s="8">
        <v>0.35</v>
      </c>
      <c r="T18" s="8">
        <v>0.15</v>
      </c>
      <c r="U18" s="8">
        <v>0.1145</v>
      </c>
      <c r="V18" s="8"/>
    </row>
    <row r="19" spans="1:22" ht="13">
      <c r="A19" s="50">
        <v>9</v>
      </c>
      <c r="B19" s="16" t="s">
        <v>83</v>
      </c>
      <c r="C19" s="8">
        <v>0.4</v>
      </c>
      <c r="D19" s="8">
        <v>0.25</v>
      </c>
      <c r="E19" s="2">
        <v>0.245</v>
      </c>
      <c r="F19" s="8">
        <v>0.4</v>
      </c>
      <c r="G19" s="52">
        <v>0.27288342467312432</v>
      </c>
      <c r="H19" s="8">
        <v>0.40899999999999997</v>
      </c>
      <c r="I19" s="8">
        <v>0.23799999999999999</v>
      </c>
      <c r="J19" s="8">
        <v>0.45</v>
      </c>
      <c r="K19" s="8"/>
      <c r="L19" s="8"/>
      <c r="M19" s="8"/>
      <c r="N19" s="8"/>
      <c r="O19" s="8"/>
      <c r="P19" s="8"/>
      <c r="Q19" s="8"/>
      <c r="R19" s="8"/>
      <c r="S19" s="8">
        <v>0.4</v>
      </c>
      <c r="T19" s="8">
        <v>0.25</v>
      </c>
      <c r="U19" s="8">
        <v>0.23799999999999999</v>
      </c>
      <c r="V19" s="8"/>
    </row>
    <row r="20" spans="1:22" ht="13">
      <c r="A20" s="50">
        <v>10</v>
      </c>
      <c r="B20" s="16" t="s">
        <v>84</v>
      </c>
      <c r="C20" s="8">
        <v>0.41666499999999995</v>
      </c>
      <c r="D20" s="8">
        <v>0.3</v>
      </c>
      <c r="E20" s="2">
        <v>0.29299999999999998</v>
      </c>
      <c r="F20" s="8">
        <v>0.4</v>
      </c>
      <c r="G20" s="52">
        <v>0.34732158241373379</v>
      </c>
      <c r="H20" s="8">
        <v>0.40899999999999997</v>
      </c>
      <c r="I20" s="8">
        <v>0.3</v>
      </c>
      <c r="J20" s="8">
        <v>0.45</v>
      </c>
      <c r="K20" s="8"/>
      <c r="L20" s="8"/>
      <c r="M20" s="8"/>
      <c r="N20" s="8"/>
      <c r="O20" s="8"/>
      <c r="P20" s="8"/>
      <c r="Q20" s="8"/>
      <c r="R20" s="8"/>
      <c r="S20" s="8">
        <v>0.41666499999999995</v>
      </c>
      <c r="T20" s="8">
        <v>0.3</v>
      </c>
      <c r="U20" s="8">
        <v>0.3</v>
      </c>
      <c r="V20" s="8"/>
    </row>
    <row r="21" spans="1:22" ht="13">
      <c r="A21" s="50">
        <v>11</v>
      </c>
      <c r="B21" s="43" t="s">
        <v>85</v>
      </c>
      <c r="C21" s="8">
        <v>0.43333000000000005</v>
      </c>
      <c r="D21" s="8">
        <v>0.34</v>
      </c>
      <c r="E21" s="2">
        <v>0.35199999999999998</v>
      </c>
      <c r="F21" s="8">
        <v>0.4</v>
      </c>
      <c r="G21" s="52">
        <v>0.39340671841555686</v>
      </c>
      <c r="H21" s="8">
        <v>0.40899999999999997</v>
      </c>
      <c r="I21" s="8">
        <v>0.38</v>
      </c>
      <c r="J21" s="8">
        <v>0.45</v>
      </c>
      <c r="K21" s="8"/>
      <c r="L21" s="8"/>
      <c r="M21" s="8"/>
      <c r="N21" s="8"/>
      <c r="O21" s="8"/>
      <c r="P21" s="8"/>
      <c r="Q21" s="8"/>
      <c r="R21" s="8"/>
      <c r="S21" s="8">
        <v>0.43333000000000005</v>
      </c>
      <c r="T21" s="8">
        <v>0.34</v>
      </c>
      <c r="U21" s="8">
        <v>0.38</v>
      </c>
      <c r="V21" s="8"/>
    </row>
    <row r="22" spans="1:22" ht="13">
      <c r="A22" s="50">
        <v>12</v>
      </c>
      <c r="B22" s="16" t="s">
        <v>86</v>
      </c>
      <c r="C22" s="8">
        <v>0.45</v>
      </c>
      <c r="D22" s="8">
        <v>0.4</v>
      </c>
      <c r="E22" s="2">
        <v>0.4</v>
      </c>
      <c r="F22" s="8">
        <v>0.4</v>
      </c>
      <c r="G22" s="52">
        <v>0.40900772878777658</v>
      </c>
      <c r="H22" s="8">
        <v>0.40899999999999997</v>
      </c>
      <c r="I22" s="8">
        <v>0.45</v>
      </c>
      <c r="J22" s="8">
        <v>0.45</v>
      </c>
      <c r="K22" s="8"/>
      <c r="L22" s="8"/>
      <c r="M22" s="8"/>
      <c r="N22" s="8"/>
      <c r="O22" s="8"/>
      <c r="P22" s="8"/>
      <c r="Q22" s="8"/>
      <c r="R22" s="8"/>
      <c r="S22" s="8">
        <v>0.45</v>
      </c>
      <c r="T22" s="8">
        <v>0.4</v>
      </c>
      <c r="U22" s="8">
        <v>0.45</v>
      </c>
      <c r="V22" s="8"/>
    </row>
    <row r="23" spans="1:22" ht="13">
      <c r="A23" s="50">
        <v>13</v>
      </c>
      <c r="B23" s="43" t="s">
        <v>87</v>
      </c>
      <c r="C23" s="8">
        <v>0.466665</v>
      </c>
      <c r="D23" s="8">
        <v>0.44</v>
      </c>
      <c r="E23" s="2">
        <v>0.44</v>
      </c>
      <c r="F23" s="8">
        <v>0.4</v>
      </c>
      <c r="G23" s="52">
        <v>0.4417082790186182</v>
      </c>
      <c r="H23" s="8">
        <v>0.40899999999999997</v>
      </c>
      <c r="I23" s="8">
        <v>0.55000000000000004</v>
      </c>
      <c r="J23" s="8">
        <v>0.45</v>
      </c>
      <c r="K23" s="8"/>
      <c r="L23" s="8"/>
      <c r="M23" s="8"/>
      <c r="N23" s="8"/>
      <c r="O23" s="8"/>
      <c r="P23" s="8"/>
      <c r="Q23" s="8"/>
      <c r="R23" s="8"/>
      <c r="S23" s="8">
        <v>0.466665</v>
      </c>
      <c r="T23" s="8">
        <v>0.44</v>
      </c>
      <c r="U23" s="8">
        <v>0.55000000000000004</v>
      </c>
      <c r="V23" s="8"/>
    </row>
    <row r="24" spans="1:22" ht="13">
      <c r="A24" s="50">
        <v>14</v>
      </c>
      <c r="B24" s="16" t="s">
        <v>88</v>
      </c>
      <c r="C24" s="8">
        <v>0.48333000000000004</v>
      </c>
      <c r="D24" s="8">
        <v>0.49</v>
      </c>
      <c r="E24" s="2">
        <v>0.51</v>
      </c>
      <c r="F24" s="8">
        <v>0.4</v>
      </c>
      <c r="G24" s="52">
        <v>0.49474787556660693</v>
      </c>
      <c r="H24" s="8">
        <v>0.40899999999999997</v>
      </c>
      <c r="I24" s="8">
        <v>0.62</v>
      </c>
      <c r="J24" s="8">
        <v>0.45</v>
      </c>
      <c r="K24" s="8"/>
      <c r="L24" s="8"/>
      <c r="M24" s="8"/>
      <c r="N24" s="8"/>
      <c r="O24" s="8"/>
      <c r="P24" s="8"/>
      <c r="Q24" s="8"/>
      <c r="R24" s="8"/>
      <c r="S24" s="8">
        <v>0.48333000000000004</v>
      </c>
      <c r="T24" s="8">
        <v>0.49</v>
      </c>
      <c r="U24" s="8">
        <v>0.62</v>
      </c>
      <c r="V24" s="8"/>
    </row>
    <row r="25" spans="1:22" ht="13">
      <c r="A25" s="50">
        <v>15</v>
      </c>
      <c r="B25" s="16" t="s">
        <v>89</v>
      </c>
      <c r="C25" s="8">
        <v>0.5</v>
      </c>
      <c r="D25" s="8">
        <v>0.54</v>
      </c>
      <c r="E25" s="2">
        <v>0.56200000000000006</v>
      </c>
      <c r="F25" s="8">
        <v>0.4</v>
      </c>
      <c r="G25" s="52">
        <v>0.59495900829424386</v>
      </c>
      <c r="H25" s="8">
        <v>0.40899999999999997</v>
      </c>
      <c r="I25" s="8">
        <v>0.7</v>
      </c>
      <c r="J25" s="8">
        <v>0.45</v>
      </c>
      <c r="K25" s="8"/>
      <c r="L25" s="8"/>
      <c r="M25" s="8"/>
      <c r="N25" s="8"/>
      <c r="O25" s="8"/>
      <c r="P25" s="8"/>
      <c r="Q25" s="8"/>
      <c r="R25" s="8"/>
      <c r="S25" s="8">
        <v>0.5</v>
      </c>
      <c r="T25" s="8">
        <v>0.54</v>
      </c>
      <c r="U25" s="8">
        <v>0.7</v>
      </c>
      <c r="V25" s="8"/>
    </row>
    <row r="26" spans="1:22" ht="13">
      <c r="A26" s="50">
        <v>16</v>
      </c>
      <c r="B26" s="16" t="s">
        <v>90</v>
      </c>
      <c r="C26" s="8">
        <v>0.55000000000000004</v>
      </c>
      <c r="D26" s="8">
        <v>0.67</v>
      </c>
      <c r="E26" s="2">
        <v>0.71499999999999997</v>
      </c>
      <c r="F26" s="8">
        <v>0.4</v>
      </c>
      <c r="G26" s="52">
        <v>0.84897594185359815</v>
      </c>
      <c r="H26" s="8">
        <v>0.40899999999999997</v>
      </c>
      <c r="I26" s="8">
        <v>0.86</v>
      </c>
      <c r="J26" s="8">
        <v>0.45</v>
      </c>
      <c r="K26" s="8"/>
      <c r="L26" s="8"/>
      <c r="M26" s="8"/>
      <c r="N26" s="8"/>
      <c r="O26" s="8"/>
      <c r="P26" s="8"/>
      <c r="Q26" s="8"/>
      <c r="R26" s="8"/>
      <c r="S26" s="8">
        <v>0.55000000000000004</v>
      </c>
      <c r="T26" s="8">
        <v>0.67</v>
      </c>
      <c r="U26" s="8">
        <v>0.86</v>
      </c>
      <c r="V26" s="8"/>
    </row>
    <row r="27" spans="1:22" ht="13">
      <c r="A27" s="50">
        <v>17</v>
      </c>
      <c r="B27" s="16" t="s">
        <v>92</v>
      </c>
      <c r="C27" s="8">
        <v>0.6</v>
      </c>
      <c r="D27" s="8">
        <v>0.81</v>
      </c>
      <c r="E27" s="2">
        <v>0.83299999999999996</v>
      </c>
      <c r="F27" s="8">
        <v>0.4</v>
      </c>
      <c r="G27" s="52">
        <v>1.1959732992715488</v>
      </c>
      <c r="H27" s="8">
        <v>0.40899999999999997</v>
      </c>
      <c r="I27" s="8">
        <v>0.94</v>
      </c>
      <c r="J27" s="8">
        <v>0.45</v>
      </c>
      <c r="K27" s="8"/>
      <c r="L27" s="8"/>
      <c r="M27" s="8"/>
      <c r="N27" s="8"/>
      <c r="O27" s="8"/>
      <c r="P27" s="8"/>
      <c r="Q27" s="8"/>
      <c r="R27" s="8"/>
      <c r="S27" s="8">
        <v>0.6</v>
      </c>
      <c r="T27" s="8">
        <v>0.81</v>
      </c>
      <c r="U27" s="8">
        <v>0.94</v>
      </c>
      <c r="V27" s="8"/>
    </row>
    <row r="28" spans="1:22" ht="13">
      <c r="A28" s="50">
        <v>18</v>
      </c>
      <c r="B28" s="16" t="s">
        <v>93</v>
      </c>
      <c r="C28" s="8">
        <v>0.65</v>
      </c>
      <c r="D28" s="8">
        <v>0.9</v>
      </c>
      <c r="E28" s="2">
        <v>0.91800000000000004</v>
      </c>
      <c r="F28" s="8">
        <v>0.4</v>
      </c>
      <c r="G28" s="52"/>
      <c r="H28" s="8">
        <v>0.40899999999999997</v>
      </c>
      <c r="I28" s="8">
        <v>0.98</v>
      </c>
      <c r="J28" s="8">
        <v>0.45</v>
      </c>
      <c r="K28" s="8"/>
      <c r="L28" s="8"/>
      <c r="M28" s="8"/>
      <c r="N28" s="8"/>
      <c r="O28" s="8"/>
      <c r="P28" s="8"/>
      <c r="Q28" s="8"/>
      <c r="R28" s="8"/>
      <c r="S28" s="8">
        <v>0.65</v>
      </c>
      <c r="T28" s="8">
        <v>0.9</v>
      </c>
      <c r="U28" s="8">
        <v>0.98</v>
      </c>
      <c r="V28" s="8"/>
    </row>
    <row r="29" spans="1:22" ht="13">
      <c r="A29" s="50">
        <v>19</v>
      </c>
      <c r="B29" s="16" t="s">
        <v>94</v>
      </c>
      <c r="C29" s="8">
        <v>0.7</v>
      </c>
      <c r="D29" s="8">
        <v>0.96</v>
      </c>
      <c r="E29" s="2">
        <v>0.96199999999999997</v>
      </c>
      <c r="F29" s="8">
        <v>0.4</v>
      </c>
      <c r="H29" s="8">
        <v>0.40900000000000097</v>
      </c>
      <c r="I29" s="8">
        <v>0.99450000000000005</v>
      </c>
      <c r="J29" s="8">
        <v>0.45</v>
      </c>
      <c r="K29" s="8"/>
      <c r="L29" s="8"/>
      <c r="M29" s="8"/>
      <c r="N29" s="8"/>
      <c r="O29" s="8"/>
      <c r="P29" s="8"/>
      <c r="Q29" s="8"/>
      <c r="R29" s="8"/>
      <c r="S29" s="8">
        <v>0.7</v>
      </c>
      <c r="T29" s="8">
        <v>0.96</v>
      </c>
      <c r="U29" s="8">
        <v>0.99450000000000005</v>
      </c>
      <c r="V29" s="8"/>
    </row>
    <row r="30" spans="1:22" ht="13">
      <c r="A30" s="50">
        <v>20</v>
      </c>
      <c r="B30" s="16" t="s">
        <v>95</v>
      </c>
      <c r="C30" s="8">
        <v>0.75</v>
      </c>
      <c r="D30" s="8">
        <v>0.98</v>
      </c>
      <c r="E30" s="2">
        <v>0.98299999999999998</v>
      </c>
      <c r="F30" s="8">
        <v>0.4</v>
      </c>
      <c r="G30" s="53"/>
      <c r="H30" s="8"/>
      <c r="I30" s="8">
        <v>0.99990000000000001</v>
      </c>
      <c r="J30" s="8">
        <v>0.45</v>
      </c>
      <c r="K30" s="8"/>
      <c r="L30" s="8"/>
      <c r="M30" s="8"/>
      <c r="N30" s="8"/>
      <c r="O30" s="8"/>
      <c r="P30" s="8"/>
      <c r="Q30" s="8"/>
      <c r="R30" s="8"/>
      <c r="S30" s="8">
        <v>0.75</v>
      </c>
      <c r="T30" s="8">
        <v>0.98</v>
      </c>
      <c r="U30" s="8">
        <v>0.99990000000000001</v>
      </c>
      <c r="V30" s="8"/>
    </row>
    <row r="31" spans="1:22" ht="13">
      <c r="A31" s="50">
        <v>21</v>
      </c>
      <c r="B31" s="16" t="s">
        <v>96</v>
      </c>
      <c r="C31" s="8">
        <v>0.8</v>
      </c>
      <c r="D31" s="8">
        <v>0.99</v>
      </c>
      <c r="E31" s="2">
        <v>0.995</v>
      </c>
      <c r="F31" s="8">
        <v>0.4</v>
      </c>
      <c r="G31" s="53"/>
      <c r="H31" s="8"/>
      <c r="I31" s="8">
        <v>0.99990000000000001</v>
      </c>
      <c r="J31" s="8">
        <v>0.45</v>
      </c>
      <c r="K31" s="8"/>
      <c r="L31" s="8"/>
      <c r="M31" s="8"/>
      <c r="N31" s="8"/>
      <c r="O31" s="8"/>
      <c r="P31" s="8"/>
      <c r="Q31" s="8"/>
      <c r="R31" s="8"/>
      <c r="S31" s="8">
        <v>0.8</v>
      </c>
      <c r="T31" s="8">
        <v>0.99</v>
      </c>
      <c r="U31" s="8">
        <v>0.99990000000000001</v>
      </c>
      <c r="V31" s="8"/>
    </row>
    <row r="32" spans="1:22" ht="13">
      <c r="A32" s="50">
        <v>22</v>
      </c>
      <c r="B32" s="16" t="s">
        <v>97</v>
      </c>
      <c r="C32" s="8">
        <v>0.85</v>
      </c>
      <c r="D32" s="8">
        <v>0.996</v>
      </c>
      <c r="E32" s="2">
        <v>0.999</v>
      </c>
      <c r="F32" s="8">
        <v>0.4</v>
      </c>
      <c r="G32" s="53"/>
      <c r="H32" s="8"/>
      <c r="I32" s="8">
        <v>0.99990000000000001</v>
      </c>
      <c r="J32" s="8">
        <v>0.45</v>
      </c>
      <c r="K32" s="8"/>
      <c r="L32" s="8"/>
      <c r="M32" s="8"/>
      <c r="N32" s="8"/>
      <c r="O32" s="8"/>
      <c r="P32" s="8"/>
      <c r="Q32" s="8"/>
      <c r="R32" s="8"/>
      <c r="S32" s="8">
        <v>0.85</v>
      </c>
      <c r="T32" s="8">
        <v>0.996</v>
      </c>
      <c r="U32" s="8">
        <v>0.99990000000000001</v>
      </c>
      <c r="V32" s="8"/>
    </row>
    <row r="33" spans="1:36" ht="13">
      <c r="A33" s="50">
        <v>23</v>
      </c>
      <c r="B33" s="16" t="s">
        <v>98</v>
      </c>
      <c r="C33" s="8">
        <v>0.9</v>
      </c>
      <c r="D33" s="8">
        <v>0.99750000000000005</v>
      </c>
      <c r="E33" s="8">
        <v>0.99994000000000005</v>
      </c>
      <c r="F33" s="8">
        <v>0.4</v>
      </c>
      <c r="G33" s="53"/>
      <c r="H33" s="8"/>
      <c r="I33" s="8">
        <v>0.99990000000000001</v>
      </c>
      <c r="J33" s="8">
        <v>0.45</v>
      </c>
      <c r="K33" s="8"/>
      <c r="L33" s="8"/>
      <c r="M33" s="8"/>
      <c r="N33" s="8"/>
      <c r="O33" s="8"/>
      <c r="P33" s="8"/>
      <c r="Q33" s="8"/>
      <c r="R33" s="8"/>
      <c r="S33" s="8">
        <v>0.9</v>
      </c>
      <c r="T33" s="8">
        <v>0.99750000000000005</v>
      </c>
      <c r="U33" s="8">
        <v>0.99990000000000001</v>
      </c>
      <c r="V33" s="8"/>
    </row>
    <row r="34" spans="1:36" ht="13">
      <c r="A34" s="50">
        <v>24</v>
      </c>
      <c r="B34" s="8" t="s">
        <v>99</v>
      </c>
      <c r="C34" s="8">
        <v>1</v>
      </c>
      <c r="D34" s="8">
        <v>0.99870000000000003</v>
      </c>
      <c r="E34" s="8">
        <v>0.99999000000000005</v>
      </c>
      <c r="F34" s="8">
        <v>0.4</v>
      </c>
      <c r="G34" s="54"/>
      <c r="H34" s="8"/>
      <c r="I34" s="8">
        <v>0.99990000000000001</v>
      </c>
      <c r="J34" s="8">
        <v>0.45</v>
      </c>
      <c r="K34" s="8"/>
      <c r="L34" s="8"/>
      <c r="M34" s="8"/>
      <c r="N34" s="8"/>
      <c r="O34" s="8"/>
      <c r="P34" s="8"/>
      <c r="Q34" s="8"/>
      <c r="R34" s="8"/>
      <c r="S34" s="8">
        <v>1</v>
      </c>
      <c r="T34" s="8">
        <v>0.99870000000000003</v>
      </c>
      <c r="U34" s="8">
        <v>0.99990000000000001</v>
      </c>
      <c r="V34" s="8"/>
    </row>
    <row r="35" spans="1:36" ht="13">
      <c r="C35" s="55"/>
      <c r="D35" s="55"/>
      <c r="E35" s="55"/>
      <c r="F35" s="55"/>
      <c r="G35" s="55"/>
      <c r="H35" s="55"/>
      <c r="I35" s="55"/>
      <c r="J35" s="55"/>
      <c r="K35" s="55"/>
      <c r="L35" s="55"/>
      <c r="M35" s="55"/>
      <c r="N35" s="55"/>
      <c r="O35" s="8"/>
      <c r="P35" s="8"/>
      <c r="Q35" s="8"/>
      <c r="R35" s="8"/>
      <c r="S35" s="8"/>
      <c r="T35" s="8"/>
      <c r="U35" s="8"/>
      <c r="V35" s="8"/>
      <c r="W35" s="8"/>
      <c r="X35" s="8"/>
      <c r="Y35" s="8"/>
      <c r="Z35" s="8"/>
      <c r="AA35" s="8"/>
      <c r="AB35" s="8"/>
      <c r="AC35" s="8"/>
      <c r="AD35" s="8"/>
      <c r="AE35" s="8"/>
      <c r="AF35" s="8"/>
      <c r="AG35" s="8"/>
      <c r="AH35" s="8"/>
      <c r="AI35" s="8"/>
      <c r="AJ35" s="8"/>
    </row>
    <row r="36" spans="1:36" ht="13">
      <c r="A36" s="8"/>
      <c r="B36" s="8"/>
      <c r="C36" s="55"/>
      <c r="D36" s="55"/>
      <c r="E36" s="55"/>
      <c r="F36" s="55"/>
      <c r="G36" s="55"/>
      <c r="H36" s="55"/>
      <c r="I36" s="55"/>
      <c r="J36" s="55"/>
      <c r="K36" s="55"/>
      <c r="L36" s="55"/>
      <c r="M36" s="55"/>
      <c r="N36" s="55"/>
      <c r="O36" s="8"/>
      <c r="P36" s="8"/>
      <c r="Q36" s="8"/>
      <c r="R36" s="8"/>
      <c r="S36" s="8"/>
      <c r="T36" s="8"/>
      <c r="U36" s="8"/>
      <c r="V36" s="8"/>
      <c r="W36" s="8"/>
      <c r="X36" s="8"/>
      <c r="Y36" s="8"/>
      <c r="Z36" s="8"/>
      <c r="AA36" s="8"/>
      <c r="AB36" s="8"/>
      <c r="AC36" s="8"/>
      <c r="AD36" s="8"/>
      <c r="AE36" s="8"/>
      <c r="AF36" s="8"/>
      <c r="AG36" s="8"/>
      <c r="AH36" s="8"/>
      <c r="AI36" s="8"/>
      <c r="AJ36" s="8"/>
    </row>
    <row r="37" spans="1:36" ht="13">
      <c r="A37" s="8"/>
      <c r="B37" s="8"/>
      <c r="C37" s="55"/>
      <c r="D37" s="55"/>
      <c r="E37" s="55"/>
      <c r="F37" s="55"/>
      <c r="G37" s="55"/>
      <c r="H37" s="55"/>
      <c r="I37" s="55"/>
      <c r="J37" s="55"/>
      <c r="K37" s="55"/>
      <c r="L37" s="55"/>
      <c r="M37" s="55"/>
      <c r="N37" s="55"/>
      <c r="O37" s="8"/>
      <c r="P37" s="8"/>
      <c r="Q37" s="8"/>
      <c r="R37" s="8"/>
      <c r="S37" s="8"/>
      <c r="T37" s="8"/>
      <c r="U37" s="8"/>
      <c r="V37" s="8"/>
      <c r="W37" s="8"/>
      <c r="X37" s="8"/>
      <c r="Y37" s="8"/>
      <c r="Z37" s="8"/>
      <c r="AA37" s="8"/>
      <c r="AB37" s="8"/>
      <c r="AC37" s="8"/>
      <c r="AD37" s="8"/>
      <c r="AE37" s="8"/>
      <c r="AF37" s="8"/>
      <c r="AG37" s="8"/>
      <c r="AH37" s="8"/>
      <c r="AI37" s="8"/>
      <c r="AJ37" s="8"/>
    </row>
    <row r="38" spans="1:36" ht="29.25" customHeight="1">
      <c r="A38" s="8"/>
      <c r="B38" s="56"/>
      <c r="C38" s="12" t="s">
        <v>141</v>
      </c>
      <c r="D38" s="57" t="s">
        <v>142</v>
      </c>
      <c r="E38" s="57"/>
      <c r="F38" s="57"/>
      <c r="G38" s="12"/>
      <c r="H38" s="57"/>
      <c r="I38" s="57"/>
      <c r="J38" s="57"/>
      <c r="K38" s="57"/>
      <c r="L38" s="57"/>
      <c r="M38" s="57"/>
      <c r="N38" s="57"/>
      <c r="O38" s="16"/>
      <c r="P38" s="8"/>
      <c r="Q38" s="8"/>
      <c r="R38" s="8"/>
      <c r="S38" s="8"/>
      <c r="T38" s="8"/>
      <c r="U38" s="8"/>
      <c r="V38" s="8"/>
      <c r="W38" s="8"/>
      <c r="X38" s="8"/>
      <c r="Y38" s="8"/>
      <c r="Z38" s="8"/>
      <c r="AA38" s="8"/>
      <c r="AB38" s="8"/>
      <c r="AC38" s="8"/>
      <c r="AD38" s="8"/>
      <c r="AE38" s="8"/>
      <c r="AF38" s="8"/>
      <c r="AG38" s="8"/>
      <c r="AH38" s="8"/>
      <c r="AI38" s="8"/>
      <c r="AJ38" s="8"/>
    </row>
    <row r="39" spans="1:36" ht="70">
      <c r="A39" s="55"/>
      <c r="B39" s="49" t="s">
        <v>58</v>
      </c>
      <c r="C39" s="12" t="s">
        <v>59</v>
      </c>
      <c r="D39" s="12" t="s">
        <v>143</v>
      </c>
      <c r="E39" s="13" t="s">
        <v>144</v>
      </c>
      <c r="F39" s="13" t="s">
        <v>145</v>
      </c>
      <c r="G39" s="13" t="s">
        <v>146</v>
      </c>
      <c r="H39" s="13" t="s">
        <v>147</v>
      </c>
      <c r="I39" s="13" t="s">
        <v>148</v>
      </c>
      <c r="J39" s="13" t="s">
        <v>149</v>
      </c>
      <c r="K39" s="13" t="s">
        <v>150</v>
      </c>
      <c r="L39" s="13" t="s">
        <v>151</v>
      </c>
      <c r="M39" s="13" t="s">
        <v>145</v>
      </c>
      <c r="N39" s="13" t="s">
        <v>152</v>
      </c>
      <c r="O39" s="12" t="s">
        <v>153</v>
      </c>
      <c r="P39" s="8"/>
      <c r="Q39" s="8"/>
      <c r="R39" s="8"/>
      <c r="S39" s="8"/>
      <c r="T39" s="8"/>
      <c r="U39" s="8"/>
      <c r="V39" s="8" t="s">
        <v>154</v>
      </c>
      <c r="W39" s="8" t="s">
        <v>59</v>
      </c>
      <c r="X39" s="47" t="s">
        <v>155</v>
      </c>
      <c r="Y39" s="2" t="s">
        <v>150</v>
      </c>
      <c r="Z39" s="8" t="s">
        <v>151</v>
      </c>
      <c r="AA39" s="47" t="s">
        <v>156</v>
      </c>
      <c r="AB39" s="47" t="s">
        <v>157</v>
      </c>
      <c r="AC39" s="47" t="s">
        <v>158</v>
      </c>
      <c r="AD39" s="47" t="s">
        <v>159</v>
      </c>
      <c r="AE39" s="47" t="s">
        <v>160</v>
      </c>
      <c r="AF39" s="8"/>
      <c r="AG39" s="8" t="s">
        <v>133</v>
      </c>
      <c r="AH39" s="8" t="s">
        <v>134</v>
      </c>
      <c r="AI39" s="8" t="s">
        <v>135</v>
      </c>
      <c r="AJ39" s="8"/>
    </row>
    <row r="40" spans="1:36" ht="13">
      <c r="A40" s="58"/>
      <c r="B40" s="50">
        <v>1</v>
      </c>
      <c r="C40" s="16" t="s">
        <v>75</v>
      </c>
      <c r="D40" s="17">
        <v>1.4247000000000001E-6</v>
      </c>
      <c r="E40" s="43">
        <f t="shared" ref="E40:E44" si="0">5.367655*D40+0.092809</f>
        <v>9.2816647298078508E-2</v>
      </c>
      <c r="F40" s="18">
        <f t="shared" ref="F40:F64" si="1">E40*100</f>
        <v>9.2816647298078507</v>
      </c>
      <c r="G40" s="33">
        <f t="shared" ref="G40:G64" si="2">E40*1023</f>
        <v>94.951430185934313</v>
      </c>
      <c r="H40" s="59">
        <v>1.42470035797691E-6</v>
      </c>
      <c r="I40" s="60"/>
      <c r="J40" s="61"/>
      <c r="K40" s="61">
        <f t="shared" ref="K40:K45" si="3">H40*4.5</f>
        <v>6.4111516108960949E-6</v>
      </c>
      <c r="L40" s="62"/>
      <c r="M40" s="63">
        <f t="shared" ref="M40:M55" si="4">L40*100</f>
        <v>0</v>
      </c>
      <c r="N40" s="63">
        <f t="shared" ref="N40:N55" si="5">L40*1023</f>
        <v>0</v>
      </c>
      <c r="O40" s="16" t="s">
        <v>161</v>
      </c>
      <c r="P40" s="8"/>
      <c r="Q40" s="64" t="s">
        <v>162</v>
      </c>
      <c r="R40" s="8"/>
      <c r="S40" s="8"/>
      <c r="T40" s="8"/>
      <c r="U40" s="8"/>
      <c r="V40" s="65"/>
      <c r="W40" s="8" t="s">
        <v>163</v>
      </c>
      <c r="X40" s="8">
        <v>1.6E-2</v>
      </c>
      <c r="Y40" s="66">
        <v>3.3289103888285631E-3</v>
      </c>
      <c r="Z40" s="52">
        <v>1.4980096749728534E-2</v>
      </c>
      <c r="AA40" s="67">
        <v>9.2816647298078508E-2</v>
      </c>
      <c r="AB40" s="8">
        <f t="shared" ref="AB40:AB55" si="6">Z40^2.4</f>
        <v>4.1805659972086953E-5</v>
      </c>
      <c r="AC40" s="68">
        <f t="shared" ref="AC40:AC55" si="7">X40*1023</f>
        <v>16.368000000000002</v>
      </c>
      <c r="AD40" s="8">
        <v>1.6E-2</v>
      </c>
      <c r="AE40" s="68">
        <f t="shared" ref="AE40:AE55" si="8">AD40*1023</f>
        <v>16.368000000000002</v>
      </c>
      <c r="AF40" s="8"/>
      <c r="AG40" s="8">
        <v>0</v>
      </c>
      <c r="AH40" s="8">
        <v>1.6E-2</v>
      </c>
      <c r="AI40" s="2">
        <v>1.6E-2</v>
      </c>
      <c r="AJ40" s="8"/>
    </row>
    <row r="41" spans="1:36" ht="13">
      <c r="A41" s="58"/>
      <c r="B41" s="50">
        <v>2</v>
      </c>
      <c r="C41" s="16" t="s">
        <v>76</v>
      </c>
      <c r="D41" s="17">
        <v>7.0312499999999997E-4</v>
      </c>
      <c r="E41" s="43">
        <f t="shared" si="0"/>
        <v>9.6583132421874995E-2</v>
      </c>
      <c r="F41" s="18">
        <f t="shared" si="1"/>
        <v>9.6583132421875</v>
      </c>
      <c r="G41" s="33">
        <f t="shared" si="2"/>
        <v>98.804544467578125</v>
      </c>
      <c r="H41" s="43">
        <v>7.0312499965068402E-4</v>
      </c>
      <c r="I41" s="61"/>
      <c r="J41" s="61"/>
      <c r="K41" s="61">
        <f t="shared" si="3"/>
        <v>3.1640624984280779E-3</v>
      </c>
      <c r="L41" s="62"/>
      <c r="M41" s="63">
        <f t="shared" si="4"/>
        <v>0</v>
      </c>
      <c r="N41" s="63">
        <f t="shared" si="5"/>
        <v>0</v>
      </c>
      <c r="O41" s="16" t="s">
        <v>164</v>
      </c>
      <c r="P41" s="8"/>
      <c r="Q41" s="56" t="s">
        <v>165</v>
      </c>
      <c r="R41" s="8"/>
      <c r="S41" s="8"/>
      <c r="T41" s="8"/>
      <c r="U41" s="8"/>
      <c r="V41" s="17">
        <v>7.0312499999999997E-4</v>
      </c>
      <c r="W41" s="8" t="s">
        <v>166</v>
      </c>
      <c r="X41" s="8">
        <v>1.7000000000000001E-2</v>
      </c>
      <c r="Y41" s="66">
        <v>3.6623773344927248E-3</v>
      </c>
      <c r="Z41" s="52">
        <v>1.6480698005217263E-2</v>
      </c>
      <c r="AA41" s="67">
        <v>9.6583132421874995E-2</v>
      </c>
      <c r="AB41" s="8">
        <f t="shared" si="6"/>
        <v>5.2570419585110999E-5</v>
      </c>
      <c r="AC41" s="68">
        <f t="shared" si="7"/>
        <v>17.391000000000002</v>
      </c>
      <c r="AD41" s="8">
        <v>1.61E-2</v>
      </c>
      <c r="AE41" s="68">
        <f t="shared" si="8"/>
        <v>16.470299999999998</v>
      </c>
      <c r="AF41" s="8"/>
      <c r="AG41" s="8">
        <v>0.05</v>
      </c>
      <c r="AH41" s="8">
        <v>1.7000000000000001E-2</v>
      </c>
      <c r="AI41" s="2">
        <v>1.61E-2</v>
      </c>
      <c r="AJ41" s="8"/>
    </row>
    <row r="42" spans="1:36" ht="13">
      <c r="A42" s="58"/>
      <c r="B42" s="50">
        <v>3</v>
      </c>
      <c r="C42" s="16" t="s">
        <v>77</v>
      </c>
      <c r="D42" s="17">
        <v>1.4062499999999999E-3</v>
      </c>
      <c r="E42" s="43">
        <f t="shared" si="0"/>
        <v>0.10035726484375</v>
      </c>
      <c r="F42" s="18">
        <f t="shared" si="1"/>
        <v>10.035726484375001</v>
      </c>
      <c r="G42" s="33">
        <f t="shared" si="2"/>
        <v>102.66548193515625</v>
      </c>
      <c r="H42" s="43">
        <v>1.4062499918493199E-3</v>
      </c>
      <c r="I42" s="61"/>
      <c r="J42" s="61"/>
      <c r="K42" s="61">
        <f t="shared" si="3"/>
        <v>6.3281249633219397E-3</v>
      </c>
      <c r="L42" s="62"/>
      <c r="M42" s="63">
        <f t="shared" si="4"/>
        <v>0</v>
      </c>
      <c r="N42" s="63">
        <f t="shared" si="5"/>
        <v>0</v>
      </c>
      <c r="O42" s="16" t="s">
        <v>167</v>
      </c>
      <c r="P42" s="8"/>
      <c r="Q42" s="8" t="s">
        <v>168</v>
      </c>
      <c r="R42" s="8"/>
      <c r="S42" s="8"/>
      <c r="T42" s="8"/>
      <c r="U42" s="8"/>
      <c r="V42" s="17">
        <v>1.4062499999999999E-3</v>
      </c>
      <c r="W42" s="8" t="s">
        <v>169</v>
      </c>
      <c r="X42" s="8">
        <v>1.9E-2</v>
      </c>
      <c r="Y42" s="66">
        <v>4.0152922402039272E-3</v>
      </c>
      <c r="Z42" s="52">
        <v>1.8068815080917674E-2</v>
      </c>
      <c r="AA42" s="67">
        <v>0.10035726484375</v>
      </c>
      <c r="AB42" s="8">
        <f t="shared" si="6"/>
        <v>6.5558833254320006E-5</v>
      </c>
      <c r="AC42" s="68">
        <f t="shared" si="7"/>
        <v>19.437000000000001</v>
      </c>
      <c r="AD42" s="8">
        <v>1.6199999999999999E-2</v>
      </c>
      <c r="AE42" s="68">
        <f t="shared" si="8"/>
        <v>16.572599999999998</v>
      </c>
      <c r="AF42" s="8"/>
      <c r="AG42" s="8">
        <v>0.1</v>
      </c>
      <c r="AH42" s="8">
        <v>1.9E-2</v>
      </c>
      <c r="AI42" s="2">
        <v>1.6199999999999999E-2</v>
      </c>
      <c r="AJ42" s="8"/>
    </row>
    <row r="43" spans="1:36" ht="13">
      <c r="A43" s="58"/>
      <c r="B43" s="50">
        <v>4</v>
      </c>
      <c r="C43" s="16" t="s">
        <v>78</v>
      </c>
      <c r="D43" s="17">
        <v>2.8124999999999999E-3</v>
      </c>
      <c r="E43" s="43">
        <f t="shared" si="0"/>
        <v>0.1079055296875</v>
      </c>
      <c r="F43" s="18">
        <f t="shared" si="1"/>
        <v>10.790552968749999</v>
      </c>
      <c r="G43" s="33">
        <f t="shared" si="2"/>
        <v>110.3873568703125</v>
      </c>
      <c r="H43" s="43">
        <v>2.8125000023287599E-3</v>
      </c>
      <c r="I43" s="61"/>
      <c r="J43" s="61"/>
      <c r="K43" s="61">
        <f t="shared" si="3"/>
        <v>1.265625001047942E-2</v>
      </c>
      <c r="L43" s="62"/>
      <c r="M43" s="63">
        <f t="shared" si="4"/>
        <v>0</v>
      </c>
      <c r="N43" s="63">
        <f t="shared" si="5"/>
        <v>0</v>
      </c>
      <c r="O43" s="16"/>
      <c r="P43" s="8"/>
      <c r="Q43" s="8" t="s">
        <v>170</v>
      </c>
      <c r="R43" s="8"/>
      <c r="S43" s="8"/>
      <c r="T43" s="8"/>
      <c r="U43" s="8"/>
      <c r="V43" s="17">
        <v>2.8124999999999999E-3</v>
      </c>
      <c r="W43" s="8" t="s">
        <v>171</v>
      </c>
      <c r="X43" s="8">
        <v>2.3E-2</v>
      </c>
      <c r="Y43" s="66">
        <v>4.778646252113784E-3</v>
      </c>
      <c r="Z43" s="52">
        <v>2.1503908134512029E-2</v>
      </c>
      <c r="AA43" s="67">
        <v>0.1079055296875</v>
      </c>
      <c r="AB43" s="8">
        <f t="shared" si="6"/>
        <v>9.9550111441128089E-5</v>
      </c>
      <c r="AC43" s="68">
        <f t="shared" si="7"/>
        <v>23.529</v>
      </c>
      <c r="AD43" s="8">
        <v>1.66E-2</v>
      </c>
      <c r="AE43" s="68">
        <f t="shared" si="8"/>
        <v>16.9818</v>
      </c>
      <c r="AF43" s="8"/>
      <c r="AG43" s="8">
        <v>0.15</v>
      </c>
      <c r="AH43" s="8">
        <v>2.3E-2</v>
      </c>
      <c r="AI43" s="2">
        <v>1.66E-2</v>
      </c>
      <c r="AJ43" s="8"/>
    </row>
    <row r="44" spans="1:36" ht="13">
      <c r="A44" s="58"/>
      <c r="B44" s="50">
        <v>5</v>
      </c>
      <c r="C44" s="16" t="s">
        <v>79</v>
      </c>
      <c r="D44" s="17">
        <v>5.6249999999999998E-3</v>
      </c>
      <c r="E44" s="43">
        <f t="shared" si="0"/>
        <v>0.123002059375</v>
      </c>
      <c r="F44" s="18">
        <f t="shared" si="1"/>
        <v>12.300205937499999</v>
      </c>
      <c r="G44" s="33">
        <f t="shared" si="2"/>
        <v>125.831106740625</v>
      </c>
      <c r="H44" s="43">
        <v>5.6250000046575198E-3</v>
      </c>
      <c r="I44" s="61"/>
      <c r="J44" s="61"/>
      <c r="K44" s="61">
        <f t="shared" si="3"/>
        <v>2.531250002095884E-2</v>
      </c>
      <c r="L44" s="62"/>
      <c r="M44" s="63">
        <f t="shared" si="4"/>
        <v>0</v>
      </c>
      <c r="N44" s="63">
        <f t="shared" si="5"/>
        <v>0</v>
      </c>
      <c r="O44" s="16"/>
      <c r="P44" s="8"/>
      <c r="Q44" s="8" t="s">
        <v>172</v>
      </c>
      <c r="R44" s="8"/>
      <c r="S44" s="8"/>
      <c r="T44" s="8"/>
      <c r="U44" s="8"/>
      <c r="V44" s="17">
        <v>5.6249999999999998E-3</v>
      </c>
      <c r="W44" s="8" t="s">
        <v>173</v>
      </c>
      <c r="X44" s="8">
        <v>0.03</v>
      </c>
      <c r="Y44" s="66">
        <v>6.5431928186497467E-3</v>
      </c>
      <c r="Z44" s="52">
        <v>2.9444367683923861E-2</v>
      </c>
      <c r="AA44" s="67">
        <v>0.123002059375</v>
      </c>
      <c r="AB44" s="8">
        <f t="shared" si="6"/>
        <v>2.1164370593699031E-4</v>
      </c>
      <c r="AC44" s="68">
        <f t="shared" si="7"/>
        <v>30.689999999999998</v>
      </c>
      <c r="AD44" s="8">
        <v>2.1999999999999999E-2</v>
      </c>
      <c r="AE44" s="68">
        <f t="shared" si="8"/>
        <v>22.506</v>
      </c>
      <c r="AF44" s="8"/>
      <c r="AG44" s="8">
        <v>0.2</v>
      </c>
      <c r="AH44" s="8">
        <v>0.03</v>
      </c>
      <c r="AI44" s="2">
        <v>2.1999999999999999E-2</v>
      </c>
      <c r="AJ44" s="8"/>
    </row>
    <row r="45" spans="1:36" ht="13">
      <c r="A45" s="58"/>
      <c r="B45" s="50">
        <v>6</v>
      </c>
      <c r="C45" s="16" t="s">
        <v>80</v>
      </c>
      <c r="D45" s="17">
        <v>1.125E-2</v>
      </c>
      <c r="E45" s="43">
        <f t="shared" ref="E45:E55" si="9">(0.24719*LOG10(5.555556*D45+0.052272))+0.385537</f>
        <v>0.15313785307294417</v>
      </c>
      <c r="F45" s="18">
        <f t="shared" si="1"/>
        <v>15.313785307294417</v>
      </c>
      <c r="G45" s="33">
        <f t="shared" si="2"/>
        <v>156.66002369362189</v>
      </c>
      <c r="H45" s="43">
        <v>1.12500000052065E-2</v>
      </c>
      <c r="I45" s="61"/>
      <c r="J45" s="61"/>
      <c r="K45" s="61">
        <f t="shared" si="3"/>
        <v>5.0625000023429248E-2</v>
      </c>
      <c r="L45" s="62"/>
      <c r="M45" s="63">
        <f t="shared" si="4"/>
        <v>0</v>
      </c>
      <c r="N45" s="63">
        <f t="shared" si="5"/>
        <v>0</v>
      </c>
      <c r="O45" s="16"/>
      <c r="P45" s="8"/>
      <c r="Q45" s="8" t="s">
        <v>174</v>
      </c>
      <c r="R45" s="8"/>
      <c r="S45" s="8" t="s">
        <v>149</v>
      </c>
      <c r="T45" s="8"/>
      <c r="U45" s="8"/>
      <c r="V45" s="17">
        <v>1.125E-2</v>
      </c>
      <c r="W45" s="8" t="s">
        <v>175</v>
      </c>
      <c r="X45" s="8">
        <v>0.05</v>
      </c>
      <c r="Y45" s="66">
        <v>1.1071287533726149E-2</v>
      </c>
      <c r="Z45" s="52">
        <v>4.982079390176767E-2</v>
      </c>
      <c r="AA45" s="67">
        <v>0.15313785307294417</v>
      </c>
      <c r="AB45" s="8">
        <f t="shared" si="6"/>
        <v>7.478001451687999E-4</v>
      </c>
      <c r="AC45" s="68">
        <f t="shared" si="7"/>
        <v>51.150000000000006</v>
      </c>
      <c r="AD45" s="8">
        <v>3.5000000000000003E-2</v>
      </c>
      <c r="AE45" s="68">
        <f t="shared" si="8"/>
        <v>35.805000000000007</v>
      </c>
      <c r="AF45" s="8"/>
      <c r="AG45" s="8">
        <v>0.25</v>
      </c>
      <c r="AH45" s="8">
        <v>0.05</v>
      </c>
      <c r="AI45" s="2">
        <v>3.5000000000000003E-2</v>
      </c>
      <c r="AJ45" s="8"/>
    </row>
    <row r="46" spans="1:36" ht="13">
      <c r="A46" s="58"/>
      <c r="B46" s="50">
        <v>7</v>
      </c>
      <c r="C46" s="16" t="s">
        <v>81</v>
      </c>
      <c r="D46" s="17">
        <v>2.2499999999999999E-2</v>
      </c>
      <c r="E46" s="43">
        <f t="shared" si="9"/>
        <v>0.199808363369783</v>
      </c>
      <c r="F46" s="18">
        <f t="shared" si="1"/>
        <v>19.9808363369783</v>
      </c>
      <c r="G46" s="33">
        <f t="shared" si="2"/>
        <v>204.40395572728801</v>
      </c>
      <c r="H46" s="43">
        <v>2.2500000008981402E-2</v>
      </c>
      <c r="I46" s="61"/>
      <c r="J46" s="61"/>
      <c r="K46" s="61" t="e">
        <f t="shared" ref="K46:K64" ca="1" si="10">1.099*pow(H46,0.45)-0.099</f>
        <v>#NAME?</v>
      </c>
      <c r="L46" s="62"/>
      <c r="M46" s="63">
        <f t="shared" si="4"/>
        <v>0</v>
      </c>
      <c r="N46" s="63">
        <f t="shared" si="5"/>
        <v>0</v>
      </c>
      <c r="O46" s="16"/>
      <c r="P46" s="8"/>
      <c r="Q46" s="2" t="s">
        <v>176</v>
      </c>
      <c r="R46" s="8"/>
      <c r="S46" s="2" t="s">
        <v>177</v>
      </c>
      <c r="T46" s="8"/>
      <c r="U46" s="8"/>
      <c r="V46" s="17">
        <v>2.2499999999999999E-2</v>
      </c>
      <c r="W46" s="8" t="s">
        <v>178</v>
      </c>
      <c r="X46" s="8">
        <v>0.08</v>
      </c>
      <c r="Y46" s="66">
        <v>2.0963934303026392E-2</v>
      </c>
      <c r="Z46" s="52">
        <v>9.4045840273372677E-2</v>
      </c>
      <c r="AA46" s="67">
        <v>0.199808363369783</v>
      </c>
      <c r="AB46" s="8">
        <f t="shared" si="6"/>
        <v>3.4356982892380082E-3</v>
      </c>
      <c r="AC46" s="68">
        <f t="shared" si="7"/>
        <v>81.84</v>
      </c>
      <c r="AD46" s="8">
        <v>0.06</v>
      </c>
      <c r="AE46" s="68">
        <f t="shared" si="8"/>
        <v>61.379999999999995</v>
      </c>
      <c r="AF46" s="8"/>
      <c r="AG46" s="8">
        <v>0.3</v>
      </c>
      <c r="AH46" s="8">
        <v>0.08</v>
      </c>
      <c r="AI46" s="2">
        <v>0.06</v>
      </c>
      <c r="AJ46" s="8"/>
    </row>
    <row r="47" spans="1:36" ht="13">
      <c r="A47" s="58"/>
      <c r="B47" s="50">
        <v>8</v>
      </c>
      <c r="C47" s="16" t="s">
        <v>82</v>
      </c>
      <c r="D47" s="17">
        <v>4.4999999999999998E-2</v>
      </c>
      <c r="E47" s="43">
        <f t="shared" si="9"/>
        <v>0.25709656883927079</v>
      </c>
      <c r="F47" s="18">
        <f t="shared" si="1"/>
        <v>25.709656883927078</v>
      </c>
      <c r="G47" s="33">
        <f t="shared" si="2"/>
        <v>263.00978992257404</v>
      </c>
      <c r="H47" s="43">
        <v>4.4999999980096697E-2</v>
      </c>
      <c r="I47" s="61"/>
      <c r="J47" s="61"/>
      <c r="K47" s="61" t="e">
        <f t="shared" ca="1" si="10"/>
        <v>#NAME?</v>
      </c>
      <c r="L47" s="62"/>
      <c r="M47" s="63">
        <f t="shared" si="4"/>
        <v>0</v>
      </c>
      <c r="N47" s="63">
        <f t="shared" si="5"/>
        <v>0</v>
      </c>
      <c r="O47" s="16"/>
      <c r="P47" s="8"/>
      <c r="Q47" s="8" t="s">
        <v>179</v>
      </c>
      <c r="R47" s="8"/>
      <c r="S47" s="8" t="s">
        <v>180</v>
      </c>
      <c r="T47" s="8"/>
      <c r="U47" s="8"/>
      <c r="V47" s="17">
        <v>4.4999999999999998E-2</v>
      </c>
      <c r="W47" s="8" t="s">
        <v>181</v>
      </c>
      <c r="X47" s="8">
        <v>0.15</v>
      </c>
      <c r="Y47" s="66">
        <v>3.8391145764572247E-2</v>
      </c>
      <c r="Z47" s="52">
        <v>0.15445547412916391</v>
      </c>
      <c r="AA47" s="67">
        <v>0.25709656883927079</v>
      </c>
      <c r="AB47" s="8">
        <f t="shared" si="6"/>
        <v>1.1301287722139938E-2</v>
      </c>
      <c r="AC47" s="68">
        <f t="shared" si="7"/>
        <v>153.44999999999999</v>
      </c>
      <c r="AD47" s="8">
        <v>0.13</v>
      </c>
      <c r="AE47" s="68">
        <f t="shared" si="8"/>
        <v>132.99</v>
      </c>
      <c r="AF47" s="8"/>
      <c r="AG47" s="8">
        <v>0.35</v>
      </c>
      <c r="AH47" s="8">
        <v>0.15</v>
      </c>
      <c r="AI47" s="2">
        <v>0.13</v>
      </c>
      <c r="AJ47" s="8"/>
    </row>
    <row r="48" spans="1:36" ht="13">
      <c r="A48" s="58"/>
      <c r="B48" s="50">
        <v>9</v>
      </c>
      <c r="C48" s="16" t="s">
        <v>83</v>
      </c>
      <c r="D48" s="17">
        <v>0.09</v>
      </c>
      <c r="E48" s="43">
        <f t="shared" si="9"/>
        <v>0.32179981407490377</v>
      </c>
      <c r="F48" s="18">
        <f t="shared" si="1"/>
        <v>32.179981407490374</v>
      </c>
      <c r="G48" s="33">
        <f t="shared" si="2"/>
        <v>329.20120979862656</v>
      </c>
      <c r="H48" s="43">
        <v>9.0000000023239102E-2</v>
      </c>
      <c r="I48" s="61"/>
      <c r="J48" s="61"/>
      <c r="K48" s="61" t="e">
        <f t="shared" ca="1" si="10"/>
        <v>#NAME?</v>
      </c>
      <c r="L48" s="62"/>
      <c r="M48" s="63">
        <f t="shared" si="4"/>
        <v>0</v>
      </c>
      <c r="N48" s="63">
        <f t="shared" si="5"/>
        <v>0</v>
      </c>
      <c r="O48" s="16"/>
      <c r="P48" s="8"/>
      <c r="Q48" s="8" t="s">
        <v>182</v>
      </c>
      <c r="R48" s="8"/>
      <c r="S48" s="2" t="s">
        <v>183</v>
      </c>
      <c r="T48" s="8"/>
      <c r="U48" s="8"/>
      <c r="V48" s="17">
        <v>0.09</v>
      </c>
      <c r="W48" s="8" t="s">
        <v>184</v>
      </c>
      <c r="X48" s="8">
        <v>0.25</v>
      </c>
      <c r="Y48" s="66">
        <v>6.5796969808354727E-2</v>
      </c>
      <c r="Z48" s="52">
        <v>0.22399094295367142</v>
      </c>
      <c r="AA48" s="67">
        <v>0.32179981407490377</v>
      </c>
      <c r="AB48" s="8">
        <f t="shared" si="6"/>
        <v>2.7577386085076771E-2</v>
      </c>
      <c r="AC48" s="68">
        <f t="shared" si="7"/>
        <v>255.75</v>
      </c>
      <c r="AD48" s="8">
        <v>0.245</v>
      </c>
      <c r="AE48" s="68">
        <f t="shared" si="8"/>
        <v>250.63499999999999</v>
      </c>
      <c r="AF48" s="8"/>
      <c r="AG48" s="8">
        <v>0.4</v>
      </c>
      <c r="AH48" s="8">
        <v>0.25</v>
      </c>
      <c r="AI48" s="2">
        <v>0.245</v>
      </c>
      <c r="AJ48" s="8"/>
    </row>
    <row r="49" spans="1:36" ht="13">
      <c r="A49" s="58"/>
      <c r="B49" s="50">
        <v>10</v>
      </c>
      <c r="C49" s="16" t="s">
        <v>84</v>
      </c>
      <c r="D49" s="69" t="e">
        <f ca="1">0.18*pow(2,-0.5)</f>
        <v>#NAME?</v>
      </c>
      <c r="E49" s="43" t="e">
        <f t="shared" ca="1" si="9"/>
        <v>#NAME?</v>
      </c>
      <c r="F49" s="18" t="e">
        <f t="shared" ca="1" si="1"/>
        <v>#NAME?</v>
      </c>
      <c r="G49" s="33" t="e">
        <f t="shared" ca="1" si="2"/>
        <v>#NAME?</v>
      </c>
      <c r="H49" s="70">
        <v>0.13499999995231701</v>
      </c>
      <c r="I49" s="61"/>
      <c r="J49" s="61"/>
      <c r="K49" s="61" t="e">
        <f t="shared" ca="1" si="10"/>
        <v>#NAME?</v>
      </c>
      <c r="L49" s="62"/>
      <c r="M49" s="63">
        <f t="shared" si="4"/>
        <v>0</v>
      </c>
      <c r="N49" s="63">
        <f t="shared" si="5"/>
        <v>0</v>
      </c>
      <c r="O49" s="16"/>
      <c r="P49" s="8"/>
      <c r="R49" s="8"/>
      <c r="S49" s="2" t="s">
        <v>185</v>
      </c>
      <c r="T49" s="8"/>
      <c r="U49" s="8"/>
      <c r="V49" s="17">
        <v>0.13500000000000001</v>
      </c>
      <c r="W49" s="8" t="s">
        <v>186</v>
      </c>
      <c r="X49" s="8">
        <v>0.3</v>
      </c>
      <c r="Y49" s="66">
        <v>8.7211360938362792E-2</v>
      </c>
      <c r="Z49" s="52">
        <v>0.26765327717279974</v>
      </c>
      <c r="AA49" s="67">
        <v>0.36188627303544685</v>
      </c>
      <c r="AB49" s="8">
        <f t="shared" si="6"/>
        <v>4.22838142868317E-2</v>
      </c>
      <c r="AC49" s="68">
        <f t="shared" si="7"/>
        <v>306.89999999999998</v>
      </c>
      <c r="AD49" s="8">
        <v>0.29299999999999998</v>
      </c>
      <c r="AE49" s="68">
        <f t="shared" si="8"/>
        <v>299.73899999999998</v>
      </c>
      <c r="AF49" s="8"/>
      <c r="AG49" s="8">
        <v>0.41666499999999995</v>
      </c>
      <c r="AH49" s="8">
        <v>0.3</v>
      </c>
      <c r="AI49" s="2">
        <v>0.29299999999999998</v>
      </c>
      <c r="AJ49" s="8"/>
    </row>
    <row r="50" spans="1:36" ht="15">
      <c r="A50" s="58"/>
      <c r="B50" s="50">
        <v>11</v>
      </c>
      <c r="C50" s="43" t="s">
        <v>85</v>
      </c>
      <c r="D50" s="69" t="e">
        <f ca="1">0.18*pow(2,-0.1)</f>
        <v>#NAME?</v>
      </c>
      <c r="E50" s="43" t="e">
        <f t="shared" ca="1" si="9"/>
        <v>#NAME?</v>
      </c>
      <c r="F50" s="71" t="e">
        <f t="shared" ca="1" si="1"/>
        <v>#NAME?</v>
      </c>
      <c r="G50" s="72" t="e">
        <f t="shared" ca="1" si="2"/>
        <v>#NAME?</v>
      </c>
      <c r="H50" s="43">
        <v>0.16794593840327701</v>
      </c>
      <c r="I50" s="61"/>
      <c r="J50" s="61"/>
      <c r="K50" s="61" t="e">
        <f t="shared" ca="1" si="10"/>
        <v>#NAME?</v>
      </c>
      <c r="L50" s="62"/>
      <c r="M50" s="63">
        <f t="shared" si="4"/>
        <v>0</v>
      </c>
      <c r="N50" s="63">
        <f t="shared" si="5"/>
        <v>0</v>
      </c>
      <c r="O50" s="16"/>
      <c r="P50" s="8"/>
      <c r="Q50" s="8" t="s">
        <v>187</v>
      </c>
      <c r="R50" s="8"/>
      <c r="S50" s="2" t="s">
        <v>188</v>
      </c>
      <c r="T50" s="8"/>
      <c r="U50" s="8"/>
      <c r="V50" s="69">
        <v>0.16794593847662501</v>
      </c>
      <c r="W50" s="8" t="s">
        <v>189</v>
      </c>
      <c r="X50" s="8">
        <v>0.34</v>
      </c>
      <c r="Y50" s="66">
        <v>0.10052014158395485</v>
      </c>
      <c r="Z50" s="52">
        <v>0.29185132057911367</v>
      </c>
      <c r="AA50" s="67">
        <v>0.38394774524439712</v>
      </c>
      <c r="AB50" s="8">
        <f t="shared" si="6"/>
        <v>5.2046075887755637E-2</v>
      </c>
      <c r="AC50" s="68">
        <f t="shared" si="7"/>
        <v>347.82000000000005</v>
      </c>
      <c r="AD50" s="8">
        <v>0.35199999999999998</v>
      </c>
      <c r="AE50" s="68">
        <f t="shared" si="8"/>
        <v>360.096</v>
      </c>
      <c r="AF50" s="8"/>
      <c r="AG50" s="8">
        <v>0.43333000000000005</v>
      </c>
      <c r="AH50" s="8">
        <v>0.34</v>
      </c>
      <c r="AI50" s="2">
        <v>0.35199999999999998</v>
      </c>
      <c r="AJ50" s="8"/>
    </row>
    <row r="51" spans="1:36" ht="13">
      <c r="A51" s="58"/>
      <c r="B51" s="50">
        <v>12</v>
      </c>
      <c r="C51" s="16" t="s">
        <v>86</v>
      </c>
      <c r="D51" s="17">
        <v>0.18</v>
      </c>
      <c r="E51" s="43">
        <f t="shared" si="9"/>
        <v>0.39100683203408376</v>
      </c>
      <c r="F51" s="18">
        <f t="shared" si="1"/>
        <v>39.100683203408373</v>
      </c>
      <c r="G51" s="33">
        <f t="shared" si="2"/>
        <v>399.99998917086771</v>
      </c>
      <c r="H51" s="43">
        <v>0.17999999993986401</v>
      </c>
      <c r="I51" s="61"/>
      <c r="J51" s="61"/>
      <c r="K51" s="61" t="e">
        <f t="shared" ca="1" si="10"/>
        <v>#NAME?</v>
      </c>
      <c r="L51" s="62"/>
      <c r="M51" s="63">
        <f t="shared" si="4"/>
        <v>0</v>
      </c>
      <c r="N51" s="63">
        <f t="shared" si="5"/>
        <v>0</v>
      </c>
      <c r="O51" s="16"/>
      <c r="P51" s="8"/>
      <c r="Q51" s="8" t="s">
        <v>190</v>
      </c>
      <c r="R51" s="8"/>
      <c r="S51" s="2" t="s">
        <v>191</v>
      </c>
      <c r="T51" s="8"/>
      <c r="U51" s="8"/>
      <c r="V51" s="17">
        <v>0.18</v>
      </c>
      <c r="W51" s="8" t="s">
        <v>192</v>
      </c>
      <c r="X51" s="8">
        <v>0.4</v>
      </c>
      <c r="Y51" s="66">
        <v>0.10501284634141843</v>
      </c>
      <c r="Z51" s="52">
        <v>0.29961788998206162</v>
      </c>
      <c r="AA51" s="67">
        <v>0.39100683203408376</v>
      </c>
      <c r="AB51" s="8">
        <f t="shared" si="6"/>
        <v>5.5432259184143656E-2</v>
      </c>
      <c r="AC51" s="68">
        <f t="shared" si="7"/>
        <v>409.20000000000005</v>
      </c>
      <c r="AD51" s="8">
        <v>0.4</v>
      </c>
      <c r="AE51" s="68">
        <f t="shared" si="8"/>
        <v>409.20000000000005</v>
      </c>
      <c r="AF51" s="8"/>
      <c r="AG51" s="8">
        <v>0.45</v>
      </c>
      <c r="AH51" s="8">
        <v>0.4</v>
      </c>
      <c r="AI51" s="2">
        <v>0.4</v>
      </c>
      <c r="AJ51" s="8"/>
    </row>
    <row r="52" spans="1:36" ht="15">
      <c r="A52" s="58"/>
      <c r="B52" s="50">
        <v>13</v>
      </c>
      <c r="C52" s="43" t="s">
        <v>87</v>
      </c>
      <c r="D52" s="69">
        <v>0.206765703899466</v>
      </c>
      <c r="E52" s="43">
        <f t="shared" si="9"/>
        <v>0.40519659431697863</v>
      </c>
      <c r="F52" s="71">
        <f t="shared" si="1"/>
        <v>40.51965943169786</v>
      </c>
      <c r="G52" s="72">
        <f t="shared" si="2"/>
        <v>414.51611598626914</v>
      </c>
      <c r="H52" s="43">
        <v>0.20676570386527601</v>
      </c>
      <c r="I52" s="61"/>
      <c r="J52" s="61"/>
      <c r="K52" s="61" t="e">
        <f t="shared" ca="1" si="10"/>
        <v>#NAME?</v>
      </c>
      <c r="L52" s="62"/>
      <c r="M52" s="63">
        <f t="shared" si="4"/>
        <v>0</v>
      </c>
      <c r="N52" s="63">
        <f t="shared" si="5"/>
        <v>0</v>
      </c>
      <c r="O52" s="16"/>
      <c r="P52" s="8"/>
      <c r="Q52" s="2" t="s">
        <v>193</v>
      </c>
      <c r="R52" s="8"/>
      <c r="T52" s="8"/>
      <c r="U52" s="8"/>
      <c r="V52" s="69">
        <v>0.206765703899466</v>
      </c>
      <c r="W52" s="8" t="s">
        <v>194</v>
      </c>
      <c r="X52" s="8">
        <v>0.44</v>
      </c>
      <c r="Y52" s="66">
        <v>0.11439258851914508</v>
      </c>
      <c r="Z52" s="52">
        <v>0.31526356839430725</v>
      </c>
      <c r="AA52" s="67">
        <v>0.40519659431697863</v>
      </c>
      <c r="AB52" s="8">
        <f t="shared" si="6"/>
        <v>6.2635000989334E-2</v>
      </c>
      <c r="AC52" s="68">
        <f t="shared" si="7"/>
        <v>450.12</v>
      </c>
      <c r="AD52" s="8">
        <v>0.44</v>
      </c>
      <c r="AE52" s="68">
        <f t="shared" si="8"/>
        <v>450.12</v>
      </c>
      <c r="AF52" s="8"/>
      <c r="AG52" s="8">
        <v>0.466665</v>
      </c>
      <c r="AH52" s="8">
        <v>0.44</v>
      </c>
      <c r="AI52" s="2">
        <v>0.44</v>
      </c>
      <c r="AJ52" s="8"/>
    </row>
    <row r="53" spans="1:36" ht="13">
      <c r="A53" s="58"/>
      <c r="B53" s="50">
        <v>14</v>
      </c>
      <c r="C53" s="16" t="s">
        <v>88</v>
      </c>
      <c r="D53" s="17">
        <f>0.18*2^0.5</f>
        <v>0.2545584412271571</v>
      </c>
      <c r="E53" s="43">
        <f t="shared" si="9"/>
        <v>0.42663921560894336</v>
      </c>
      <c r="F53" s="18">
        <f t="shared" si="1"/>
        <v>42.663921560894337</v>
      </c>
      <c r="G53" s="33">
        <f t="shared" si="2"/>
        <v>436.45191756794907</v>
      </c>
      <c r="H53" s="43">
        <v>0.25455844120516602</v>
      </c>
      <c r="I53" s="61"/>
      <c r="J53" s="61"/>
      <c r="K53" s="61" t="e">
        <f t="shared" ca="1" si="10"/>
        <v>#NAME?</v>
      </c>
      <c r="L53" s="62"/>
      <c r="M53" s="63">
        <f t="shared" si="4"/>
        <v>0</v>
      </c>
      <c r="N53" s="63">
        <f t="shared" si="5"/>
        <v>0</v>
      </c>
      <c r="O53" s="16"/>
      <c r="P53" s="8"/>
      <c r="Q53" s="2" t="s">
        <v>195</v>
      </c>
      <c r="R53" s="8"/>
      <c r="S53" s="8" t="s">
        <v>196</v>
      </c>
      <c r="T53" s="8"/>
      <c r="U53" s="8"/>
      <c r="V53" s="17">
        <f>0.18*2^0.5</f>
        <v>0.2545584412271571</v>
      </c>
      <c r="W53" s="8" t="s">
        <v>197</v>
      </c>
      <c r="X53" s="8">
        <v>0.49</v>
      </c>
      <c r="Y53" s="66">
        <v>0.12946305567134628</v>
      </c>
      <c r="Z53" s="52">
        <v>0.33898912402844184</v>
      </c>
      <c r="AA53" s="67">
        <v>0.42663921560894336</v>
      </c>
      <c r="AB53" s="8">
        <f t="shared" si="6"/>
        <v>7.454968887840864E-2</v>
      </c>
      <c r="AC53" s="68">
        <f t="shared" si="7"/>
        <v>501.27</v>
      </c>
      <c r="AD53" s="8">
        <v>0.51</v>
      </c>
      <c r="AE53" s="68">
        <f t="shared" si="8"/>
        <v>521.73</v>
      </c>
      <c r="AF53" s="8"/>
      <c r="AG53" s="8">
        <v>0.48333000000000004</v>
      </c>
      <c r="AH53" s="8">
        <v>0.49</v>
      </c>
      <c r="AI53" s="2">
        <v>0.51</v>
      </c>
      <c r="AJ53" s="8"/>
    </row>
    <row r="54" spans="1:36" ht="13">
      <c r="A54" s="58"/>
      <c r="B54" s="50">
        <v>15</v>
      </c>
      <c r="C54" s="16" t="s">
        <v>89</v>
      </c>
      <c r="D54" s="17">
        <v>0.36</v>
      </c>
      <c r="E54" s="43">
        <f t="shared" si="9"/>
        <v>0.46271835822564766</v>
      </c>
      <c r="F54" s="18">
        <f t="shared" si="1"/>
        <v>46.271835822564768</v>
      </c>
      <c r="G54" s="33">
        <f t="shared" si="2"/>
        <v>473.36088046483758</v>
      </c>
      <c r="H54" s="43">
        <v>0.35999999991174397</v>
      </c>
      <c r="I54" s="61"/>
      <c r="J54" s="61"/>
      <c r="K54" s="61" t="e">
        <f t="shared" ca="1" si="10"/>
        <v>#NAME?</v>
      </c>
      <c r="L54" s="62"/>
      <c r="M54" s="63">
        <f t="shared" si="4"/>
        <v>0</v>
      </c>
      <c r="N54" s="63">
        <f t="shared" si="5"/>
        <v>0</v>
      </c>
      <c r="O54" s="16"/>
      <c r="P54" s="8"/>
      <c r="Q54" s="2" t="s">
        <v>198</v>
      </c>
      <c r="R54" s="8"/>
      <c r="S54" s="2" t="s">
        <v>199</v>
      </c>
      <c r="T54" s="8"/>
      <c r="U54" s="8"/>
      <c r="V54" s="17">
        <v>0.36</v>
      </c>
      <c r="W54" s="8" t="s">
        <v>200</v>
      </c>
      <c r="X54" s="8">
        <v>0.54</v>
      </c>
      <c r="Y54" s="66">
        <v>0.15731138433742256</v>
      </c>
      <c r="Z54" s="52">
        <v>0.37912313802512221</v>
      </c>
      <c r="AA54" s="67">
        <v>0.46271835822564766</v>
      </c>
      <c r="AB54" s="8">
        <f t="shared" si="6"/>
        <v>9.7515285574080485E-2</v>
      </c>
      <c r="AC54" s="68">
        <f t="shared" si="7"/>
        <v>552.42000000000007</v>
      </c>
      <c r="AD54" s="8">
        <v>0.56200000000000006</v>
      </c>
      <c r="AE54" s="68">
        <f t="shared" si="8"/>
        <v>574.92600000000004</v>
      </c>
      <c r="AF54" s="8"/>
      <c r="AG54" s="8">
        <v>0.5</v>
      </c>
      <c r="AH54" s="8">
        <v>0.54</v>
      </c>
      <c r="AI54" s="2">
        <v>0.56200000000000006</v>
      </c>
      <c r="AJ54" s="8"/>
    </row>
    <row r="55" spans="1:36" ht="13">
      <c r="A55" s="58"/>
      <c r="B55" s="50">
        <v>16</v>
      </c>
      <c r="C55" s="16" t="s">
        <v>90</v>
      </c>
      <c r="D55" s="17">
        <v>0.72</v>
      </c>
      <c r="E55" s="43">
        <f t="shared" si="9"/>
        <v>0.53575402262938099</v>
      </c>
      <c r="F55" s="18">
        <f t="shared" si="1"/>
        <v>53.575402262938098</v>
      </c>
      <c r="G55" s="33">
        <f t="shared" si="2"/>
        <v>548.07636514985677</v>
      </c>
      <c r="H55" s="43">
        <v>0.71999999980037099</v>
      </c>
      <c r="I55" s="61"/>
      <c r="J55" s="61"/>
      <c r="K55" s="61" t="e">
        <f t="shared" ca="1" si="10"/>
        <v>#NAME?</v>
      </c>
      <c r="L55" s="62"/>
      <c r="M55" s="63">
        <f t="shared" si="4"/>
        <v>0</v>
      </c>
      <c r="N55" s="63">
        <f t="shared" si="5"/>
        <v>0</v>
      </c>
      <c r="O55" s="16"/>
      <c r="P55" s="8"/>
      <c r="Q55" s="2" t="s">
        <v>201</v>
      </c>
      <c r="R55" s="8"/>
      <c r="S55" s="2" t="s">
        <v>202</v>
      </c>
      <c r="T55" s="8"/>
      <c r="U55" s="8"/>
      <c r="V55" s="17">
        <v>0.72</v>
      </c>
      <c r="W55" s="8" t="s">
        <v>203</v>
      </c>
      <c r="X55" s="8">
        <v>0.67</v>
      </c>
      <c r="Y55" s="66">
        <v>0.2236233027274877</v>
      </c>
      <c r="Z55" s="52">
        <v>0.46111908183362171</v>
      </c>
      <c r="AA55" s="67">
        <v>0.53575402262938099</v>
      </c>
      <c r="AB55" s="8">
        <f t="shared" si="6"/>
        <v>0.15600963706030674</v>
      </c>
      <c r="AC55" s="68">
        <f t="shared" si="7"/>
        <v>685.41000000000008</v>
      </c>
      <c r="AD55" s="8">
        <v>0.71499999999999997</v>
      </c>
      <c r="AE55" s="68">
        <f t="shared" si="8"/>
        <v>731.44499999999994</v>
      </c>
      <c r="AF55" s="8"/>
      <c r="AG55" s="8">
        <v>0.55000000000000004</v>
      </c>
      <c r="AH55" s="8">
        <v>0.67</v>
      </c>
      <c r="AI55" s="2">
        <v>0.71499999999999997</v>
      </c>
      <c r="AJ55" s="8"/>
    </row>
    <row r="56" spans="1:36" ht="13">
      <c r="A56" s="58"/>
      <c r="B56" s="50">
        <v>17</v>
      </c>
      <c r="C56" s="73" t="s">
        <v>91</v>
      </c>
      <c r="D56" s="74">
        <v>0.90004485786135058</v>
      </c>
      <c r="E56" s="43">
        <v>0.55943718694775635</v>
      </c>
      <c r="F56" s="18">
        <f t="shared" si="1"/>
        <v>55.943718694775633</v>
      </c>
      <c r="G56" s="33">
        <f t="shared" si="2"/>
        <v>572.30424224755473</v>
      </c>
      <c r="H56" s="43">
        <v>0.90004485786135058</v>
      </c>
      <c r="I56" s="61"/>
      <c r="J56" s="61"/>
      <c r="K56" s="61" t="e">
        <f t="shared" ca="1" si="10"/>
        <v>#NAME?</v>
      </c>
      <c r="L56" s="62"/>
      <c r="M56" s="63"/>
      <c r="N56" s="63"/>
      <c r="O56" s="73"/>
      <c r="P56" s="8"/>
      <c r="Q56" s="8"/>
      <c r="R56" s="8"/>
      <c r="S56" s="2"/>
      <c r="T56" s="8"/>
      <c r="U56" s="8"/>
      <c r="V56" s="75"/>
      <c r="W56" s="8"/>
      <c r="X56" s="8"/>
      <c r="Y56" s="66"/>
      <c r="Z56" s="52"/>
      <c r="AA56" s="67"/>
      <c r="AB56" s="8"/>
      <c r="AC56" s="68"/>
      <c r="AD56" s="8"/>
      <c r="AE56" s="68"/>
      <c r="AF56" s="8"/>
      <c r="AG56" s="8"/>
      <c r="AH56" s="8"/>
      <c r="AI56" s="2"/>
      <c r="AJ56" s="8"/>
    </row>
    <row r="57" spans="1:36" ht="13">
      <c r="A57" s="58"/>
      <c r="B57" s="50">
        <v>18</v>
      </c>
      <c r="C57" s="73" t="s">
        <v>204</v>
      </c>
      <c r="D57" s="2">
        <v>0.99997838212899148</v>
      </c>
      <c r="E57" s="43">
        <v>0.5706292589793156</v>
      </c>
      <c r="F57" s="76">
        <f t="shared" si="1"/>
        <v>57.062925897931564</v>
      </c>
      <c r="G57" s="77">
        <f t="shared" si="2"/>
        <v>583.75373193583982</v>
      </c>
      <c r="H57" s="43">
        <v>0.99997838212899159</v>
      </c>
      <c r="I57" s="61"/>
      <c r="J57" s="61"/>
      <c r="K57" s="61" t="e">
        <f t="shared" ca="1" si="10"/>
        <v>#NAME?</v>
      </c>
      <c r="L57" s="62"/>
      <c r="M57" s="63">
        <f t="shared" ref="M57:M64" si="11">L57*100</f>
        <v>0</v>
      </c>
      <c r="N57" s="63">
        <f t="shared" ref="N57:N64" si="12">L57*1023</f>
        <v>0</v>
      </c>
      <c r="O57" s="73" t="s">
        <v>205</v>
      </c>
      <c r="P57" s="8"/>
      <c r="Q57" s="8" t="s">
        <v>206</v>
      </c>
      <c r="R57" s="8"/>
      <c r="S57" s="2" t="s">
        <v>207</v>
      </c>
      <c r="T57" s="8"/>
      <c r="U57" s="8"/>
      <c r="V57" s="75"/>
      <c r="W57" s="8"/>
      <c r="X57" s="8"/>
      <c r="Y57" s="66">
        <v>0.24808090053615989</v>
      </c>
      <c r="Z57" s="52">
        <v>0.48790078554348693</v>
      </c>
      <c r="AA57" s="67">
        <v>0.55943189172988572</v>
      </c>
      <c r="AB57" s="8">
        <f t="shared" ref="AB57:AB65" si="13">Z57^2.4</f>
        <v>0.17864696466317653</v>
      </c>
      <c r="AC57" s="68"/>
      <c r="AD57" s="8"/>
      <c r="AE57" s="68">
        <f t="shared" ref="AE57:AE64" si="14">AD57*1023</f>
        <v>0</v>
      </c>
      <c r="AF57" s="8"/>
      <c r="AG57" s="8">
        <v>0.6</v>
      </c>
      <c r="AH57" s="8">
        <v>0.81</v>
      </c>
      <c r="AI57" s="2">
        <v>0.83299999999999996</v>
      </c>
      <c r="AJ57" s="8"/>
    </row>
    <row r="58" spans="1:36" ht="13">
      <c r="A58" s="58"/>
      <c r="B58" s="50">
        <v>19</v>
      </c>
      <c r="C58" s="16" t="s">
        <v>92</v>
      </c>
      <c r="D58" s="17">
        <v>1.44</v>
      </c>
      <c r="E58" s="43">
        <f t="shared" ref="E58:E64" si="15">(0.24719*LOG10(5.555556*D58+0.052272))+0.385537</f>
        <v>0.60947098688109358</v>
      </c>
      <c r="F58" s="18">
        <f t="shared" si="1"/>
        <v>60.947098688109357</v>
      </c>
      <c r="G58" s="33">
        <f t="shared" si="2"/>
        <v>623.48881957935873</v>
      </c>
      <c r="H58" s="78">
        <v>1.44000000025526</v>
      </c>
      <c r="I58" s="61"/>
      <c r="J58" s="61"/>
      <c r="K58" s="61" t="e">
        <f t="shared" ca="1" si="10"/>
        <v>#NAME?</v>
      </c>
      <c r="L58" s="62"/>
      <c r="M58" s="63">
        <f t="shared" si="11"/>
        <v>0</v>
      </c>
      <c r="N58" s="63">
        <f t="shared" si="12"/>
        <v>0</v>
      </c>
      <c r="O58" s="16"/>
      <c r="P58" s="8"/>
      <c r="Q58" s="8" t="s">
        <v>208</v>
      </c>
      <c r="R58" s="8"/>
      <c r="S58" s="8" t="s">
        <v>209</v>
      </c>
      <c r="T58" s="8"/>
      <c r="U58" s="8"/>
      <c r="V58" s="17">
        <v>1.44</v>
      </c>
      <c r="W58" s="8" t="s">
        <v>210</v>
      </c>
      <c r="X58" s="8">
        <v>0.81</v>
      </c>
      <c r="Y58" s="66">
        <v>0.30471040705601249</v>
      </c>
      <c r="Z58" s="52">
        <v>0.54479406948422704</v>
      </c>
      <c r="AA58" s="67">
        <v>0.60947098688109358</v>
      </c>
      <c r="AB58" s="8">
        <f t="shared" si="13"/>
        <v>0.23278644664121922</v>
      </c>
      <c r="AC58" s="68">
        <f t="shared" ref="AC58:AC64" si="16">X58*1023</f>
        <v>828.63000000000011</v>
      </c>
      <c r="AD58" s="8">
        <v>0.83299999999999996</v>
      </c>
      <c r="AE58" s="68">
        <f t="shared" si="14"/>
        <v>852.15899999999999</v>
      </c>
      <c r="AF58" s="8"/>
      <c r="AG58" s="8">
        <v>0.65</v>
      </c>
      <c r="AH58" s="8">
        <v>0.9</v>
      </c>
      <c r="AI58" s="2">
        <v>0.91800000000000004</v>
      </c>
      <c r="AJ58" s="8"/>
    </row>
    <row r="59" spans="1:36" ht="13">
      <c r="A59" s="58"/>
      <c r="B59" s="50">
        <v>20</v>
      </c>
      <c r="C59" s="16" t="s">
        <v>93</v>
      </c>
      <c r="D59" s="17">
        <v>2.88</v>
      </c>
      <c r="E59" s="43">
        <f t="shared" si="15"/>
        <v>0.68353357848909568</v>
      </c>
      <c r="F59" s="18">
        <f t="shared" si="1"/>
        <v>68.353357848909567</v>
      </c>
      <c r="G59" s="33">
        <f t="shared" si="2"/>
        <v>699.25485079434486</v>
      </c>
      <c r="H59" s="78">
        <v>2.8800000002934798</v>
      </c>
      <c r="I59" s="61"/>
      <c r="J59" s="61"/>
      <c r="K59" s="61" t="e">
        <f t="shared" ca="1" si="10"/>
        <v>#NAME?</v>
      </c>
      <c r="L59" s="62"/>
      <c r="M59" s="63">
        <f t="shared" si="11"/>
        <v>0</v>
      </c>
      <c r="N59" s="63">
        <f t="shared" si="12"/>
        <v>0</v>
      </c>
      <c r="O59" s="16"/>
      <c r="P59" s="8"/>
      <c r="Q59" s="8"/>
      <c r="R59" s="8"/>
      <c r="S59" s="8"/>
      <c r="T59" s="8"/>
      <c r="U59" s="8"/>
      <c r="V59" s="17">
        <v>2.88</v>
      </c>
      <c r="W59" s="8" t="s">
        <v>211</v>
      </c>
      <c r="X59" s="8">
        <v>0.9</v>
      </c>
      <c r="Y59" s="66">
        <v>0.40125794977475127</v>
      </c>
      <c r="Z59" s="52">
        <v>0.62968249190466585</v>
      </c>
      <c r="AA59" s="67">
        <v>0.68353357848909568</v>
      </c>
      <c r="AB59" s="8">
        <f t="shared" si="13"/>
        <v>0.32952766679208995</v>
      </c>
      <c r="AC59" s="68">
        <f t="shared" si="16"/>
        <v>920.7</v>
      </c>
      <c r="AD59" s="8">
        <v>0.91800000000000004</v>
      </c>
      <c r="AE59" s="68">
        <f t="shared" si="14"/>
        <v>939.11400000000003</v>
      </c>
      <c r="AF59" s="8"/>
      <c r="AG59" s="8">
        <v>0.7</v>
      </c>
      <c r="AH59" s="8">
        <v>0.96</v>
      </c>
      <c r="AI59" s="2">
        <v>0.96199999999999997</v>
      </c>
      <c r="AJ59" s="8"/>
    </row>
    <row r="60" spans="1:36" ht="13">
      <c r="A60" s="58"/>
      <c r="B60" s="50">
        <v>21</v>
      </c>
      <c r="C60" s="16" t="s">
        <v>94</v>
      </c>
      <c r="D60" s="17">
        <v>5.76</v>
      </c>
      <c r="E60" s="43">
        <f t="shared" si="15"/>
        <v>0.75777025018314315</v>
      </c>
      <c r="F60" s="18">
        <f t="shared" si="1"/>
        <v>75.777025018314319</v>
      </c>
      <c r="G60" s="33">
        <f t="shared" si="2"/>
        <v>775.19896593735541</v>
      </c>
      <c r="H60" s="43">
        <v>5.7600000009059196</v>
      </c>
      <c r="I60" s="61"/>
      <c r="J60" s="61"/>
      <c r="K60" s="61" t="e">
        <f t="shared" ca="1" si="10"/>
        <v>#NAME?</v>
      </c>
      <c r="L60" s="62"/>
      <c r="M60" s="63">
        <f t="shared" si="11"/>
        <v>0</v>
      </c>
      <c r="N60" s="63">
        <f t="shared" si="12"/>
        <v>0</v>
      </c>
      <c r="O60" s="16"/>
      <c r="P60" s="8"/>
      <c r="Q60" s="8" t="s">
        <v>212</v>
      </c>
      <c r="R60" s="8"/>
      <c r="S60" s="8"/>
      <c r="T60" s="8"/>
      <c r="U60" s="8"/>
      <c r="V60" s="17">
        <v>5.76</v>
      </c>
      <c r="W60" s="8" t="s">
        <v>213</v>
      </c>
      <c r="X60" s="2">
        <v>0.96</v>
      </c>
      <c r="Y60" s="66">
        <v>0.51391361372499977</v>
      </c>
      <c r="Z60" s="52">
        <v>0.71551342625611392</v>
      </c>
      <c r="AA60" s="79">
        <v>0.75777025018314315</v>
      </c>
      <c r="AB60" s="8">
        <f t="shared" si="13"/>
        <v>0.44779855723073486</v>
      </c>
      <c r="AC60" s="68">
        <f t="shared" si="16"/>
        <v>982.07999999999993</v>
      </c>
      <c r="AD60" s="8">
        <v>0.96199999999999997</v>
      </c>
      <c r="AE60" s="68">
        <f t="shared" si="14"/>
        <v>984.12599999999998</v>
      </c>
      <c r="AF60" s="8"/>
      <c r="AG60" s="8">
        <v>0.75</v>
      </c>
      <c r="AH60" s="8">
        <v>0.98</v>
      </c>
      <c r="AI60" s="2">
        <v>0.98299999999999998</v>
      </c>
      <c r="AJ60" s="8"/>
    </row>
    <row r="61" spans="1:36" ht="13">
      <c r="A61" s="58"/>
      <c r="B61" s="50">
        <v>22</v>
      </c>
      <c r="C61" s="16" t="s">
        <v>95</v>
      </c>
      <c r="D61" s="17">
        <v>11.52</v>
      </c>
      <c r="E61" s="43">
        <f t="shared" si="15"/>
        <v>0.83209428133255159</v>
      </c>
      <c r="F61" s="18">
        <f t="shared" si="1"/>
        <v>83.209428133255159</v>
      </c>
      <c r="G61" s="33">
        <f t="shared" si="2"/>
        <v>851.23244980320032</v>
      </c>
      <c r="H61" s="80">
        <v>11.519999996504</v>
      </c>
      <c r="I61" s="61"/>
      <c r="J61" s="61"/>
      <c r="K61" s="61" t="e">
        <f t="shared" ca="1" si="10"/>
        <v>#NAME?</v>
      </c>
      <c r="L61" s="62"/>
      <c r="M61" s="63">
        <f t="shared" si="11"/>
        <v>0</v>
      </c>
      <c r="N61" s="63">
        <f t="shared" si="12"/>
        <v>0</v>
      </c>
      <c r="O61" s="16" t="s">
        <v>214</v>
      </c>
      <c r="P61" s="8"/>
      <c r="Q61" s="8" t="s">
        <v>215</v>
      </c>
      <c r="R61" s="8"/>
      <c r="S61" s="8"/>
      <c r="T61" s="8"/>
      <c r="U61" s="8"/>
      <c r="V61" s="17">
        <v>11.52</v>
      </c>
      <c r="W61" s="8" t="s">
        <v>216</v>
      </c>
      <c r="X61" s="8">
        <v>0.98</v>
      </c>
      <c r="Y61" s="66">
        <v>0.64330079701900256</v>
      </c>
      <c r="Z61" s="52">
        <v>0.80212291295494897</v>
      </c>
      <c r="AA61" s="67">
        <v>0.83209428133255159</v>
      </c>
      <c r="AB61" s="8">
        <f t="shared" si="13"/>
        <v>0.58908533802001528</v>
      </c>
      <c r="AC61" s="68">
        <f t="shared" si="16"/>
        <v>1002.54</v>
      </c>
      <c r="AD61" s="8">
        <v>0.98299999999999998</v>
      </c>
      <c r="AE61" s="68">
        <f t="shared" si="14"/>
        <v>1005.609</v>
      </c>
      <c r="AF61" s="8"/>
      <c r="AG61" s="8">
        <v>0.8</v>
      </c>
      <c r="AH61" s="8">
        <v>0.99</v>
      </c>
      <c r="AI61" s="2">
        <v>0.995</v>
      </c>
      <c r="AJ61" s="8"/>
    </row>
    <row r="62" spans="1:36" ht="13">
      <c r="A62" s="58"/>
      <c r="B62" s="50">
        <v>23</v>
      </c>
      <c r="C62" s="16" t="s">
        <v>96</v>
      </c>
      <c r="D62" s="17">
        <v>23.04</v>
      </c>
      <c r="E62" s="43">
        <f t="shared" si="15"/>
        <v>0.90646207241747478</v>
      </c>
      <c r="F62" s="18">
        <f t="shared" si="1"/>
        <v>90.646207241747476</v>
      </c>
      <c r="G62" s="33">
        <f t="shared" si="2"/>
        <v>927.31070008307665</v>
      </c>
      <c r="H62" s="80">
        <v>23.039999996248</v>
      </c>
      <c r="I62" s="61"/>
      <c r="J62" s="61"/>
      <c r="K62" s="61" t="e">
        <f t="shared" ca="1" si="10"/>
        <v>#NAME?</v>
      </c>
      <c r="L62" s="62"/>
      <c r="M62" s="63">
        <f t="shared" si="11"/>
        <v>0</v>
      </c>
      <c r="N62" s="63">
        <f t="shared" si="12"/>
        <v>0</v>
      </c>
      <c r="O62" s="16" t="s">
        <v>217</v>
      </c>
      <c r="P62" s="8"/>
      <c r="Q62" s="8" t="s">
        <v>218</v>
      </c>
      <c r="R62" s="8"/>
      <c r="S62" s="8" t="s">
        <v>219</v>
      </c>
      <c r="T62" s="8"/>
      <c r="U62" s="8"/>
      <c r="V62" s="17">
        <v>23.04</v>
      </c>
      <c r="W62" s="8" t="s">
        <v>220</v>
      </c>
      <c r="X62" s="8">
        <v>0.99</v>
      </c>
      <c r="Y62" s="66">
        <v>0.79002189857450322</v>
      </c>
      <c r="Z62" s="52">
        <v>0.8894058354353015</v>
      </c>
      <c r="AA62" s="67">
        <v>0.90646207241747478</v>
      </c>
      <c r="AB62" s="8">
        <f t="shared" si="13"/>
        <v>0.75481398648587072</v>
      </c>
      <c r="AC62" s="68">
        <f t="shared" si="16"/>
        <v>1012.77</v>
      </c>
      <c r="AD62" s="8">
        <v>0.995</v>
      </c>
      <c r="AE62" s="68">
        <f t="shared" si="14"/>
        <v>1017.885</v>
      </c>
      <c r="AF62" s="8"/>
      <c r="AG62" s="8">
        <v>0.85</v>
      </c>
      <c r="AH62" s="8">
        <v>0.996</v>
      </c>
      <c r="AI62" s="2">
        <v>0.999</v>
      </c>
      <c r="AJ62" s="8"/>
    </row>
    <row r="63" spans="1:36" ht="13">
      <c r="A63" s="58"/>
      <c r="B63" s="50">
        <v>24</v>
      </c>
      <c r="C63" s="16" t="s">
        <v>97</v>
      </c>
      <c r="D63" s="17">
        <v>46.08</v>
      </c>
      <c r="E63" s="43">
        <f t="shared" si="15"/>
        <v>0.98085176356667592</v>
      </c>
      <c r="F63" s="18">
        <f t="shared" si="1"/>
        <v>98.085176356667588</v>
      </c>
      <c r="G63" s="33">
        <f t="shared" si="2"/>
        <v>1003.4113541287095</v>
      </c>
      <c r="H63" s="43">
        <v>46.080000014306798</v>
      </c>
      <c r="I63" s="61"/>
      <c r="J63" s="61"/>
      <c r="K63" s="61" t="e">
        <f t="shared" ca="1" si="10"/>
        <v>#NAME?</v>
      </c>
      <c r="L63" s="62"/>
      <c r="M63" s="63">
        <f t="shared" si="11"/>
        <v>0</v>
      </c>
      <c r="N63" s="63">
        <f t="shared" si="12"/>
        <v>0</v>
      </c>
      <c r="O63" s="16"/>
      <c r="P63" s="8"/>
      <c r="Q63" s="2" t="s">
        <v>176</v>
      </c>
      <c r="R63" s="8"/>
      <c r="S63" s="8"/>
      <c r="T63" s="8"/>
      <c r="U63" s="8"/>
      <c r="V63" s="17">
        <v>46.08</v>
      </c>
      <c r="W63" s="8" t="s">
        <v>221</v>
      </c>
      <c r="X63" s="8">
        <v>0.996</v>
      </c>
      <c r="Y63" s="66">
        <v>0.95465863568709142</v>
      </c>
      <c r="Z63" s="52">
        <v>0.97729008598649103</v>
      </c>
      <c r="AA63" s="67">
        <v>0.98085176356667592</v>
      </c>
      <c r="AB63" s="8">
        <f t="shared" si="13"/>
        <v>0.9463600173104848</v>
      </c>
      <c r="AC63" s="68">
        <f t="shared" si="16"/>
        <v>1018.908</v>
      </c>
      <c r="AD63" s="8">
        <v>0.999</v>
      </c>
      <c r="AE63" s="68">
        <f t="shared" si="14"/>
        <v>1021.977</v>
      </c>
      <c r="AF63" s="8"/>
      <c r="AG63" s="8">
        <v>0.9</v>
      </c>
      <c r="AH63" s="8">
        <v>0.99750000000000005</v>
      </c>
      <c r="AI63" s="8">
        <v>0.99994000000000005</v>
      </c>
      <c r="AJ63" s="8"/>
    </row>
    <row r="64" spans="1:36" ht="13">
      <c r="A64" s="58"/>
      <c r="B64" s="50">
        <v>25</v>
      </c>
      <c r="C64" s="16" t="s">
        <v>98</v>
      </c>
      <c r="D64" s="5">
        <f>0.18*2^9</f>
        <v>92.16</v>
      </c>
      <c r="E64" s="43">
        <f t="shared" si="15"/>
        <v>1.0552524097777298</v>
      </c>
      <c r="F64" s="18">
        <f t="shared" si="1"/>
        <v>105.52524097777298</v>
      </c>
      <c r="G64" s="33">
        <f t="shared" si="2"/>
        <v>1079.5232152026176</v>
      </c>
      <c r="H64" s="43">
        <v>92.160000190832704</v>
      </c>
      <c r="I64" s="61"/>
      <c r="J64" s="61"/>
      <c r="K64" s="61" t="e">
        <f t="shared" ca="1" si="10"/>
        <v>#NAME?</v>
      </c>
      <c r="L64" s="62"/>
      <c r="M64" s="63">
        <f t="shared" si="11"/>
        <v>0</v>
      </c>
      <c r="N64" s="63">
        <f t="shared" si="12"/>
        <v>0</v>
      </c>
      <c r="O64" s="43"/>
      <c r="P64" s="8"/>
      <c r="Q64" s="8" t="s">
        <v>222</v>
      </c>
      <c r="R64" s="8"/>
      <c r="S64" s="8"/>
      <c r="T64" s="8"/>
      <c r="U64" s="8"/>
      <c r="V64" s="5">
        <f>0.18*2^9</f>
        <v>92.16</v>
      </c>
      <c r="W64" s="8" t="s">
        <v>223</v>
      </c>
      <c r="X64" s="8">
        <v>0.99750000000000005</v>
      </c>
      <c r="Y64" s="66">
        <v>1.1377720115480516</v>
      </c>
      <c r="Z64" s="52">
        <v>1.0657227360093224</v>
      </c>
      <c r="AA64" s="67">
        <v>1.0552524097777298</v>
      </c>
      <c r="AB64" s="8">
        <f t="shared" si="13"/>
        <v>1.1650542663193442</v>
      </c>
      <c r="AC64" s="68">
        <f t="shared" si="16"/>
        <v>1020.4425000000001</v>
      </c>
      <c r="AD64" s="8">
        <v>0.99994000000000005</v>
      </c>
      <c r="AE64" s="68">
        <f t="shared" si="14"/>
        <v>1022.93862</v>
      </c>
      <c r="AF64" s="8"/>
      <c r="AG64" s="8">
        <v>1</v>
      </c>
      <c r="AH64" s="8">
        <v>0.99870000000000003</v>
      </c>
      <c r="AI64" s="8">
        <v>0.99999000000000005</v>
      </c>
      <c r="AJ64" s="8"/>
    </row>
    <row r="65" spans="1:36" ht="13">
      <c r="A65" s="8"/>
      <c r="B65" s="8"/>
      <c r="C65" s="8" t="s">
        <v>99</v>
      </c>
      <c r="D65" s="8"/>
      <c r="E65" s="8"/>
      <c r="F65" s="8"/>
      <c r="G65" s="8"/>
      <c r="H65" s="8"/>
      <c r="I65" s="8"/>
      <c r="J65" s="8"/>
      <c r="K65" s="61"/>
      <c r="L65" s="8"/>
      <c r="M65" s="8"/>
      <c r="N65" s="8"/>
      <c r="O65" s="8"/>
      <c r="P65" s="8"/>
      <c r="Q65" s="8"/>
      <c r="R65" s="8"/>
      <c r="S65" s="8"/>
      <c r="T65" s="8"/>
      <c r="U65" s="8"/>
      <c r="V65" s="8"/>
      <c r="W65" s="8" t="s">
        <v>224</v>
      </c>
      <c r="X65" s="8">
        <v>0.99870000000000003</v>
      </c>
      <c r="Y65" s="8"/>
      <c r="Z65" s="8"/>
      <c r="AA65" s="8"/>
      <c r="AB65" s="8">
        <f t="shared" si="13"/>
        <v>0</v>
      </c>
      <c r="AC65" s="8"/>
      <c r="AD65" s="8">
        <v>0.99999000000000005</v>
      </c>
      <c r="AE65" s="8"/>
      <c r="AF65" s="8"/>
      <c r="AG65" s="8"/>
      <c r="AJ65" s="8"/>
    </row>
    <row r="66" spans="1:36" ht="13">
      <c r="A66" s="81"/>
      <c r="B66" s="81"/>
      <c r="C66" s="81"/>
      <c r="D66" s="81"/>
      <c r="E66" s="81"/>
      <c r="F66" s="81"/>
      <c r="G66" s="81"/>
      <c r="H66" s="81"/>
      <c r="I66" s="81"/>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row>
    <row r="67" spans="1:36" ht="13">
      <c r="A67" s="8"/>
      <c r="B67" s="8"/>
      <c r="C67" s="16" t="s">
        <v>75</v>
      </c>
      <c r="D67" s="8"/>
      <c r="E67" s="43">
        <v>9.2816647298078508E-2</v>
      </c>
      <c r="F67" s="8"/>
      <c r="G67" s="8"/>
      <c r="H67" s="59">
        <v>1.42470035797691E-6</v>
      </c>
      <c r="I67" s="8"/>
      <c r="J67" s="8"/>
      <c r="K67" s="8"/>
      <c r="L67" s="8">
        <f t="shared" ref="L67:L72" si="17">H67*4.5</f>
        <v>6.4111516108960949E-6</v>
      </c>
      <c r="M67" s="8"/>
      <c r="N67" s="8"/>
      <c r="O67" s="8"/>
      <c r="P67" s="8"/>
      <c r="Q67" s="8"/>
      <c r="R67" s="8"/>
      <c r="S67" s="8"/>
      <c r="T67" s="8"/>
      <c r="U67" s="8"/>
      <c r="V67" s="8"/>
    </row>
    <row r="68" spans="1:36" ht="13">
      <c r="A68" s="58"/>
      <c r="B68" s="8"/>
      <c r="C68" s="16" t="s">
        <v>76</v>
      </c>
      <c r="D68" s="8"/>
      <c r="E68" s="43">
        <v>9.6583132421874995E-2</v>
      </c>
      <c r="F68" s="8"/>
      <c r="G68" s="8"/>
      <c r="H68" s="43">
        <v>7.0312499965068402E-4</v>
      </c>
      <c r="I68" s="8"/>
      <c r="J68" s="8"/>
      <c r="K68" s="8"/>
      <c r="L68" s="8">
        <f t="shared" si="17"/>
        <v>3.1640624984280779E-3</v>
      </c>
      <c r="M68" s="8"/>
      <c r="N68" s="8"/>
      <c r="O68" s="8"/>
      <c r="P68" s="8"/>
      <c r="Q68" s="8"/>
      <c r="R68" s="8"/>
      <c r="S68" s="8"/>
      <c r="T68" s="8"/>
      <c r="U68" s="8"/>
      <c r="V68" s="8"/>
    </row>
    <row r="69" spans="1:36" ht="13">
      <c r="A69" s="58"/>
      <c r="B69" s="8"/>
      <c r="C69" s="16" t="s">
        <v>77</v>
      </c>
      <c r="D69" s="8"/>
      <c r="E69" s="43">
        <v>0.10035726484375</v>
      </c>
      <c r="F69" s="8"/>
      <c r="G69" s="8"/>
      <c r="H69" s="43">
        <v>1.4062499918493199E-3</v>
      </c>
      <c r="I69" s="8"/>
      <c r="J69" s="8"/>
      <c r="K69" s="8"/>
      <c r="L69" s="8">
        <f t="shared" si="17"/>
        <v>6.3281249633219397E-3</v>
      </c>
      <c r="M69" s="8"/>
      <c r="N69" s="8"/>
      <c r="O69" s="8"/>
      <c r="P69" s="8"/>
      <c r="Q69" s="8"/>
      <c r="R69" s="8"/>
      <c r="S69" s="8"/>
      <c r="T69" s="8"/>
      <c r="U69" s="8"/>
      <c r="V69" s="8"/>
    </row>
    <row r="70" spans="1:36" ht="13">
      <c r="A70" s="58"/>
      <c r="B70" s="8"/>
      <c r="C70" s="16" t="s">
        <v>78</v>
      </c>
      <c r="D70" s="8"/>
      <c r="E70" s="43">
        <v>0.1079055296875</v>
      </c>
      <c r="F70" s="8"/>
      <c r="G70" s="8"/>
      <c r="H70" s="43">
        <v>2.8125000023287599E-3</v>
      </c>
      <c r="I70" s="8"/>
      <c r="J70" s="8"/>
      <c r="K70" s="8"/>
      <c r="L70" s="8">
        <f t="shared" si="17"/>
        <v>1.265625001047942E-2</v>
      </c>
      <c r="M70" s="8"/>
      <c r="N70" s="8"/>
      <c r="O70" s="8"/>
      <c r="P70" s="8"/>
      <c r="Q70" s="8"/>
      <c r="R70" s="8"/>
      <c r="S70" s="8"/>
      <c r="T70" s="8"/>
      <c r="U70" s="8"/>
      <c r="V70" s="8"/>
    </row>
    <row r="71" spans="1:36" ht="13">
      <c r="A71" s="58"/>
      <c r="B71" s="8"/>
      <c r="C71" s="16" t="s">
        <v>79</v>
      </c>
      <c r="D71" s="8"/>
      <c r="E71" s="43">
        <v>0.123002059375</v>
      </c>
      <c r="F71" s="8"/>
      <c r="G71" s="8"/>
      <c r="H71" s="43">
        <v>5.6250000046575198E-3</v>
      </c>
      <c r="I71" s="8"/>
      <c r="J71" s="8"/>
      <c r="K71" s="8"/>
      <c r="L71" s="8">
        <f t="shared" si="17"/>
        <v>2.531250002095884E-2</v>
      </c>
      <c r="M71" s="8"/>
      <c r="N71" s="8"/>
      <c r="O71" s="8"/>
      <c r="P71" s="8"/>
      <c r="Q71" s="8"/>
      <c r="R71" s="8"/>
      <c r="S71" s="8"/>
      <c r="T71" s="8"/>
      <c r="U71" s="8"/>
      <c r="V71" s="8"/>
    </row>
    <row r="72" spans="1:36" ht="13">
      <c r="A72" s="58"/>
      <c r="B72" s="8"/>
      <c r="C72" s="16" t="s">
        <v>80</v>
      </c>
      <c r="D72" s="8"/>
      <c r="E72" s="43">
        <v>0.15313785307294417</v>
      </c>
      <c r="F72" s="8"/>
      <c r="G72" s="8"/>
      <c r="H72" s="43">
        <v>1.12500000052065E-2</v>
      </c>
      <c r="I72" s="8"/>
      <c r="J72" s="8"/>
      <c r="K72" s="8"/>
      <c r="L72" s="8">
        <f t="shared" si="17"/>
        <v>5.0625000023429248E-2</v>
      </c>
      <c r="M72" s="8"/>
      <c r="N72" s="8"/>
      <c r="O72" s="8"/>
      <c r="P72" s="8"/>
      <c r="Q72" s="8"/>
      <c r="R72" s="8"/>
      <c r="S72" s="8"/>
      <c r="T72" s="8"/>
      <c r="U72" s="8"/>
      <c r="V72" s="8"/>
    </row>
    <row r="73" spans="1:36" ht="13">
      <c r="A73" s="58"/>
      <c r="B73" s="8"/>
      <c r="C73" s="16" t="s">
        <v>81</v>
      </c>
      <c r="D73" s="8"/>
      <c r="E73" s="43">
        <v>0.199808363369783</v>
      </c>
      <c r="F73" s="8"/>
      <c r="G73" s="8"/>
      <c r="H73" s="43">
        <v>2.2500000008981402E-2</v>
      </c>
      <c r="I73" s="8"/>
      <c r="J73" s="8"/>
      <c r="K73" s="8"/>
      <c r="L73" s="8" t="e">
        <f t="shared" ref="L73:L83" ca="1" si="18">1.099*pow(H73,0.45)-0.099</f>
        <v>#NAME?</v>
      </c>
      <c r="M73" s="8"/>
      <c r="N73" s="8"/>
      <c r="O73" s="8"/>
      <c r="P73" s="8"/>
      <c r="Q73" s="8"/>
      <c r="R73" s="8"/>
      <c r="S73" s="8"/>
      <c r="T73" s="8"/>
      <c r="U73" s="8"/>
      <c r="V73" s="8"/>
    </row>
    <row r="74" spans="1:36" ht="13">
      <c r="A74" s="58"/>
      <c r="B74" s="8"/>
      <c r="C74" s="16" t="s">
        <v>82</v>
      </c>
      <c r="D74" s="8"/>
      <c r="E74" s="43">
        <v>0.25709656883927079</v>
      </c>
      <c r="F74" s="8"/>
      <c r="G74" s="8"/>
      <c r="H74" s="43">
        <v>4.4999999980096697E-2</v>
      </c>
      <c r="I74" s="8"/>
      <c r="J74" s="8"/>
      <c r="K74" s="8"/>
      <c r="L74" s="8" t="e">
        <f t="shared" ca="1" si="18"/>
        <v>#NAME?</v>
      </c>
      <c r="M74" s="8"/>
      <c r="N74" s="8"/>
      <c r="O74" s="8"/>
      <c r="P74" s="8"/>
      <c r="Q74" s="8"/>
      <c r="R74" s="8"/>
      <c r="S74" s="8"/>
      <c r="T74" s="8"/>
      <c r="U74" s="8"/>
      <c r="V74" s="8"/>
    </row>
    <row r="75" spans="1:36" ht="13">
      <c r="A75" s="58"/>
      <c r="B75" s="8"/>
      <c r="C75" s="16" t="s">
        <v>83</v>
      </c>
      <c r="D75" s="8"/>
      <c r="E75" s="43">
        <v>0.32179981407490377</v>
      </c>
      <c r="F75" s="8"/>
      <c r="G75" s="8"/>
      <c r="H75" s="43">
        <v>9.0000000023239102E-2</v>
      </c>
      <c r="I75" s="8"/>
      <c r="J75" s="8"/>
      <c r="K75" s="8"/>
      <c r="L75" s="8" t="e">
        <f t="shared" ca="1" si="18"/>
        <v>#NAME?</v>
      </c>
      <c r="M75" s="8"/>
      <c r="N75" s="8"/>
      <c r="O75" s="8"/>
      <c r="P75" s="8"/>
      <c r="Q75" s="8"/>
      <c r="R75" s="8"/>
      <c r="S75" s="8"/>
      <c r="T75" s="8"/>
      <c r="U75" s="8"/>
      <c r="V75" s="8"/>
    </row>
    <row r="76" spans="1:36" ht="13">
      <c r="A76" s="58"/>
      <c r="B76" s="8"/>
      <c r="C76" s="16" t="s">
        <v>84</v>
      </c>
      <c r="D76" s="8"/>
      <c r="E76" s="43">
        <v>0.36188627303544685</v>
      </c>
      <c r="F76" s="8"/>
      <c r="G76" s="8"/>
      <c r="H76" s="70">
        <v>0.13499999995231701</v>
      </c>
      <c r="I76" s="8"/>
      <c r="J76" s="8"/>
      <c r="K76" s="8"/>
      <c r="L76" s="8" t="e">
        <f t="shared" ca="1" si="18"/>
        <v>#NAME?</v>
      </c>
      <c r="M76" s="8"/>
      <c r="N76" s="8"/>
      <c r="O76" s="8"/>
      <c r="P76" s="8"/>
      <c r="Q76" s="8"/>
      <c r="R76" s="8"/>
      <c r="S76" s="8"/>
      <c r="T76" s="8"/>
      <c r="U76" s="8"/>
      <c r="V76" s="8"/>
    </row>
    <row r="77" spans="1:36" ht="13">
      <c r="A77" s="58"/>
      <c r="B77" s="8"/>
      <c r="C77" s="43" t="s">
        <v>85</v>
      </c>
      <c r="D77" s="8"/>
      <c r="E77" s="43">
        <v>0.38394774524439712</v>
      </c>
      <c r="F77" s="8"/>
      <c r="G77" s="8"/>
      <c r="H77" s="43">
        <v>0.16794593840327701</v>
      </c>
      <c r="I77" s="8"/>
      <c r="J77" s="8"/>
      <c r="K77" s="8"/>
      <c r="L77" s="8" t="e">
        <f t="shared" ca="1" si="18"/>
        <v>#NAME?</v>
      </c>
      <c r="M77" s="8"/>
      <c r="N77" s="8"/>
      <c r="O77" s="8"/>
      <c r="P77" s="8"/>
      <c r="Q77" s="8"/>
      <c r="R77" s="8"/>
      <c r="S77" s="8"/>
      <c r="T77" s="8"/>
      <c r="U77" s="8"/>
      <c r="V77" s="8"/>
    </row>
    <row r="78" spans="1:36" ht="13">
      <c r="A78" s="58"/>
      <c r="B78" s="8"/>
      <c r="C78" s="16" t="s">
        <v>86</v>
      </c>
      <c r="D78" s="8"/>
      <c r="E78" s="43">
        <v>0.39100683203408376</v>
      </c>
      <c r="F78" s="8"/>
      <c r="G78" s="8"/>
      <c r="H78" s="43">
        <v>0.17999999993986401</v>
      </c>
      <c r="I78" s="8"/>
      <c r="J78" s="8"/>
      <c r="K78" s="8"/>
      <c r="L78" s="8" t="e">
        <f t="shared" ca="1" si="18"/>
        <v>#NAME?</v>
      </c>
      <c r="M78" s="8"/>
      <c r="N78" s="8"/>
      <c r="O78" s="8"/>
      <c r="P78" s="8"/>
      <c r="Q78" s="8"/>
      <c r="R78" s="8"/>
      <c r="S78" s="8"/>
      <c r="T78" s="8"/>
      <c r="U78" s="8"/>
      <c r="V78" s="8"/>
    </row>
    <row r="79" spans="1:36" ht="13">
      <c r="A79" s="58"/>
      <c r="B79" s="8"/>
      <c r="C79" s="43" t="s">
        <v>87</v>
      </c>
      <c r="D79" s="8"/>
      <c r="E79" s="43">
        <v>0.40519659431697863</v>
      </c>
      <c r="F79" s="8"/>
      <c r="G79" s="8"/>
      <c r="H79" s="43">
        <v>0.20676570386527601</v>
      </c>
      <c r="I79" s="8"/>
      <c r="J79" s="8"/>
      <c r="K79" s="8"/>
      <c r="L79" s="8" t="e">
        <f t="shared" ca="1" si="18"/>
        <v>#NAME?</v>
      </c>
      <c r="M79" s="8"/>
      <c r="N79" s="8"/>
      <c r="O79" s="8"/>
      <c r="P79" s="8"/>
      <c r="Q79" s="8"/>
      <c r="R79" s="8"/>
      <c r="S79" s="8"/>
      <c r="T79" s="8"/>
      <c r="U79" s="8"/>
      <c r="V79" s="8"/>
    </row>
    <row r="80" spans="1:36" ht="13">
      <c r="A80" s="58"/>
      <c r="B80" s="8"/>
      <c r="C80" s="16" t="s">
        <v>88</v>
      </c>
      <c r="D80" s="8"/>
      <c r="E80" s="43">
        <v>0.42663921560894336</v>
      </c>
      <c r="F80" s="8"/>
      <c r="G80" s="8"/>
      <c r="H80" s="43">
        <v>0.25455844120516602</v>
      </c>
      <c r="I80" s="8"/>
      <c r="J80" s="8"/>
      <c r="K80" s="8"/>
      <c r="L80" s="8" t="e">
        <f t="shared" ca="1" si="18"/>
        <v>#NAME?</v>
      </c>
      <c r="M80" s="8"/>
      <c r="N80" s="8"/>
      <c r="O80" s="8"/>
      <c r="P80" s="8"/>
      <c r="Q80" s="8"/>
      <c r="R80" s="8"/>
      <c r="S80" s="8"/>
      <c r="T80" s="8"/>
      <c r="U80" s="8"/>
      <c r="V80" s="8"/>
    </row>
    <row r="81" spans="1:22" ht="13">
      <c r="A81" s="58"/>
      <c r="B81" s="8"/>
      <c r="C81" s="16" t="s">
        <v>89</v>
      </c>
      <c r="D81" s="8"/>
      <c r="E81" s="43">
        <v>0.46271835822564766</v>
      </c>
      <c r="F81" s="8"/>
      <c r="G81" s="8"/>
      <c r="H81" s="43">
        <v>0.35999999991174397</v>
      </c>
      <c r="I81" s="8"/>
      <c r="J81" s="8"/>
      <c r="K81" s="8"/>
      <c r="L81" s="8" t="e">
        <f t="shared" ca="1" si="18"/>
        <v>#NAME?</v>
      </c>
      <c r="M81" s="8"/>
      <c r="N81" s="8"/>
      <c r="O81" s="8"/>
      <c r="P81" s="8"/>
      <c r="Q81" s="8"/>
      <c r="R81" s="8"/>
      <c r="S81" s="8"/>
      <c r="T81" s="8"/>
      <c r="U81" s="8"/>
      <c r="V81" s="8"/>
    </row>
    <row r="82" spans="1:22" ht="13">
      <c r="A82" s="58"/>
      <c r="B82" s="8"/>
      <c r="C82" s="16" t="s">
        <v>90</v>
      </c>
      <c r="D82" s="8"/>
      <c r="E82" s="43">
        <v>0.53575402262938099</v>
      </c>
      <c r="F82" s="8"/>
      <c r="G82" s="8"/>
      <c r="H82" s="43">
        <v>0.71999999980037099</v>
      </c>
      <c r="I82" s="8"/>
      <c r="J82" s="8"/>
      <c r="K82" s="8"/>
      <c r="L82" s="8" t="e">
        <f t="shared" ca="1" si="18"/>
        <v>#NAME?</v>
      </c>
      <c r="M82" s="8"/>
      <c r="N82" s="8"/>
      <c r="O82" s="8"/>
      <c r="P82" s="8"/>
      <c r="Q82" s="8"/>
      <c r="R82" s="8"/>
      <c r="S82" s="8"/>
      <c r="T82" s="8"/>
      <c r="U82" s="8"/>
      <c r="V82" s="8"/>
    </row>
    <row r="83" spans="1:22" ht="13">
      <c r="A83" s="58"/>
      <c r="B83" s="8"/>
      <c r="C83" s="73" t="s">
        <v>91</v>
      </c>
      <c r="D83" s="8">
        <v>0.90004485786135058</v>
      </c>
      <c r="E83" s="43">
        <v>0.55943718694775635</v>
      </c>
      <c r="F83" s="8"/>
      <c r="G83" s="8"/>
      <c r="H83" s="43">
        <v>0.89999999974683198</v>
      </c>
      <c r="I83" s="8" t="e">
        <f t="shared" ref="I83:I84" ca="1" si="19">(pow(10,(E83-0.385537)/0.24719)-0.052272)/5.555556</f>
        <v>#NAME?</v>
      </c>
      <c r="J83" s="8"/>
      <c r="K83" s="8"/>
      <c r="L83" s="8" t="e">
        <f t="shared" ca="1" si="18"/>
        <v>#NAME?</v>
      </c>
      <c r="M83" s="8"/>
      <c r="N83" s="8"/>
      <c r="O83" s="8"/>
      <c r="P83" s="8"/>
      <c r="Q83" s="8"/>
      <c r="R83" s="8"/>
      <c r="S83" s="8"/>
      <c r="T83" s="8"/>
      <c r="U83" s="8"/>
      <c r="V83" s="8"/>
    </row>
    <row r="84" spans="1:22" ht="13">
      <c r="A84" s="58"/>
      <c r="B84" s="8"/>
      <c r="C84" s="2" t="s">
        <v>204</v>
      </c>
      <c r="D84" s="2">
        <v>0.99997838212899148</v>
      </c>
      <c r="E84" s="2">
        <v>0.5706292589793156</v>
      </c>
      <c r="I84" s="8" t="e">
        <f t="shared" ca="1" si="19"/>
        <v>#NAME?</v>
      </c>
      <c r="M84" s="8"/>
      <c r="N84" s="8"/>
      <c r="O84" s="8"/>
      <c r="P84" s="8"/>
      <c r="Q84" s="8"/>
      <c r="R84" s="8"/>
      <c r="S84" s="8"/>
      <c r="T84" s="8"/>
      <c r="U84" s="8"/>
      <c r="V84" s="8"/>
    </row>
    <row r="85" spans="1:22" ht="13">
      <c r="A85" s="58"/>
      <c r="B85" s="8"/>
      <c r="C85" s="16" t="s">
        <v>92</v>
      </c>
      <c r="D85" s="8"/>
      <c r="E85" s="43">
        <v>0.60947098688109358</v>
      </c>
      <c r="F85" s="8"/>
      <c r="G85" s="8"/>
      <c r="H85" s="78">
        <v>1.44000000025526</v>
      </c>
      <c r="I85" s="8"/>
      <c r="J85" s="8"/>
      <c r="K85" s="8"/>
      <c r="L85" s="8" t="e">
        <f t="shared" ref="L85:L91" ca="1" si="20">1.099*pow(H85,0.45)-0.099</f>
        <v>#NAME?</v>
      </c>
      <c r="M85" s="8"/>
      <c r="N85" s="8"/>
      <c r="O85" s="8"/>
      <c r="P85" s="8"/>
      <c r="Q85" s="8"/>
      <c r="R85" s="8"/>
      <c r="S85" s="8"/>
      <c r="T85" s="8"/>
      <c r="U85" s="8"/>
      <c r="V85" s="8"/>
    </row>
    <row r="86" spans="1:22" ht="13">
      <c r="A86" s="58"/>
      <c r="B86" s="8"/>
      <c r="C86" s="16" t="s">
        <v>93</v>
      </c>
      <c r="D86" s="8"/>
      <c r="E86" s="43">
        <v>0.68353357848909568</v>
      </c>
      <c r="F86" s="8"/>
      <c r="G86" s="8"/>
      <c r="H86" s="78">
        <v>2.8800000002934798</v>
      </c>
      <c r="I86" s="8"/>
      <c r="J86" s="8"/>
      <c r="K86" s="8"/>
      <c r="L86" s="8" t="e">
        <f t="shared" ca="1" si="20"/>
        <v>#NAME?</v>
      </c>
      <c r="M86" s="8"/>
      <c r="N86" s="8"/>
      <c r="O86" s="8"/>
      <c r="P86" s="8"/>
      <c r="Q86" s="8"/>
      <c r="R86" s="8"/>
      <c r="S86" s="8"/>
      <c r="T86" s="8"/>
      <c r="U86" s="8"/>
      <c r="V86" s="8"/>
    </row>
    <row r="87" spans="1:22" ht="13">
      <c r="A87" s="58"/>
      <c r="B87" s="8"/>
      <c r="C87" s="16" t="s">
        <v>94</v>
      </c>
      <c r="D87" s="8"/>
      <c r="E87" s="43">
        <v>0.75777025018314315</v>
      </c>
      <c r="F87" s="8"/>
      <c r="G87" s="8"/>
      <c r="H87" s="43">
        <v>5.7600000009059196</v>
      </c>
      <c r="I87" s="8"/>
      <c r="J87" s="8"/>
      <c r="K87" s="8"/>
      <c r="L87" s="8" t="e">
        <f t="shared" ca="1" si="20"/>
        <v>#NAME?</v>
      </c>
      <c r="M87" s="8"/>
      <c r="N87" s="8"/>
      <c r="O87" s="8"/>
      <c r="P87" s="8"/>
      <c r="Q87" s="8"/>
      <c r="R87" s="8"/>
      <c r="S87" s="8"/>
      <c r="T87" s="8"/>
      <c r="U87" s="8"/>
      <c r="V87" s="8"/>
    </row>
    <row r="88" spans="1:22" ht="13">
      <c r="A88" s="58"/>
      <c r="B88" s="8"/>
      <c r="C88" s="16" t="s">
        <v>95</v>
      </c>
      <c r="D88" s="8"/>
      <c r="E88" s="43">
        <v>0.83209428133255159</v>
      </c>
      <c r="F88" s="8"/>
      <c r="G88" s="8"/>
      <c r="H88" s="80">
        <v>11.519999996504</v>
      </c>
      <c r="I88" s="8"/>
      <c r="J88" s="8"/>
      <c r="K88" s="8"/>
      <c r="L88" s="8" t="e">
        <f t="shared" ca="1" si="20"/>
        <v>#NAME?</v>
      </c>
      <c r="M88" s="8"/>
      <c r="N88" s="8"/>
      <c r="O88" s="8"/>
      <c r="P88" s="8"/>
      <c r="Q88" s="8"/>
      <c r="R88" s="8"/>
      <c r="S88" s="8"/>
      <c r="T88" s="8"/>
      <c r="U88" s="8"/>
      <c r="V88" s="8"/>
    </row>
    <row r="89" spans="1:22" ht="13">
      <c r="A89" s="58"/>
      <c r="B89" s="8"/>
      <c r="C89" s="16" t="s">
        <v>96</v>
      </c>
      <c r="D89" s="8"/>
      <c r="E89" s="43">
        <v>0.90646207241747478</v>
      </c>
      <c r="F89" s="8"/>
      <c r="G89" s="8"/>
      <c r="H89" s="80">
        <v>23.039999996248</v>
      </c>
      <c r="I89" s="8"/>
      <c r="J89" s="8"/>
      <c r="K89" s="8"/>
      <c r="L89" s="8" t="e">
        <f t="shared" ca="1" si="20"/>
        <v>#NAME?</v>
      </c>
      <c r="M89" s="8"/>
      <c r="N89" s="8"/>
      <c r="O89" s="8"/>
      <c r="P89" s="8"/>
      <c r="Q89" s="8"/>
      <c r="R89" s="8"/>
      <c r="S89" s="8"/>
      <c r="T89" s="8"/>
      <c r="U89" s="8"/>
      <c r="V89" s="8"/>
    </row>
    <row r="90" spans="1:22" ht="13">
      <c r="A90" s="58"/>
      <c r="B90" s="8"/>
      <c r="C90" s="16" t="s">
        <v>97</v>
      </c>
      <c r="D90" s="8"/>
      <c r="E90" s="43">
        <v>0.98085176356667592</v>
      </c>
      <c r="F90" s="8"/>
      <c r="G90" s="8"/>
      <c r="H90" s="43">
        <v>46.080000014306798</v>
      </c>
      <c r="I90" s="8"/>
      <c r="J90" s="8"/>
      <c r="K90" s="8"/>
      <c r="L90" s="8" t="e">
        <f t="shared" ca="1" si="20"/>
        <v>#NAME?</v>
      </c>
      <c r="M90" s="8"/>
      <c r="N90" s="8"/>
      <c r="O90" s="8"/>
      <c r="P90" s="8"/>
      <c r="Q90" s="8"/>
      <c r="R90" s="8"/>
      <c r="S90" s="8"/>
      <c r="T90" s="8"/>
      <c r="U90" s="8"/>
      <c r="V90" s="8"/>
    </row>
    <row r="91" spans="1:22" ht="13">
      <c r="A91" s="58"/>
      <c r="B91" s="8"/>
      <c r="C91" s="16" t="s">
        <v>98</v>
      </c>
      <c r="D91" s="8"/>
      <c r="E91" s="43">
        <v>1.0552524097777298</v>
      </c>
      <c r="F91" s="8"/>
      <c r="G91" s="8"/>
      <c r="H91" s="43">
        <v>92.160000190832704</v>
      </c>
      <c r="I91" s="8"/>
      <c r="J91" s="8"/>
      <c r="K91" s="8"/>
      <c r="L91" s="8" t="e">
        <f t="shared" ca="1" si="20"/>
        <v>#NAME?</v>
      </c>
      <c r="M91" s="8"/>
      <c r="N91" s="8"/>
      <c r="O91" s="8"/>
      <c r="P91" s="8"/>
      <c r="Q91" s="8"/>
      <c r="R91" s="8"/>
      <c r="S91" s="8"/>
      <c r="T91" s="8"/>
      <c r="U91" s="8"/>
      <c r="V91" s="8"/>
    </row>
    <row r="92" spans="1:22" ht="13">
      <c r="A92" s="58"/>
      <c r="B92" s="8"/>
      <c r="C92" s="8"/>
      <c r="D92" s="8"/>
      <c r="E92" s="8"/>
      <c r="F92" s="8"/>
      <c r="G92" s="8"/>
      <c r="H92" s="8"/>
      <c r="I92" s="8"/>
      <c r="J92" s="8"/>
      <c r="K92" s="8"/>
      <c r="L92" s="8"/>
      <c r="M92" s="8"/>
      <c r="N92" s="8"/>
      <c r="O92" s="8"/>
      <c r="P92" s="8"/>
      <c r="Q92" s="8"/>
      <c r="R92" s="8"/>
      <c r="S92" s="8"/>
      <c r="T92" s="8"/>
      <c r="U92" s="8"/>
      <c r="V92" s="8"/>
    </row>
    <row r="93" spans="1:22" ht="13">
      <c r="A93" s="58"/>
      <c r="B93" s="8"/>
      <c r="C93" s="8"/>
      <c r="D93" s="8"/>
      <c r="E93" s="8"/>
      <c r="F93" s="8"/>
      <c r="G93" s="8"/>
      <c r="H93" s="8"/>
      <c r="I93" s="8"/>
      <c r="J93" s="8"/>
      <c r="K93" s="8"/>
      <c r="L93" s="8"/>
      <c r="M93" s="8"/>
      <c r="N93" s="8"/>
      <c r="O93" s="8"/>
      <c r="P93" s="8"/>
      <c r="Q93" s="8"/>
      <c r="R93" s="8"/>
      <c r="S93" s="8"/>
      <c r="T93" s="8"/>
      <c r="U93" s="8"/>
      <c r="V93" s="8"/>
    </row>
    <row r="94" spans="1:22" ht="13">
      <c r="A94" s="58"/>
      <c r="B94" s="8"/>
      <c r="C94" s="8"/>
      <c r="D94" s="8"/>
      <c r="E94" s="8"/>
      <c r="F94" s="8"/>
      <c r="G94" s="8"/>
      <c r="H94" s="8"/>
      <c r="I94" s="8"/>
      <c r="J94" s="8"/>
      <c r="K94" s="8"/>
      <c r="L94" s="8"/>
      <c r="M94" s="8"/>
      <c r="N94" s="8"/>
      <c r="O94" s="8"/>
      <c r="P94" s="8"/>
      <c r="Q94" s="8"/>
      <c r="R94" s="8"/>
      <c r="S94" s="8"/>
      <c r="T94" s="8"/>
      <c r="U94" s="8"/>
      <c r="V94" s="8"/>
    </row>
    <row r="95" spans="1:22" ht="13">
      <c r="A95" s="58"/>
      <c r="B95" s="8"/>
      <c r="C95" s="8"/>
      <c r="D95" s="8"/>
      <c r="E95" s="8"/>
      <c r="F95" s="8"/>
      <c r="G95" s="8"/>
      <c r="H95" s="8"/>
      <c r="I95" s="8"/>
      <c r="J95" s="8"/>
      <c r="K95" s="8"/>
      <c r="L95" s="8"/>
      <c r="M95" s="8"/>
      <c r="N95" s="8"/>
      <c r="O95" s="8"/>
      <c r="P95" s="8"/>
      <c r="Q95" s="8"/>
      <c r="R95" s="8"/>
      <c r="S95" s="8"/>
      <c r="T95" s="8"/>
      <c r="U95" s="8"/>
      <c r="V95" s="8"/>
    </row>
    <row r="96" spans="1:22" ht="13">
      <c r="A96" s="58"/>
      <c r="B96" s="8"/>
      <c r="C96" s="8"/>
      <c r="D96" s="8"/>
      <c r="E96" s="8"/>
      <c r="F96" s="8"/>
      <c r="G96" s="8"/>
      <c r="H96" s="8"/>
      <c r="I96" s="8"/>
      <c r="J96" s="8"/>
      <c r="K96" s="8"/>
      <c r="L96" s="8"/>
      <c r="M96" s="8"/>
      <c r="N96" s="8"/>
      <c r="O96" s="8"/>
      <c r="P96" s="8"/>
      <c r="Q96" s="8"/>
      <c r="R96" s="8"/>
      <c r="S96" s="8"/>
      <c r="T96" s="8"/>
      <c r="U96" s="8"/>
      <c r="V96" s="8"/>
    </row>
    <row r="97" spans="1:22" ht="13">
      <c r="A97" s="58"/>
      <c r="B97" s="8"/>
      <c r="C97" s="8"/>
      <c r="D97" s="8"/>
      <c r="E97" s="8"/>
      <c r="F97" s="8"/>
      <c r="G97" s="8"/>
      <c r="H97" s="8"/>
      <c r="I97" s="8"/>
      <c r="J97" s="8"/>
      <c r="K97" s="8"/>
      <c r="L97" s="8"/>
      <c r="M97" s="8"/>
      <c r="N97" s="8"/>
      <c r="O97" s="8"/>
      <c r="P97" s="8"/>
      <c r="Q97" s="8"/>
      <c r="R97" s="8"/>
      <c r="S97" s="8"/>
      <c r="T97" s="8"/>
      <c r="U97" s="8"/>
      <c r="V97" s="8"/>
    </row>
    <row r="98" spans="1:22" ht="13">
      <c r="A98" s="58"/>
      <c r="B98" s="8"/>
      <c r="C98" s="8"/>
      <c r="D98" s="8"/>
      <c r="E98" s="8"/>
      <c r="F98" s="8"/>
      <c r="G98" s="8"/>
      <c r="H98" s="8"/>
      <c r="I98" s="8"/>
      <c r="J98" s="8"/>
      <c r="K98" s="8"/>
      <c r="L98" s="8"/>
      <c r="M98" s="8"/>
      <c r="N98" s="8"/>
      <c r="O98" s="8"/>
      <c r="P98" s="8"/>
      <c r="Q98" s="8"/>
      <c r="R98" s="8"/>
      <c r="S98" s="8"/>
      <c r="T98" s="8"/>
      <c r="U98" s="8"/>
      <c r="V98" s="8"/>
    </row>
    <row r="99" spans="1:22" ht="13">
      <c r="A99" s="58"/>
      <c r="B99" s="8"/>
      <c r="C99" s="8"/>
      <c r="D99" s="8"/>
      <c r="E99" s="8"/>
      <c r="F99" s="8"/>
      <c r="G99" s="8"/>
      <c r="H99" s="8"/>
      <c r="I99" s="8"/>
      <c r="J99" s="8"/>
      <c r="K99" s="8"/>
      <c r="L99" s="8"/>
      <c r="M99" s="8"/>
      <c r="N99" s="8"/>
      <c r="O99" s="8"/>
      <c r="P99" s="8"/>
      <c r="Q99" s="8"/>
      <c r="R99" s="8"/>
      <c r="S99" s="8"/>
      <c r="T99" s="8"/>
      <c r="U99" s="8"/>
      <c r="V99" s="8"/>
    </row>
    <row r="100" spans="1:22" ht="13">
      <c r="A100" s="58"/>
      <c r="B100" s="8"/>
      <c r="C100" s="8"/>
      <c r="D100" s="8"/>
      <c r="E100" s="8"/>
      <c r="F100" s="8"/>
      <c r="G100" s="8"/>
      <c r="H100" s="8"/>
      <c r="I100" s="8"/>
      <c r="J100" s="8"/>
      <c r="K100" s="8"/>
      <c r="L100" s="8"/>
      <c r="M100" s="8"/>
      <c r="N100" s="8"/>
      <c r="O100" s="8"/>
      <c r="P100" s="8"/>
      <c r="Q100" s="8"/>
      <c r="R100" s="8"/>
      <c r="S100" s="8"/>
      <c r="T100" s="8"/>
      <c r="U100" s="8"/>
      <c r="V100" s="8"/>
    </row>
    <row r="101" spans="1:22" ht="13">
      <c r="A101" s="58"/>
      <c r="B101" s="8"/>
      <c r="C101" s="8"/>
      <c r="D101" s="8"/>
      <c r="E101" s="8"/>
      <c r="F101" s="8"/>
      <c r="G101" s="8" t="s">
        <v>225</v>
      </c>
      <c r="H101" s="8"/>
      <c r="I101" s="8" t="s">
        <v>226</v>
      </c>
      <c r="J101" s="8"/>
      <c r="K101" s="8"/>
      <c r="L101" s="8"/>
      <c r="M101" s="8"/>
      <c r="N101" s="8"/>
      <c r="O101" s="8"/>
      <c r="P101" s="8"/>
      <c r="Q101" s="8"/>
      <c r="R101" s="8"/>
      <c r="S101" s="8"/>
      <c r="T101" s="8"/>
      <c r="U101" s="8"/>
      <c r="V101" s="8"/>
    </row>
    <row r="102" spans="1:22" ht="13">
      <c r="A102" s="58"/>
      <c r="B102" s="8"/>
      <c r="C102" s="16" t="s">
        <v>75</v>
      </c>
      <c r="D102" s="8">
        <f>E102*1023</f>
        <v>16.368000000000002</v>
      </c>
      <c r="E102" s="2">
        <v>1.6E-2</v>
      </c>
      <c r="F102" s="8">
        <v>0.4</v>
      </c>
      <c r="G102" s="53">
        <v>6.4111516108960949E-6</v>
      </c>
      <c r="H102" s="8">
        <v>0.40899999999999997</v>
      </c>
      <c r="I102" s="8">
        <v>4.3040000000000002E-2</v>
      </c>
      <c r="J102" s="8">
        <v>0.45</v>
      </c>
      <c r="L102" s="8"/>
      <c r="M102" s="8"/>
      <c r="N102" s="8"/>
      <c r="O102" s="8"/>
      <c r="P102" s="8"/>
      <c r="Q102" s="8"/>
      <c r="R102" s="8"/>
      <c r="S102" s="8"/>
      <c r="T102" s="8"/>
      <c r="U102" s="8"/>
      <c r="V102" s="8"/>
    </row>
    <row r="103" spans="1:22" ht="13">
      <c r="A103" s="58"/>
      <c r="B103" s="8"/>
      <c r="C103" s="16" t="s">
        <v>76</v>
      </c>
      <c r="D103" s="8">
        <f>79/1023</f>
        <v>7.7223851417399805E-2</v>
      </c>
      <c r="E103" s="2">
        <v>1.61E-2</v>
      </c>
      <c r="F103" s="8">
        <v>0.4</v>
      </c>
      <c r="G103" s="53">
        <v>3.1640624984280779E-3</v>
      </c>
      <c r="H103" s="8">
        <v>0.40899999999999997</v>
      </c>
      <c r="I103" s="8">
        <v>4.3299999999999998E-2</v>
      </c>
      <c r="J103" s="8">
        <v>0.45</v>
      </c>
      <c r="L103" s="8"/>
      <c r="M103" s="8"/>
      <c r="N103" s="8"/>
      <c r="O103" s="8"/>
      <c r="P103" s="8"/>
      <c r="Q103" s="8"/>
      <c r="R103" s="8"/>
      <c r="S103" s="8"/>
      <c r="T103" s="8"/>
      <c r="U103" s="8"/>
      <c r="V103" s="8"/>
    </row>
    <row r="104" spans="1:22" ht="13">
      <c r="A104" s="58"/>
      <c r="B104" s="8"/>
      <c r="C104" s="16" t="s">
        <v>77</v>
      </c>
      <c r="D104" s="8">
        <f>81/1023</f>
        <v>7.9178885630498533E-2</v>
      </c>
      <c r="E104" s="2">
        <v>1.6199999999999999E-2</v>
      </c>
      <c r="F104" s="8">
        <v>0.4</v>
      </c>
      <c r="G104" s="53">
        <v>6.3281249633219397E-3</v>
      </c>
      <c r="H104" s="8">
        <v>0.40899999999999997</v>
      </c>
      <c r="I104" s="8">
        <v>4.4249999999999998E-2</v>
      </c>
      <c r="J104" s="8">
        <v>0.45</v>
      </c>
      <c r="L104" s="8"/>
      <c r="M104" s="8"/>
      <c r="N104" s="8"/>
      <c r="O104" s="8"/>
      <c r="P104" s="8"/>
      <c r="Q104" s="8"/>
      <c r="R104" s="8"/>
      <c r="S104" s="8"/>
      <c r="T104" s="8"/>
      <c r="U104" s="8"/>
      <c r="V104" s="8"/>
    </row>
    <row r="105" spans="1:22" ht="13">
      <c r="A105" s="58"/>
      <c r="B105" s="8"/>
      <c r="C105" s="16" t="s">
        <v>78</v>
      </c>
      <c r="D105" s="8"/>
      <c r="E105" s="2">
        <v>1.66E-2</v>
      </c>
      <c r="F105" s="8">
        <v>0.4</v>
      </c>
      <c r="G105" s="53">
        <v>1.265625001047942E-2</v>
      </c>
      <c r="H105" s="8">
        <v>0.40899999999999997</v>
      </c>
      <c r="I105" s="8">
        <v>4.5600000000000002E-2</v>
      </c>
      <c r="J105" s="8">
        <v>0.45</v>
      </c>
      <c r="L105" s="8"/>
      <c r="M105" s="8"/>
      <c r="N105" s="8"/>
      <c r="O105" s="8"/>
      <c r="P105" s="8"/>
      <c r="Q105" s="8"/>
      <c r="R105" s="8"/>
      <c r="S105" s="8"/>
      <c r="T105" s="8"/>
      <c r="U105" s="8"/>
      <c r="V105" s="8"/>
    </row>
    <row r="106" spans="1:22" ht="13">
      <c r="A106" s="58"/>
      <c r="B106" s="8"/>
      <c r="C106" s="16" t="s">
        <v>79</v>
      </c>
      <c r="D106" s="8"/>
      <c r="E106" s="2">
        <v>2.1999999999999999E-2</v>
      </c>
      <c r="F106" s="8">
        <v>0.4</v>
      </c>
      <c r="G106" s="53">
        <v>2.531250002095884E-2</v>
      </c>
      <c r="H106" s="8">
        <v>0.40899999999999997</v>
      </c>
      <c r="I106" s="8">
        <v>4.82E-2</v>
      </c>
      <c r="J106" s="8">
        <v>0.45</v>
      </c>
      <c r="L106" s="8"/>
      <c r="M106" s="8"/>
      <c r="N106" s="8"/>
      <c r="O106" s="8"/>
      <c r="P106" s="8"/>
      <c r="Q106" s="8"/>
      <c r="R106" s="8"/>
      <c r="S106" s="8"/>
      <c r="T106" s="8"/>
      <c r="U106" s="8"/>
      <c r="V106" s="8"/>
    </row>
    <row r="107" spans="1:22" ht="13">
      <c r="A107" s="58"/>
      <c r="B107" s="8"/>
      <c r="C107" s="16" t="s">
        <v>80</v>
      </c>
      <c r="D107" s="8"/>
      <c r="E107" s="2">
        <v>3.5000000000000003E-2</v>
      </c>
      <c r="F107" s="8">
        <v>0.4</v>
      </c>
      <c r="G107" s="53">
        <v>5.0625000023429248E-2</v>
      </c>
      <c r="H107" s="8">
        <v>0.40899999999999997</v>
      </c>
      <c r="I107" s="8">
        <v>5.3900000000000003E-2</v>
      </c>
      <c r="J107" s="8">
        <v>0.45</v>
      </c>
      <c r="L107" s="8"/>
      <c r="M107" s="8"/>
      <c r="N107" s="8"/>
      <c r="O107" s="8"/>
      <c r="P107" s="8"/>
      <c r="Q107" s="8"/>
      <c r="R107" s="8"/>
      <c r="S107" s="8"/>
      <c r="T107" s="8"/>
      <c r="U107" s="8"/>
      <c r="V107" s="8"/>
    </row>
    <row r="108" spans="1:22" ht="13">
      <c r="A108" s="58"/>
      <c r="B108" s="8"/>
      <c r="C108" s="16" t="s">
        <v>81</v>
      </c>
      <c r="D108" s="8"/>
      <c r="E108" s="2">
        <v>0.06</v>
      </c>
      <c r="F108" s="8">
        <v>0.4</v>
      </c>
      <c r="G108" s="53">
        <v>0.10028739287352589</v>
      </c>
      <c r="H108" s="8">
        <v>0.40899999999999997</v>
      </c>
      <c r="I108" s="8">
        <v>7.0999999999999994E-2</v>
      </c>
      <c r="J108" s="8">
        <v>0.45</v>
      </c>
      <c r="L108" s="8"/>
      <c r="M108" s="8"/>
      <c r="N108" s="8"/>
      <c r="O108" s="8"/>
      <c r="P108" s="8"/>
      <c r="Q108" s="8"/>
      <c r="R108" s="8"/>
      <c r="S108" s="8"/>
      <c r="T108" s="8"/>
      <c r="U108" s="8"/>
      <c r="V108" s="8"/>
    </row>
    <row r="109" spans="1:22" ht="13">
      <c r="A109" s="58"/>
      <c r="B109" s="8"/>
      <c r="C109" s="16" t="s">
        <v>82</v>
      </c>
      <c r="D109" s="8"/>
      <c r="E109" s="2">
        <v>0.13</v>
      </c>
      <c r="F109" s="8">
        <v>0.4</v>
      </c>
      <c r="G109" s="53">
        <v>0.1732346012257808</v>
      </c>
      <c r="H109" s="8">
        <v>0.40899999999999997</v>
      </c>
      <c r="I109" s="8">
        <v>0.1145</v>
      </c>
      <c r="J109" s="8">
        <v>0.45</v>
      </c>
      <c r="L109" s="8"/>
      <c r="M109" s="8"/>
      <c r="N109" s="8"/>
      <c r="O109" s="8"/>
      <c r="P109" s="8"/>
      <c r="Q109" s="8"/>
      <c r="R109" s="8"/>
      <c r="S109" s="8"/>
      <c r="T109" s="8"/>
      <c r="U109" s="8"/>
      <c r="V109" s="8"/>
    </row>
    <row r="110" spans="1:22" ht="13">
      <c r="A110" s="58"/>
      <c r="B110" s="8"/>
      <c r="C110" s="16" t="s">
        <v>83</v>
      </c>
      <c r="D110" s="8"/>
      <c r="E110" s="2">
        <v>0.245</v>
      </c>
      <c r="F110" s="8">
        <v>0.4</v>
      </c>
      <c r="G110" s="53">
        <v>0.27288342467312432</v>
      </c>
      <c r="H110" s="8">
        <v>0.40899999999999997</v>
      </c>
      <c r="I110" s="8">
        <v>0.23799999999999999</v>
      </c>
      <c r="J110" s="8">
        <v>0.45</v>
      </c>
      <c r="L110" s="8"/>
      <c r="M110" s="8"/>
      <c r="N110" s="8"/>
      <c r="O110" s="8"/>
      <c r="P110" s="8"/>
      <c r="Q110" s="8"/>
      <c r="R110" s="8"/>
      <c r="S110" s="8"/>
      <c r="T110" s="8"/>
      <c r="U110" s="8"/>
      <c r="V110" s="8"/>
    </row>
    <row r="111" spans="1:22" ht="13">
      <c r="A111" s="58"/>
      <c r="B111" s="8"/>
      <c r="C111" s="16" t="s">
        <v>84</v>
      </c>
      <c r="D111" s="8"/>
      <c r="E111" s="2">
        <v>0.29299999999999998</v>
      </c>
      <c r="F111" s="8">
        <v>0.4</v>
      </c>
      <c r="G111" s="53">
        <v>0.34732158241373379</v>
      </c>
      <c r="H111" s="8">
        <v>0.40899999999999997</v>
      </c>
      <c r="I111" s="8">
        <v>0.3</v>
      </c>
      <c r="J111" s="8">
        <v>0.45</v>
      </c>
      <c r="L111" s="8"/>
      <c r="M111" s="8"/>
      <c r="N111" s="8"/>
      <c r="O111" s="8"/>
      <c r="P111" s="8"/>
      <c r="Q111" s="8"/>
      <c r="R111" s="8"/>
      <c r="S111" s="8"/>
      <c r="T111" s="8"/>
      <c r="U111" s="8"/>
      <c r="V111" s="8"/>
    </row>
    <row r="112" spans="1:22" ht="13">
      <c r="A112" s="58"/>
      <c r="B112" s="8"/>
      <c r="C112" s="43" t="s">
        <v>85</v>
      </c>
      <c r="D112" s="8"/>
      <c r="E112" s="2">
        <v>0.35199999999999998</v>
      </c>
      <c r="F112" s="8">
        <v>0.4</v>
      </c>
      <c r="G112" s="53">
        <v>0.39340671841555686</v>
      </c>
      <c r="H112" s="8">
        <v>0.40899999999999997</v>
      </c>
      <c r="I112" s="8">
        <v>0.38</v>
      </c>
      <c r="J112" s="8">
        <v>0.45</v>
      </c>
      <c r="L112" s="8"/>
      <c r="M112" s="8"/>
      <c r="N112" s="8"/>
      <c r="O112" s="8"/>
      <c r="P112" s="8"/>
      <c r="Q112" s="8"/>
      <c r="R112" s="8"/>
      <c r="S112" s="8"/>
      <c r="T112" s="8"/>
      <c r="U112" s="8"/>
      <c r="V112" s="8"/>
    </row>
    <row r="113" spans="1:22" ht="13">
      <c r="A113" s="58"/>
      <c r="B113" s="8"/>
      <c r="C113" s="16" t="s">
        <v>86</v>
      </c>
      <c r="D113" s="8">
        <v>0.4</v>
      </c>
      <c r="E113" s="2">
        <v>0.4</v>
      </c>
      <c r="F113" s="8">
        <v>0.4</v>
      </c>
      <c r="G113" s="53">
        <v>0.40900772878777658</v>
      </c>
      <c r="H113" s="8">
        <v>0.40899999999999997</v>
      </c>
      <c r="I113" s="8">
        <v>0.45</v>
      </c>
      <c r="J113" s="8">
        <v>0.45</v>
      </c>
      <c r="L113" s="8"/>
      <c r="M113" s="8"/>
      <c r="N113" s="8"/>
      <c r="O113" s="8"/>
      <c r="P113" s="8"/>
      <c r="Q113" s="8"/>
      <c r="R113" s="8"/>
      <c r="S113" s="8"/>
      <c r="T113" s="8"/>
      <c r="U113" s="8"/>
      <c r="V113" s="8"/>
    </row>
    <row r="114" spans="1:22" ht="13">
      <c r="A114" s="58"/>
      <c r="B114" s="8"/>
      <c r="C114" s="43" t="s">
        <v>87</v>
      </c>
      <c r="D114" s="8"/>
      <c r="E114" s="2">
        <v>0.44</v>
      </c>
      <c r="F114" s="8">
        <v>0.4</v>
      </c>
      <c r="G114" s="53">
        <v>0.4417082790186182</v>
      </c>
      <c r="H114" s="8">
        <v>0.40899999999999997</v>
      </c>
      <c r="I114" s="8">
        <v>0.55000000000000004</v>
      </c>
      <c r="J114" s="8">
        <v>0.45</v>
      </c>
      <c r="L114" s="8"/>
      <c r="M114" s="8"/>
      <c r="N114" s="8"/>
      <c r="O114" s="8"/>
      <c r="P114" s="8"/>
      <c r="Q114" s="8"/>
      <c r="R114" s="8"/>
      <c r="S114" s="8"/>
      <c r="T114" s="8"/>
      <c r="U114" s="8"/>
      <c r="V114" s="8"/>
    </row>
    <row r="115" spans="1:22" ht="13">
      <c r="A115" s="58"/>
      <c r="B115" s="8"/>
      <c r="C115" s="16" t="s">
        <v>88</v>
      </c>
      <c r="D115" s="8"/>
      <c r="E115" s="2">
        <v>0.51</v>
      </c>
      <c r="F115" s="8">
        <v>0.4</v>
      </c>
      <c r="G115" s="53">
        <v>0.49474787556660693</v>
      </c>
      <c r="H115" s="8">
        <v>0.40899999999999997</v>
      </c>
      <c r="I115" s="8">
        <v>0.62</v>
      </c>
      <c r="J115" s="8">
        <v>0.45</v>
      </c>
      <c r="L115" s="8"/>
      <c r="M115" s="8"/>
      <c r="N115" s="8"/>
      <c r="O115" s="8"/>
      <c r="P115" s="8"/>
      <c r="Q115" s="8"/>
      <c r="R115" s="8"/>
      <c r="S115" s="8"/>
      <c r="T115" s="8"/>
      <c r="U115" s="8"/>
      <c r="V115" s="8"/>
    </row>
    <row r="116" spans="1:22" ht="13">
      <c r="A116" s="58"/>
      <c r="B116" s="8"/>
      <c r="C116" s="16" t="s">
        <v>89</v>
      </c>
      <c r="D116" s="8"/>
      <c r="E116" s="2">
        <v>0.56200000000000006</v>
      </c>
      <c r="F116" s="8">
        <v>0.4</v>
      </c>
      <c r="G116" s="53">
        <v>0.59495900829424386</v>
      </c>
      <c r="H116" s="8">
        <v>0.40899999999999997</v>
      </c>
      <c r="I116" s="8">
        <v>0.7</v>
      </c>
      <c r="J116" s="8">
        <v>0.45</v>
      </c>
      <c r="L116" s="8"/>
      <c r="M116" s="8"/>
      <c r="N116" s="8"/>
      <c r="O116" s="8"/>
      <c r="P116" s="8"/>
      <c r="Q116" s="8"/>
      <c r="R116" s="8"/>
      <c r="S116" s="8"/>
      <c r="T116" s="8"/>
      <c r="U116" s="8"/>
      <c r="V116" s="8"/>
    </row>
    <row r="117" spans="1:22" ht="13">
      <c r="A117" s="58"/>
      <c r="B117" s="8"/>
      <c r="C117" s="16" t="s">
        <v>90</v>
      </c>
      <c r="D117" s="8"/>
      <c r="E117" s="2">
        <v>0.71499999999999997</v>
      </c>
      <c r="F117" s="8">
        <v>0.4</v>
      </c>
      <c r="G117" s="53">
        <v>0.84897594185359815</v>
      </c>
      <c r="H117" s="8">
        <v>0.40899999999999997</v>
      </c>
      <c r="I117" s="8">
        <v>0.86</v>
      </c>
      <c r="J117" s="8">
        <v>0.45</v>
      </c>
      <c r="L117" s="8"/>
      <c r="M117" s="8"/>
      <c r="N117" s="8"/>
      <c r="O117" s="8"/>
      <c r="P117" s="8"/>
      <c r="Q117" s="8"/>
      <c r="R117" s="8"/>
      <c r="S117" s="8"/>
      <c r="T117" s="8"/>
      <c r="U117" s="8"/>
      <c r="V117" s="8"/>
    </row>
    <row r="118" spans="1:22" ht="13">
      <c r="A118" s="58"/>
      <c r="B118" s="8"/>
      <c r="C118" s="73" t="s">
        <v>91</v>
      </c>
      <c r="D118" s="8"/>
      <c r="G118" s="53">
        <v>0.94913340405911906</v>
      </c>
      <c r="H118" s="8">
        <v>0.40899999999999997</v>
      </c>
      <c r="I118" s="8">
        <v>0.94</v>
      </c>
      <c r="J118" s="8">
        <v>0.45</v>
      </c>
      <c r="L118" s="8"/>
      <c r="M118" s="8"/>
      <c r="N118" s="8"/>
      <c r="O118" s="8"/>
      <c r="P118" s="8"/>
      <c r="Q118" s="8"/>
      <c r="R118" s="8"/>
      <c r="S118" s="8"/>
      <c r="T118" s="8"/>
      <c r="U118" s="8"/>
      <c r="V118" s="8"/>
    </row>
    <row r="119" spans="1:22" ht="13">
      <c r="A119" s="58"/>
      <c r="B119" s="8"/>
      <c r="C119" s="2" t="s">
        <v>204</v>
      </c>
      <c r="D119" s="8"/>
      <c r="E119" s="2">
        <f>654/1023</f>
        <v>0.63929618768328444</v>
      </c>
      <c r="G119" s="53">
        <v>0.99998930881833425</v>
      </c>
      <c r="H119" s="8">
        <v>0.40899999999999997</v>
      </c>
      <c r="I119" s="8">
        <v>0.98</v>
      </c>
      <c r="J119" s="8">
        <v>0.45</v>
      </c>
      <c r="L119" s="8"/>
      <c r="M119" s="8"/>
      <c r="N119" s="8"/>
      <c r="O119" s="8"/>
      <c r="P119" s="8"/>
      <c r="Q119" s="8"/>
      <c r="R119" s="8"/>
      <c r="S119" s="8"/>
      <c r="T119" s="8"/>
      <c r="U119" s="8"/>
      <c r="V119" s="8"/>
    </row>
    <row r="120" spans="1:22" ht="13">
      <c r="A120" s="58"/>
      <c r="B120" s="8"/>
      <c r="C120" s="16" t="s">
        <v>92</v>
      </c>
      <c r="D120" s="8"/>
      <c r="E120" s="2">
        <v>0.83299999999999996</v>
      </c>
      <c r="F120" s="8">
        <v>0.4</v>
      </c>
      <c r="G120" s="53">
        <v>1.1959732992715488</v>
      </c>
      <c r="H120" s="8">
        <v>0.40900000000000097</v>
      </c>
      <c r="I120" s="8">
        <v>0.99450000000000005</v>
      </c>
      <c r="J120" s="8">
        <v>0.45</v>
      </c>
      <c r="L120" s="8"/>
      <c r="M120" s="8"/>
      <c r="N120" s="8"/>
      <c r="O120" s="8"/>
      <c r="P120" s="8"/>
      <c r="Q120" s="8"/>
      <c r="R120" s="8"/>
      <c r="S120" s="8"/>
      <c r="T120" s="8"/>
      <c r="U120" s="8"/>
      <c r="V120" s="8"/>
    </row>
    <row r="121" spans="1:22" ht="13">
      <c r="A121" s="58"/>
      <c r="B121" s="8"/>
      <c r="C121" s="16" t="s">
        <v>93</v>
      </c>
      <c r="D121" s="8"/>
      <c r="E121" s="2">
        <v>0.91800000000000004</v>
      </c>
      <c r="F121" s="8">
        <v>0.4</v>
      </c>
      <c r="G121" s="8"/>
      <c r="H121" s="8"/>
      <c r="I121" s="8">
        <v>0.99990000000000001</v>
      </c>
      <c r="J121" s="8">
        <v>0.45</v>
      </c>
      <c r="L121" s="8"/>
      <c r="M121" s="8"/>
      <c r="N121" s="8"/>
      <c r="O121" s="8"/>
      <c r="P121" s="8"/>
      <c r="Q121" s="8"/>
      <c r="R121" s="8"/>
      <c r="S121" s="8"/>
      <c r="T121" s="8"/>
      <c r="U121" s="8"/>
      <c r="V121" s="8"/>
    </row>
    <row r="122" spans="1:22" ht="13">
      <c r="A122" s="58"/>
      <c r="B122" s="8"/>
      <c r="C122" s="16" t="s">
        <v>94</v>
      </c>
      <c r="D122" s="8"/>
      <c r="E122" s="2">
        <v>0.96199999999999997</v>
      </c>
      <c r="F122" s="8">
        <v>0.4</v>
      </c>
      <c r="G122" s="8"/>
      <c r="H122" s="8"/>
      <c r="I122" s="8">
        <v>0.99990000000000001</v>
      </c>
      <c r="J122" s="8">
        <v>0.45</v>
      </c>
      <c r="L122" s="8"/>
      <c r="M122" s="8"/>
      <c r="N122" s="8"/>
      <c r="O122" s="8"/>
      <c r="P122" s="8"/>
      <c r="Q122" s="8"/>
      <c r="R122" s="8"/>
      <c r="S122" s="8"/>
      <c r="T122" s="8"/>
      <c r="U122" s="8"/>
      <c r="V122" s="8"/>
    </row>
    <row r="123" spans="1:22" ht="13">
      <c r="A123" s="58"/>
      <c r="B123" s="8"/>
      <c r="C123" s="16" t="s">
        <v>95</v>
      </c>
      <c r="D123" s="8"/>
      <c r="E123" s="2">
        <v>0.98299999999999998</v>
      </c>
      <c r="F123" s="8">
        <v>0.4</v>
      </c>
      <c r="G123" s="8"/>
      <c r="H123" s="8"/>
      <c r="I123" s="8">
        <v>0.99990000000000001</v>
      </c>
      <c r="J123" s="8">
        <v>0.45</v>
      </c>
      <c r="L123" s="8"/>
      <c r="M123" s="8"/>
      <c r="N123" s="8"/>
      <c r="O123" s="8"/>
      <c r="P123" s="8"/>
      <c r="Q123" s="8"/>
      <c r="R123" s="8"/>
      <c r="S123" s="8"/>
      <c r="T123" s="8"/>
      <c r="U123" s="8"/>
      <c r="V123" s="8"/>
    </row>
    <row r="124" spans="1:22" ht="13">
      <c r="A124" s="58"/>
      <c r="B124" s="8"/>
      <c r="C124" s="16" t="s">
        <v>96</v>
      </c>
      <c r="D124" s="8"/>
      <c r="E124" s="2">
        <v>0.995</v>
      </c>
      <c r="F124" s="8">
        <v>0.4</v>
      </c>
      <c r="G124" s="8"/>
      <c r="H124" s="8"/>
      <c r="I124" s="8">
        <v>0.99990000000000001</v>
      </c>
      <c r="J124" s="8">
        <v>0.45</v>
      </c>
      <c r="L124" s="8"/>
      <c r="M124" s="8"/>
      <c r="N124" s="8"/>
      <c r="O124" s="8"/>
      <c r="P124" s="8"/>
      <c r="Q124" s="8"/>
      <c r="R124" s="8"/>
      <c r="S124" s="8"/>
      <c r="T124" s="8"/>
      <c r="U124" s="8"/>
      <c r="V124" s="8"/>
    </row>
    <row r="125" spans="1:22" ht="13">
      <c r="A125" s="58"/>
      <c r="B125" s="8"/>
      <c r="C125" s="16" t="s">
        <v>97</v>
      </c>
      <c r="D125" s="8"/>
      <c r="E125" s="2">
        <v>0.999</v>
      </c>
      <c r="F125" s="8">
        <v>0.4</v>
      </c>
      <c r="G125" s="8"/>
      <c r="H125" s="8"/>
      <c r="I125" s="8">
        <v>0.99990000000000001</v>
      </c>
      <c r="J125" s="8">
        <v>0.45</v>
      </c>
      <c r="L125" s="8"/>
      <c r="M125" s="8"/>
      <c r="N125" s="8"/>
      <c r="O125" s="8"/>
      <c r="P125" s="8"/>
      <c r="Q125" s="8"/>
      <c r="R125" s="8"/>
      <c r="S125" s="8"/>
      <c r="T125" s="8"/>
      <c r="U125" s="8"/>
      <c r="V125" s="8"/>
    </row>
    <row r="126" spans="1:22" ht="13">
      <c r="A126" s="58"/>
      <c r="B126" s="8"/>
      <c r="C126" s="16" t="s">
        <v>98</v>
      </c>
      <c r="D126" s="8"/>
      <c r="G126" s="8"/>
      <c r="H126" s="8"/>
      <c r="I126" s="8"/>
      <c r="J126" s="8"/>
      <c r="K126" s="8"/>
      <c r="L126" s="8"/>
      <c r="M126" s="8"/>
      <c r="N126" s="8"/>
      <c r="O126" s="8"/>
      <c r="P126" s="8"/>
      <c r="Q126" s="8"/>
      <c r="R126" s="8"/>
      <c r="S126" s="8"/>
      <c r="T126" s="8"/>
      <c r="U126" s="8"/>
      <c r="V126" s="8"/>
    </row>
    <row r="127" spans="1:22" ht="13">
      <c r="A127" s="58"/>
      <c r="B127" s="8"/>
      <c r="C127" s="8"/>
      <c r="D127" s="8"/>
      <c r="E127" s="8"/>
      <c r="F127" s="8"/>
      <c r="G127" s="8"/>
      <c r="H127" s="8"/>
      <c r="I127" s="8"/>
      <c r="J127" s="8"/>
      <c r="K127" s="8"/>
      <c r="L127" s="8"/>
      <c r="M127" s="8"/>
      <c r="N127" s="8"/>
      <c r="O127" s="8"/>
      <c r="P127" s="8"/>
      <c r="Q127" s="8"/>
      <c r="R127" s="8"/>
      <c r="S127" s="8"/>
      <c r="T127" s="8"/>
      <c r="U127" s="8"/>
      <c r="V127" s="8"/>
    </row>
    <row r="128" spans="1:22" ht="13">
      <c r="A128" s="58"/>
      <c r="B128" s="8"/>
      <c r="C128" s="8"/>
      <c r="D128" s="8"/>
      <c r="E128" s="8"/>
      <c r="F128" s="8"/>
      <c r="G128" s="8"/>
      <c r="H128" s="8"/>
      <c r="I128" s="8"/>
      <c r="J128" s="8"/>
      <c r="K128" s="8"/>
      <c r="L128" s="8"/>
      <c r="M128" s="8"/>
      <c r="N128" s="8"/>
      <c r="O128" s="8"/>
      <c r="P128" s="8"/>
      <c r="Q128" s="8"/>
      <c r="R128" s="8"/>
      <c r="S128" s="8"/>
      <c r="T128" s="8"/>
      <c r="U128" s="8"/>
      <c r="V128" s="8"/>
    </row>
    <row r="129" spans="1:22" ht="13">
      <c r="A129" s="58"/>
      <c r="B129" s="8"/>
      <c r="C129" s="8"/>
      <c r="D129" s="8"/>
      <c r="E129" s="8"/>
      <c r="F129" s="8"/>
      <c r="G129" s="8"/>
      <c r="H129" s="8"/>
      <c r="I129" s="8"/>
      <c r="J129" s="8"/>
      <c r="K129" s="8"/>
      <c r="L129" s="8"/>
      <c r="M129" s="8"/>
      <c r="N129" s="8"/>
      <c r="O129" s="8"/>
      <c r="P129" s="8"/>
      <c r="Q129" s="8"/>
      <c r="R129" s="8"/>
      <c r="S129" s="8"/>
      <c r="T129" s="8"/>
      <c r="U129" s="8"/>
      <c r="V129" s="8"/>
    </row>
    <row r="130" spans="1:22" ht="13">
      <c r="A130" s="58"/>
      <c r="B130" s="8"/>
      <c r="C130" s="8"/>
      <c r="D130" s="8"/>
      <c r="E130" s="8"/>
      <c r="F130" s="8"/>
      <c r="G130" s="8"/>
      <c r="H130" s="8"/>
      <c r="I130" s="8"/>
      <c r="J130" s="8"/>
      <c r="K130" s="8"/>
      <c r="L130" s="8"/>
      <c r="M130" s="8"/>
      <c r="N130" s="8"/>
      <c r="O130" s="8"/>
      <c r="P130" s="8"/>
      <c r="Q130" s="8"/>
      <c r="R130" s="8"/>
      <c r="S130" s="8"/>
      <c r="T130" s="8"/>
      <c r="U130" s="8"/>
      <c r="V130" s="8"/>
    </row>
    <row r="131" spans="1:22" ht="13">
      <c r="A131" s="58"/>
      <c r="B131" s="8"/>
      <c r="C131" s="8"/>
      <c r="D131" s="8"/>
      <c r="E131" s="8"/>
      <c r="F131" s="8"/>
      <c r="G131" s="8"/>
      <c r="H131" s="8"/>
      <c r="I131" s="8"/>
      <c r="J131" s="8"/>
      <c r="K131" s="8"/>
      <c r="L131" s="8"/>
      <c r="M131" s="8"/>
      <c r="N131" s="8"/>
      <c r="O131" s="8"/>
      <c r="P131" s="8"/>
      <c r="Q131" s="8"/>
      <c r="R131" s="8"/>
      <c r="S131" s="8"/>
      <c r="T131" s="8"/>
      <c r="U131" s="8"/>
      <c r="V131" s="8"/>
    </row>
    <row r="132" spans="1:22" ht="13">
      <c r="A132" s="58"/>
      <c r="B132" s="8"/>
      <c r="C132" s="8"/>
      <c r="D132" s="8"/>
      <c r="E132" s="8"/>
      <c r="F132" s="8"/>
      <c r="G132" s="8"/>
      <c r="H132" s="8"/>
      <c r="I132" s="8"/>
      <c r="J132" s="8"/>
      <c r="K132" s="8"/>
      <c r="L132" s="8"/>
      <c r="M132" s="8"/>
      <c r="N132" s="8"/>
      <c r="O132" s="8"/>
      <c r="P132" s="8"/>
      <c r="Q132" s="8"/>
      <c r="R132" s="8"/>
      <c r="S132" s="8"/>
      <c r="T132" s="8"/>
      <c r="U132" s="8"/>
      <c r="V132" s="8"/>
    </row>
    <row r="133" spans="1:22" ht="13">
      <c r="A133" s="58"/>
      <c r="B133" s="8"/>
      <c r="C133" s="8"/>
      <c r="D133" s="8"/>
      <c r="E133" s="8"/>
      <c r="F133" s="8"/>
      <c r="G133" s="8"/>
      <c r="H133" s="8"/>
      <c r="I133" s="8"/>
      <c r="J133" s="8"/>
      <c r="K133" s="8"/>
      <c r="L133" s="8"/>
      <c r="M133" s="8"/>
      <c r="N133" s="8"/>
      <c r="O133" s="8"/>
      <c r="P133" s="8"/>
      <c r="Q133" s="8"/>
      <c r="R133" s="8"/>
      <c r="S133" s="8"/>
      <c r="T133" s="8"/>
      <c r="U133" s="8"/>
      <c r="V133" s="8"/>
    </row>
    <row r="134" spans="1:22" ht="13">
      <c r="A134" s="58"/>
      <c r="B134" s="8"/>
      <c r="C134" s="8"/>
      <c r="D134" s="8"/>
      <c r="E134" s="8"/>
      <c r="F134" s="8"/>
      <c r="G134" s="8"/>
      <c r="H134" s="8"/>
      <c r="I134" s="8"/>
      <c r="J134" s="8"/>
      <c r="K134" s="8"/>
      <c r="L134" s="8"/>
      <c r="M134" s="8"/>
      <c r="N134" s="8"/>
      <c r="O134" s="8"/>
      <c r="P134" s="8"/>
      <c r="Q134" s="8"/>
      <c r="R134" s="8"/>
      <c r="S134" s="8"/>
      <c r="T134" s="8"/>
      <c r="U134" s="8"/>
      <c r="V134" s="8"/>
    </row>
    <row r="135" spans="1:22" ht="13">
      <c r="A135" s="58"/>
      <c r="B135" s="8"/>
      <c r="C135" s="8"/>
      <c r="D135" s="8"/>
      <c r="E135" s="8"/>
      <c r="F135" s="8"/>
      <c r="G135" s="8"/>
      <c r="H135" s="8"/>
      <c r="I135" s="8"/>
      <c r="J135" s="8"/>
      <c r="K135" s="8"/>
      <c r="L135" s="8"/>
      <c r="M135" s="8"/>
      <c r="N135" s="8"/>
      <c r="O135" s="8"/>
      <c r="P135" s="8"/>
      <c r="Q135" s="8"/>
      <c r="R135" s="8"/>
      <c r="S135" s="8"/>
      <c r="T135" s="8"/>
      <c r="U135" s="8"/>
      <c r="V135" s="8"/>
    </row>
    <row r="136" spans="1:22" ht="13">
      <c r="A136" s="58"/>
      <c r="B136" s="8"/>
      <c r="C136" s="8"/>
      <c r="D136" s="8"/>
      <c r="E136" s="8"/>
      <c r="F136" s="8"/>
      <c r="G136" s="8"/>
      <c r="H136" s="8"/>
      <c r="I136" s="8"/>
      <c r="J136" s="8"/>
      <c r="K136" s="8"/>
      <c r="L136" s="8"/>
      <c r="M136" s="8"/>
      <c r="N136" s="8"/>
      <c r="O136" s="8"/>
      <c r="P136" s="8"/>
      <c r="Q136" s="8"/>
      <c r="R136" s="8"/>
      <c r="S136" s="8"/>
      <c r="T136" s="8"/>
      <c r="U136" s="8"/>
      <c r="V136" s="8"/>
    </row>
    <row r="137" spans="1:22" ht="13">
      <c r="A137" s="58"/>
      <c r="B137" s="8"/>
      <c r="C137" s="8"/>
      <c r="D137" s="8"/>
      <c r="E137" s="8"/>
      <c r="F137" s="8"/>
      <c r="G137" s="8"/>
      <c r="H137" s="8"/>
      <c r="I137" s="8"/>
      <c r="J137" s="8"/>
      <c r="K137" s="8"/>
      <c r="L137" s="8"/>
      <c r="M137" s="8"/>
      <c r="N137" s="8"/>
      <c r="O137" s="8"/>
      <c r="P137" s="8"/>
      <c r="Q137" s="8"/>
      <c r="R137" s="8"/>
      <c r="S137" s="8"/>
      <c r="T137" s="8"/>
      <c r="U137" s="8"/>
      <c r="V137" s="8"/>
    </row>
    <row r="138" spans="1:22" ht="13">
      <c r="A138" s="58"/>
      <c r="B138" s="8"/>
      <c r="C138" s="8"/>
      <c r="D138" s="8"/>
      <c r="E138" s="8"/>
      <c r="F138" s="8"/>
      <c r="G138" s="8"/>
      <c r="H138" s="8"/>
      <c r="I138" s="8"/>
      <c r="J138" s="8"/>
      <c r="K138" s="8"/>
      <c r="L138" s="8"/>
      <c r="M138" s="8"/>
      <c r="N138" s="8"/>
      <c r="O138" s="8"/>
      <c r="P138" s="8"/>
      <c r="Q138" s="8"/>
      <c r="R138" s="8"/>
      <c r="S138" s="8"/>
      <c r="T138" s="8"/>
      <c r="U138" s="8"/>
      <c r="V138" s="8"/>
    </row>
    <row r="139" spans="1:22" ht="13">
      <c r="A139" s="58"/>
      <c r="B139" s="8"/>
      <c r="C139" s="8"/>
      <c r="D139" s="8"/>
      <c r="E139" s="8"/>
      <c r="F139" s="8"/>
      <c r="G139" s="8"/>
      <c r="H139" s="8"/>
      <c r="I139" s="8"/>
      <c r="J139" s="8"/>
      <c r="K139" s="8"/>
      <c r="L139" s="8"/>
      <c r="M139" s="8"/>
      <c r="N139" s="8"/>
      <c r="O139" s="8"/>
      <c r="P139" s="8"/>
      <c r="Q139" s="8"/>
      <c r="R139" s="8"/>
      <c r="S139" s="8"/>
      <c r="T139" s="8"/>
      <c r="U139" s="8"/>
      <c r="V139" s="8"/>
    </row>
    <row r="140" spans="1:22" ht="13">
      <c r="A140" s="58"/>
      <c r="B140" s="8"/>
      <c r="C140" s="8"/>
      <c r="D140" s="8"/>
      <c r="E140" s="8"/>
      <c r="F140" s="8"/>
      <c r="G140" s="8"/>
      <c r="H140" s="8"/>
      <c r="I140" s="8"/>
      <c r="J140" s="8"/>
      <c r="K140" s="8"/>
      <c r="L140" s="8"/>
      <c r="M140" s="8"/>
      <c r="N140" s="8"/>
      <c r="O140" s="8"/>
      <c r="P140" s="8"/>
      <c r="Q140" s="8"/>
      <c r="R140" s="8"/>
      <c r="S140" s="8"/>
      <c r="T140" s="8"/>
      <c r="U140" s="8"/>
      <c r="V140" s="8"/>
    </row>
    <row r="141" spans="1:22" ht="13">
      <c r="A141" s="58"/>
      <c r="B141" s="8"/>
      <c r="C141" s="8"/>
      <c r="D141" s="8"/>
      <c r="E141" s="8"/>
      <c r="F141" s="8"/>
      <c r="G141" s="8"/>
      <c r="H141" s="8"/>
      <c r="I141" s="8"/>
      <c r="J141" s="8"/>
      <c r="K141" s="8"/>
      <c r="L141" s="8"/>
      <c r="M141" s="8"/>
      <c r="N141" s="8"/>
      <c r="O141" s="8"/>
      <c r="P141" s="8"/>
      <c r="Q141" s="8"/>
      <c r="R141" s="8"/>
      <c r="S141" s="8"/>
      <c r="T141" s="8"/>
      <c r="U141" s="8"/>
      <c r="V141" s="8"/>
    </row>
    <row r="142" spans="1:22" ht="13">
      <c r="A142" s="58"/>
      <c r="B142" s="8"/>
      <c r="C142" s="8"/>
      <c r="D142" s="8"/>
      <c r="E142" s="8"/>
      <c r="F142" s="8"/>
      <c r="G142" s="8"/>
      <c r="H142" s="8"/>
      <c r="I142" s="8"/>
      <c r="J142" s="8"/>
      <c r="K142" s="8"/>
      <c r="L142" s="8"/>
      <c r="M142" s="8"/>
      <c r="N142" s="8"/>
      <c r="O142" s="8"/>
      <c r="P142" s="8"/>
      <c r="Q142" s="8"/>
      <c r="R142" s="8"/>
      <c r="S142" s="8"/>
      <c r="T142" s="8"/>
      <c r="U142" s="8"/>
      <c r="V142" s="8"/>
    </row>
    <row r="143" spans="1:22" ht="13">
      <c r="A143" s="58"/>
      <c r="B143" s="8"/>
      <c r="C143" s="8"/>
      <c r="D143" s="8"/>
      <c r="E143" s="8"/>
      <c r="F143" s="8"/>
      <c r="G143" s="8"/>
      <c r="H143" s="8"/>
      <c r="I143" s="8"/>
      <c r="J143" s="8"/>
      <c r="K143" s="8"/>
      <c r="L143" s="8"/>
      <c r="M143" s="8"/>
      <c r="N143" s="8"/>
      <c r="O143" s="8"/>
      <c r="P143" s="8"/>
      <c r="Q143" s="8"/>
      <c r="R143" s="8"/>
      <c r="S143" s="8"/>
      <c r="T143" s="8"/>
      <c r="U143" s="8"/>
      <c r="V143" s="8"/>
    </row>
    <row r="144" spans="1:22" ht="13">
      <c r="A144" s="58"/>
      <c r="B144" s="8"/>
      <c r="C144" s="8"/>
      <c r="D144" s="8"/>
      <c r="E144" s="8"/>
      <c r="F144" s="8"/>
      <c r="G144" s="8"/>
      <c r="H144" s="8"/>
      <c r="I144" s="8"/>
      <c r="J144" s="8"/>
      <c r="K144" s="8"/>
      <c r="L144" s="8"/>
      <c r="M144" s="8"/>
      <c r="N144" s="8"/>
      <c r="O144" s="8"/>
      <c r="P144" s="8"/>
      <c r="Q144" s="8"/>
      <c r="R144" s="8"/>
      <c r="S144" s="8"/>
      <c r="T144" s="8"/>
      <c r="U144" s="8"/>
      <c r="V144" s="8"/>
    </row>
    <row r="145" spans="1:22" ht="13">
      <c r="A145" s="58"/>
      <c r="B145" s="8"/>
      <c r="C145" s="8"/>
      <c r="D145" s="8"/>
      <c r="E145" s="8"/>
      <c r="F145" s="8"/>
      <c r="G145" s="8"/>
      <c r="H145" s="8"/>
      <c r="I145" s="8"/>
      <c r="J145" s="8"/>
      <c r="K145" s="8"/>
      <c r="L145" s="8"/>
      <c r="M145" s="8"/>
      <c r="N145" s="8"/>
      <c r="O145" s="8"/>
      <c r="P145" s="8"/>
      <c r="Q145" s="8"/>
      <c r="R145" s="8"/>
      <c r="S145" s="8"/>
      <c r="T145" s="8"/>
      <c r="U145" s="8"/>
      <c r="V145" s="8"/>
    </row>
    <row r="146" spans="1:22" ht="13">
      <c r="A146" s="58"/>
      <c r="B146" s="8"/>
      <c r="C146" s="8"/>
      <c r="D146" s="8"/>
      <c r="E146" s="8"/>
      <c r="F146" s="8"/>
      <c r="G146" s="8"/>
      <c r="H146" s="8"/>
      <c r="I146" s="8"/>
      <c r="J146" s="8"/>
      <c r="K146" s="8"/>
      <c r="L146" s="8"/>
      <c r="M146" s="8"/>
      <c r="N146" s="8"/>
      <c r="O146" s="8"/>
      <c r="P146" s="8"/>
      <c r="Q146" s="8"/>
      <c r="R146" s="8"/>
      <c r="S146" s="8"/>
      <c r="T146" s="8"/>
      <c r="U146" s="8"/>
      <c r="V146" s="8"/>
    </row>
    <row r="147" spans="1:22" ht="13">
      <c r="A147" s="58"/>
      <c r="B147" s="8"/>
      <c r="C147" s="8"/>
      <c r="D147" s="8"/>
      <c r="E147" s="8"/>
      <c r="F147" s="8"/>
      <c r="G147" s="8"/>
      <c r="H147" s="8"/>
      <c r="I147" s="8"/>
      <c r="J147" s="8"/>
      <c r="K147" s="8"/>
      <c r="L147" s="8"/>
      <c r="M147" s="8"/>
      <c r="N147" s="8"/>
      <c r="O147" s="8"/>
      <c r="P147" s="8"/>
      <c r="Q147" s="8"/>
      <c r="R147" s="8"/>
      <c r="S147" s="8"/>
      <c r="T147" s="8"/>
      <c r="U147" s="8"/>
      <c r="V147" s="8"/>
    </row>
    <row r="148" spans="1:22" ht="13">
      <c r="A148" s="58"/>
      <c r="B148" s="8"/>
      <c r="C148" s="8"/>
      <c r="D148" s="8"/>
      <c r="E148" s="8"/>
      <c r="F148" s="8"/>
      <c r="G148" s="8"/>
      <c r="H148" s="8"/>
      <c r="I148" s="8"/>
      <c r="J148" s="8"/>
      <c r="K148" s="8"/>
      <c r="L148" s="8"/>
      <c r="M148" s="8"/>
      <c r="N148" s="8"/>
      <c r="O148" s="8"/>
      <c r="P148" s="8"/>
      <c r="Q148" s="8"/>
      <c r="R148" s="8"/>
      <c r="S148" s="8"/>
      <c r="T148" s="8"/>
      <c r="U148" s="8"/>
      <c r="V148" s="8"/>
    </row>
    <row r="149" spans="1:22" ht="13">
      <c r="A149" s="58"/>
      <c r="B149" s="8"/>
      <c r="C149" s="8"/>
      <c r="D149" s="8"/>
      <c r="E149" s="8"/>
      <c r="F149" s="8"/>
      <c r="G149" s="8"/>
      <c r="H149" s="8"/>
      <c r="I149" s="8"/>
      <c r="J149" s="8"/>
      <c r="K149" s="8"/>
      <c r="L149" s="8"/>
      <c r="M149" s="8"/>
      <c r="N149" s="8"/>
      <c r="O149" s="8"/>
      <c r="P149" s="8"/>
      <c r="Q149" s="8"/>
      <c r="R149" s="8"/>
      <c r="S149" s="8"/>
      <c r="T149" s="8"/>
      <c r="U149" s="8"/>
      <c r="V149" s="8"/>
    </row>
    <row r="150" spans="1:22" ht="13">
      <c r="A150" s="58"/>
      <c r="B150" s="8"/>
      <c r="C150" s="8"/>
      <c r="D150" s="8"/>
      <c r="E150" s="8"/>
      <c r="F150" s="8"/>
      <c r="G150" s="8"/>
      <c r="H150" s="8"/>
      <c r="I150" s="8"/>
      <c r="J150" s="8"/>
      <c r="K150" s="8"/>
      <c r="L150" s="8"/>
      <c r="M150" s="8"/>
      <c r="N150" s="8"/>
      <c r="O150" s="8"/>
      <c r="P150" s="8"/>
      <c r="Q150" s="8"/>
      <c r="R150" s="8"/>
      <c r="S150" s="8"/>
      <c r="T150" s="8"/>
      <c r="U150" s="8"/>
      <c r="V150" s="8"/>
    </row>
    <row r="151" spans="1:22" ht="13">
      <c r="A151" s="58"/>
      <c r="B151" s="8"/>
      <c r="C151" s="8"/>
      <c r="D151" s="8"/>
      <c r="E151" s="8"/>
      <c r="F151" s="8"/>
      <c r="G151" s="8"/>
      <c r="H151" s="8"/>
      <c r="I151" s="8"/>
      <c r="J151" s="8"/>
      <c r="K151" s="8"/>
      <c r="L151" s="8"/>
      <c r="M151" s="8"/>
      <c r="N151" s="8"/>
      <c r="O151" s="8"/>
      <c r="P151" s="8"/>
      <c r="Q151" s="8"/>
      <c r="R151" s="8"/>
      <c r="S151" s="8"/>
      <c r="T151" s="8"/>
      <c r="U151" s="8"/>
      <c r="V151" s="8"/>
    </row>
    <row r="152" spans="1:22" ht="13">
      <c r="A152" s="58"/>
      <c r="B152" s="8"/>
      <c r="C152" s="8"/>
      <c r="D152" s="8"/>
      <c r="E152" s="8"/>
      <c r="F152" s="8"/>
      <c r="G152" s="8"/>
      <c r="H152" s="8"/>
      <c r="I152" s="8"/>
      <c r="J152" s="8"/>
      <c r="K152" s="8"/>
      <c r="L152" s="8"/>
      <c r="M152" s="8"/>
      <c r="N152" s="8"/>
      <c r="O152" s="8"/>
      <c r="P152" s="8"/>
      <c r="Q152" s="8"/>
      <c r="R152" s="8"/>
      <c r="S152" s="8"/>
      <c r="T152" s="8"/>
      <c r="U152" s="8"/>
      <c r="V152" s="8"/>
    </row>
    <row r="153" spans="1:22" ht="13">
      <c r="A153" s="58"/>
      <c r="B153" s="8"/>
      <c r="C153" s="8"/>
      <c r="D153" s="8"/>
      <c r="E153" s="8"/>
      <c r="F153" s="8"/>
      <c r="G153" s="8"/>
      <c r="H153" s="8"/>
      <c r="I153" s="8"/>
      <c r="J153" s="8"/>
      <c r="K153" s="8"/>
      <c r="L153" s="8"/>
      <c r="M153" s="8"/>
      <c r="N153" s="8"/>
      <c r="O153" s="8"/>
      <c r="P153" s="8"/>
      <c r="Q153" s="8"/>
      <c r="R153" s="8"/>
      <c r="S153" s="8"/>
      <c r="T153" s="8"/>
      <c r="U153" s="8"/>
      <c r="V153" s="8"/>
    </row>
    <row r="154" spans="1:22" ht="13">
      <c r="A154" s="58"/>
      <c r="B154" s="8"/>
      <c r="C154" s="8"/>
      <c r="D154" s="8"/>
      <c r="E154" s="8"/>
      <c r="F154" s="8"/>
      <c r="G154" s="8"/>
      <c r="H154" s="8"/>
      <c r="I154" s="8"/>
      <c r="J154" s="8"/>
      <c r="K154" s="8"/>
      <c r="L154" s="8"/>
      <c r="M154" s="8"/>
      <c r="N154" s="8"/>
      <c r="O154" s="8"/>
      <c r="P154" s="8"/>
      <c r="Q154" s="8"/>
      <c r="R154" s="8"/>
      <c r="S154" s="8"/>
      <c r="T154" s="8"/>
      <c r="U154" s="8"/>
      <c r="V154" s="8"/>
    </row>
    <row r="155" spans="1:22" ht="13">
      <c r="A155" s="58"/>
      <c r="B155" s="8"/>
      <c r="C155" s="8"/>
      <c r="D155" s="8"/>
      <c r="E155" s="8"/>
      <c r="F155" s="8"/>
      <c r="G155" s="8"/>
      <c r="H155" s="8"/>
      <c r="I155" s="8"/>
      <c r="J155" s="8"/>
      <c r="K155" s="8"/>
      <c r="L155" s="8"/>
      <c r="M155" s="8"/>
      <c r="N155" s="8"/>
      <c r="O155" s="8"/>
      <c r="P155" s="8"/>
      <c r="Q155" s="8"/>
      <c r="R155" s="8"/>
      <c r="S155" s="8"/>
      <c r="T155" s="8"/>
      <c r="U155" s="8"/>
      <c r="V155" s="8"/>
    </row>
    <row r="156" spans="1:22" ht="13">
      <c r="A156" s="58"/>
      <c r="B156" s="8"/>
      <c r="C156" s="8"/>
      <c r="D156" s="8"/>
      <c r="E156" s="8"/>
      <c r="F156" s="8"/>
      <c r="G156" s="8"/>
      <c r="H156" s="8"/>
      <c r="I156" s="8"/>
      <c r="J156" s="8"/>
      <c r="K156" s="8"/>
      <c r="L156" s="8"/>
      <c r="M156" s="8"/>
      <c r="N156" s="8"/>
      <c r="O156" s="8"/>
      <c r="P156" s="8"/>
      <c r="Q156" s="8"/>
      <c r="R156" s="8"/>
      <c r="S156" s="8"/>
      <c r="T156" s="8"/>
      <c r="U156" s="8"/>
      <c r="V156" s="8"/>
    </row>
    <row r="157" spans="1:22" ht="13">
      <c r="A157" s="58"/>
      <c r="B157" s="8"/>
      <c r="C157" s="8"/>
      <c r="D157" s="8"/>
      <c r="E157" s="8"/>
      <c r="F157" s="8"/>
      <c r="G157" s="8"/>
      <c r="H157" s="8"/>
      <c r="I157" s="8"/>
      <c r="J157" s="8"/>
      <c r="K157" s="8"/>
      <c r="L157" s="8"/>
      <c r="M157" s="8"/>
      <c r="N157" s="8"/>
      <c r="O157" s="8"/>
      <c r="P157" s="8"/>
      <c r="Q157" s="8"/>
      <c r="R157" s="8"/>
      <c r="S157" s="8"/>
      <c r="T157" s="8"/>
      <c r="U157" s="8"/>
      <c r="V157" s="8"/>
    </row>
    <row r="158" spans="1:22" ht="13">
      <c r="A158" s="58"/>
      <c r="B158" s="8"/>
      <c r="C158" s="8"/>
      <c r="D158" s="8"/>
      <c r="E158" s="8"/>
      <c r="F158" s="8"/>
      <c r="G158" s="8"/>
      <c r="H158" s="8"/>
      <c r="I158" s="8"/>
      <c r="J158" s="8"/>
      <c r="K158" s="8"/>
      <c r="L158" s="8"/>
      <c r="M158" s="8"/>
      <c r="N158" s="8"/>
      <c r="O158" s="8"/>
      <c r="P158" s="8"/>
      <c r="Q158" s="8"/>
      <c r="R158" s="8"/>
      <c r="S158" s="8"/>
      <c r="T158" s="8"/>
      <c r="U158" s="8"/>
      <c r="V158" s="8"/>
    </row>
    <row r="159" spans="1:22" ht="13">
      <c r="A159" s="58"/>
      <c r="B159" s="8"/>
      <c r="C159" s="8"/>
      <c r="D159" s="8"/>
      <c r="E159" s="8"/>
      <c r="F159" s="8"/>
      <c r="G159" s="8"/>
      <c r="H159" s="8"/>
      <c r="I159" s="8"/>
      <c r="J159" s="8"/>
      <c r="K159" s="8"/>
      <c r="L159" s="8"/>
      <c r="M159" s="8"/>
      <c r="N159" s="8"/>
      <c r="O159" s="8"/>
      <c r="P159" s="8"/>
      <c r="Q159" s="8"/>
      <c r="R159" s="8"/>
      <c r="S159" s="8"/>
      <c r="T159" s="8"/>
      <c r="U159" s="8"/>
      <c r="V159" s="8"/>
    </row>
    <row r="160" spans="1:22" ht="13">
      <c r="A160" s="58"/>
      <c r="B160" s="8"/>
      <c r="C160" s="8"/>
      <c r="D160" s="8"/>
      <c r="E160" s="8"/>
      <c r="F160" s="8"/>
      <c r="G160" s="8"/>
      <c r="H160" s="8"/>
      <c r="I160" s="8"/>
      <c r="J160" s="8"/>
      <c r="K160" s="8"/>
      <c r="L160" s="8"/>
      <c r="M160" s="8"/>
      <c r="N160" s="8"/>
      <c r="O160" s="8"/>
      <c r="P160" s="8"/>
      <c r="Q160" s="8"/>
      <c r="R160" s="8"/>
      <c r="S160" s="8"/>
      <c r="T160" s="8"/>
      <c r="U160" s="8"/>
      <c r="V160" s="8"/>
    </row>
    <row r="161" spans="1:22" ht="13">
      <c r="A161" s="58"/>
      <c r="B161" s="8"/>
      <c r="C161" s="8"/>
      <c r="D161" s="8"/>
      <c r="E161" s="8"/>
      <c r="F161" s="8"/>
      <c r="G161" s="8"/>
      <c r="H161" s="8"/>
      <c r="I161" s="8"/>
      <c r="J161" s="8"/>
      <c r="K161" s="8"/>
      <c r="L161" s="8"/>
      <c r="M161" s="8"/>
      <c r="N161" s="8"/>
      <c r="O161" s="8"/>
      <c r="P161" s="8"/>
      <c r="Q161" s="8"/>
      <c r="R161" s="8"/>
      <c r="S161" s="8"/>
      <c r="T161" s="8"/>
      <c r="U161" s="8"/>
      <c r="V161" s="8"/>
    </row>
    <row r="162" spans="1:22" ht="13">
      <c r="A162" s="58"/>
      <c r="B162" s="8"/>
      <c r="C162" s="8"/>
      <c r="D162" s="8"/>
      <c r="E162" s="8"/>
      <c r="F162" s="8"/>
      <c r="G162" s="8"/>
      <c r="H162" s="8"/>
      <c r="I162" s="8"/>
      <c r="J162" s="8"/>
      <c r="K162" s="8"/>
      <c r="L162" s="8"/>
      <c r="M162" s="8"/>
      <c r="N162" s="8"/>
      <c r="O162" s="8"/>
      <c r="P162" s="8"/>
      <c r="Q162" s="8"/>
      <c r="R162" s="8"/>
      <c r="S162" s="8"/>
      <c r="T162" s="8"/>
      <c r="U162" s="8"/>
      <c r="V162" s="8"/>
    </row>
    <row r="163" spans="1:22" ht="13">
      <c r="A163" s="58"/>
      <c r="B163" s="8"/>
      <c r="C163" s="8"/>
      <c r="D163" s="8"/>
      <c r="E163" s="8"/>
      <c r="F163" s="8"/>
      <c r="G163" s="8"/>
      <c r="H163" s="8"/>
      <c r="I163" s="8"/>
      <c r="J163" s="8"/>
      <c r="K163" s="8"/>
      <c r="L163" s="8"/>
      <c r="M163" s="8"/>
      <c r="N163" s="8"/>
      <c r="O163" s="8"/>
      <c r="P163" s="8"/>
      <c r="Q163" s="8"/>
      <c r="R163" s="8"/>
      <c r="S163" s="8"/>
      <c r="T163" s="8"/>
      <c r="U163" s="8"/>
      <c r="V163" s="8"/>
    </row>
    <row r="164" spans="1:22" ht="13">
      <c r="A164" s="58"/>
      <c r="B164" s="8"/>
      <c r="C164" s="8"/>
      <c r="D164" s="8"/>
      <c r="E164" s="8"/>
      <c r="F164" s="8"/>
      <c r="G164" s="8"/>
      <c r="H164" s="8"/>
      <c r="I164" s="8"/>
      <c r="J164" s="8"/>
      <c r="K164" s="8"/>
      <c r="L164" s="8"/>
      <c r="M164" s="8"/>
      <c r="N164" s="8"/>
      <c r="O164" s="8"/>
      <c r="P164" s="8"/>
      <c r="Q164" s="8"/>
      <c r="R164" s="8"/>
      <c r="S164" s="8"/>
      <c r="T164" s="8"/>
      <c r="U164" s="8"/>
      <c r="V164" s="8"/>
    </row>
    <row r="165" spans="1:22" ht="13">
      <c r="A165" s="58"/>
      <c r="B165" s="8"/>
      <c r="C165" s="8"/>
      <c r="D165" s="8"/>
      <c r="E165" s="8"/>
      <c r="F165" s="8"/>
      <c r="G165" s="8"/>
      <c r="H165" s="8"/>
      <c r="I165" s="8"/>
      <c r="J165" s="8"/>
      <c r="K165" s="8"/>
      <c r="L165" s="8"/>
      <c r="M165" s="8"/>
      <c r="N165" s="8"/>
      <c r="O165" s="8"/>
      <c r="P165" s="8"/>
      <c r="Q165" s="8"/>
      <c r="R165" s="8"/>
      <c r="S165" s="8"/>
      <c r="T165" s="8"/>
      <c r="U165" s="8"/>
      <c r="V165" s="8"/>
    </row>
    <row r="166" spans="1:22" ht="13">
      <c r="A166" s="58"/>
      <c r="B166" s="8"/>
      <c r="C166" s="8"/>
      <c r="D166" s="8"/>
      <c r="E166" s="8"/>
      <c r="F166" s="8"/>
      <c r="G166" s="8"/>
      <c r="H166" s="8"/>
      <c r="I166" s="8"/>
      <c r="J166" s="8"/>
      <c r="K166" s="8"/>
      <c r="L166" s="8"/>
      <c r="M166" s="8"/>
      <c r="N166" s="8"/>
      <c r="O166" s="8"/>
      <c r="P166" s="8"/>
      <c r="Q166" s="8"/>
      <c r="R166" s="8"/>
      <c r="S166" s="8"/>
      <c r="T166" s="8"/>
      <c r="U166" s="8"/>
      <c r="V166" s="8"/>
    </row>
    <row r="167" spans="1:22" ht="13">
      <c r="A167" s="58"/>
      <c r="B167" s="8"/>
      <c r="C167" s="8"/>
      <c r="D167" s="8"/>
      <c r="E167" s="8"/>
      <c r="F167" s="8"/>
      <c r="G167" s="8"/>
      <c r="H167" s="8"/>
      <c r="I167" s="8"/>
      <c r="J167" s="8"/>
      <c r="K167" s="8"/>
      <c r="L167" s="8"/>
      <c r="M167" s="8"/>
      <c r="N167" s="8"/>
      <c r="O167" s="8"/>
      <c r="P167" s="8"/>
      <c r="Q167" s="8"/>
      <c r="R167" s="8"/>
      <c r="S167" s="8"/>
      <c r="T167" s="8"/>
      <c r="U167" s="8"/>
      <c r="V167" s="8"/>
    </row>
    <row r="168" spans="1:22" ht="13">
      <c r="A168" s="58"/>
      <c r="B168" s="8"/>
      <c r="C168" s="8"/>
      <c r="D168" s="8"/>
      <c r="E168" s="8"/>
      <c r="F168" s="8"/>
      <c r="G168" s="8"/>
      <c r="H168" s="8"/>
      <c r="I168" s="8"/>
      <c r="J168" s="8"/>
      <c r="K168" s="8"/>
      <c r="L168" s="8"/>
      <c r="M168" s="8"/>
      <c r="N168" s="8"/>
      <c r="O168" s="8"/>
      <c r="P168" s="8"/>
      <c r="Q168" s="8"/>
      <c r="R168" s="8"/>
      <c r="S168" s="8"/>
      <c r="T168" s="8"/>
      <c r="U168" s="8"/>
      <c r="V168" s="8"/>
    </row>
    <row r="169" spans="1:22" ht="13">
      <c r="A169" s="58"/>
      <c r="B169" s="8"/>
      <c r="C169" s="8"/>
      <c r="D169" s="8"/>
      <c r="E169" s="8"/>
      <c r="F169" s="8"/>
      <c r="G169" s="8"/>
      <c r="H169" s="8"/>
      <c r="I169" s="8"/>
      <c r="J169" s="8"/>
      <c r="K169" s="8"/>
      <c r="L169" s="8"/>
      <c r="M169" s="8"/>
      <c r="N169" s="8"/>
      <c r="O169" s="8"/>
      <c r="P169" s="8"/>
      <c r="Q169" s="8"/>
      <c r="R169" s="8"/>
      <c r="S169" s="8"/>
      <c r="T169" s="8"/>
      <c r="U169" s="8"/>
      <c r="V169" s="8"/>
    </row>
    <row r="170" spans="1:22" ht="13">
      <c r="A170" s="58"/>
      <c r="B170" s="8"/>
      <c r="C170" s="8"/>
      <c r="D170" s="8"/>
      <c r="E170" s="8"/>
      <c r="F170" s="8"/>
      <c r="G170" s="8"/>
      <c r="H170" s="8"/>
      <c r="I170" s="8"/>
      <c r="J170" s="8"/>
      <c r="K170" s="8"/>
      <c r="L170" s="8"/>
      <c r="M170" s="8"/>
      <c r="N170" s="8"/>
      <c r="O170" s="8"/>
      <c r="P170" s="8"/>
      <c r="Q170" s="8"/>
      <c r="R170" s="8"/>
      <c r="S170" s="8"/>
      <c r="T170" s="8"/>
      <c r="U170" s="8"/>
      <c r="V170" s="8"/>
    </row>
    <row r="171" spans="1:22" ht="13">
      <c r="A171" s="58"/>
      <c r="B171" s="8"/>
      <c r="C171" s="8"/>
      <c r="D171" s="8"/>
      <c r="E171" s="8"/>
      <c r="F171" s="8"/>
      <c r="G171" s="8"/>
      <c r="H171" s="8"/>
      <c r="I171" s="8"/>
      <c r="J171" s="8"/>
      <c r="K171" s="8"/>
      <c r="L171" s="8"/>
      <c r="M171" s="8"/>
      <c r="N171" s="8"/>
      <c r="O171" s="8"/>
      <c r="P171" s="8"/>
      <c r="Q171" s="8"/>
      <c r="R171" s="8"/>
      <c r="S171" s="8"/>
      <c r="T171" s="8"/>
      <c r="U171" s="8"/>
      <c r="V171" s="8"/>
    </row>
    <row r="172" spans="1:22" ht="13">
      <c r="A172" s="58"/>
      <c r="B172" s="8"/>
      <c r="C172" s="8"/>
      <c r="D172" s="8"/>
      <c r="E172" s="8"/>
      <c r="F172" s="8"/>
      <c r="G172" s="8"/>
      <c r="H172" s="8"/>
      <c r="I172" s="8"/>
      <c r="J172" s="8"/>
      <c r="K172" s="8"/>
      <c r="L172" s="8"/>
      <c r="M172" s="8"/>
      <c r="N172" s="8"/>
      <c r="O172" s="8"/>
      <c r="P172" s="8"/>
      <c r="Q172" s="8"/>
      <c r="R172" s="8"/>
      <c r="S172" s="8"/>
      <c r="T172" s="8"/>
      <c r="U172" s="8"/>
      <c r="V172" s="8"/>
    </row>
    <row r="173" spans="1:22" ht="13">
      <c r="A173" s="58"/>
      <c r="B173" s="8"/>
      <c r="C173" s="8"/>
      <c r="D173" s="8"/>
      <c r="E173" s="8"/>
      <c r="F173" s="8"/>
      <c r="G173" s="8"/>
      <c r="H173" s="8"/>
      <c r="I173" s="8"/>
      <c r="J173" s="8"/>
      <c r="K173" s="8"/>
      <c r="L173" s="8"/>
      <c r="M173" s="8"/>
      <c r="N173" s="8"/>
      <c r="O173" s="8"/>
      <c r="P173" s="8"/>
      <c r="Q173" s="8"/>
      <c r="R173" s="8"/>
      <c r="S173" s="8"/>
      <c r="T173" s="8"/>
      <c r="U173" s="8"/>
      <c r="V173" s="8"/>
    </row>
    <row r="174" spans="1:22" ht="13">
      <c r="A174" s="58"/>
      <c r="B174" s="8"/>
      <c r="C174" s="8"/>
      <c r="D174" s="8"/>
      <c r="E174" s="8"/>
      <c r="F174" s="8"/>
      <c r="G174" s="8"/>
      <c r="H174" s="8"/>
      <c r="I174" s="8"/>
      <c r="J174" s="8"/>
      <c r="K174" s="8"/>
      <c r="L174" s="8"/>
      <c r="M174" s="8"/>
      <c r="N174" s="8"/>
      <c r="O174" s="8"/>
      <c r="P174" s="8"/>
      <c r="Q174" s="8"/>
      <c r="R174" s="8"/>
      <c r="S174" s="8"/>
      <c r="T174" s="8"/>
      <c r="U174" s="8"/>
      <c r="V174" s="8"/>
    </row>
    <row r="175" spans="1:22" ht="13">
      <c r="A175" s="58"/>
      <c r="B175" s="8"/>
      <c r="C175" s="8"/>
      <c r="D175" s="8"/>
      <c r="E175" s="8"/>
      <c r="F175" s="8"/>
      <c r="G175" s="8"/>
      <c r="H175" s="8"/>
      <c r="I175" s="8"/>
      <c r="J175" s="8"/>
      <c r="K175" s="8"/>
      <c r="L175" s="8"/>
      <c r="M175" s="8"/>
      <c r="N175" s="8"/>
      <c r="O175" s="8"/>
      <c r="P175" s="8"/>
      <c r="Q175" s="8"/>
      <c r="R175" s="8"/>
      <c r="S175" s="8"/>
      <c r="T175" s="8"/>
      <c r="U175" s="8"/>
      <c r="V175" s="8"/>
    </row>
    <row r="176" spans="1:22" ht="13">
      <c r="A176" s="58"/>
      <c r="B176" s="8"/>
      <c r="C176" s="8"/>
      <c r="D176" s="8"/>
      <c r="E176" s="8"/>
      <c r="F176" s="8"/>
      <c r="G176" s="8"/>
      <c r="H176" s="8"/>
      <c r="I176" s="8"/>
      <c r="J176" s="8"/>
      <c r="K176" s="8"/>
      <c r="L176" s="8"/>
      <c r="M176" s="8"/>
      <c r="N176" s="8"/>
      <c r="O176" s="8"/>
      <c r="P176" s="8"/>
      <c r="Q176" s="8"/>
      <c r="R176" s="8"/>
      <c r="S176" s="8"/>
      <c r="T176" s="8"/>
      <c r="U176" s="8"/>
      <c r="V176" s="8"/>
    </row>
    <row r="177" spans="1:22" ht="13">
      <c r="A177" s="58"/>
      <c r="B177" s="8"/>
      <c r="C177" s="8"/>
      <c r="D177" s="8"/>
      <c r="E177" s="8"/>
      <c r="F177" s="8"/>
      <c r="G177" s="8"/>
      <c r="H177" s="8"/>
      <c r="I177" s="8"/>
      <c r="J177" s="8"/>
      <c r="K177" s="8"/>
      <c r="L177" s="8"/>
      <c r="M177" s="8"/>
      <c r="N177" s="8"/>
      <c r="O177" s="8"/>
      <c r="P177" s="8"/>
      <c r="Q177" s="8"/>
      <c r="R177" s="8"/>
      <c r="S177" s="8"/>
      <c r="T177" s="8"/>
      <c r="U177" s="8"/>
      <c r="V177" s="8"/>
    </row>
    <row r="178" spans="1:22" ht="13">
      <c r="A178" s="58"/>
      <c r="B178" s="8"/>
      <c r="C178" s="8"/>
      <c r="D178" s="8"/>
      <c r="E178" s="8"/>
      <c r="F178" s="8"/>
      <c r="G178" s="8"/>
      <c r="H178" s="8"/>
      <c r="I178" s="8"/>
      <c r="J178" s="8"/>
      <c r="K178" s="8"/>
      <c r="L178" s="8"/>
      <c r="M178" s="8"/>
      <c r="N178" s="8"/>
      <c r="O178" s="8"/>
      <c r="P178" s="8"/>
      <c r="Q178" s="8"/>
      <c r="R178" s="8"/>
      <c r="S178" s="8"/>
      <c r="T178" s="8"/>
      <c r="U178" s="8"/>
      <c r="V178" s="8"/>
    </row>
    <row r="179" spans="1:22" ht="13">
      <c r="A179" s="58"/>
      <c r="B179" s="8"/>
      <c r="C179" s="8"/>
      <c r="D179" s="8"/>
      <c r="E179" s="8"/>
      <c r="F179" s="8"/>
      <c r="G179" s="8"/>
      <c r="H179" s="8"/>
      <c r="I179" s="8"/>
      <c r="J179" s="8"/>
      <c r="K179" s="8"/>
      <c r="L179" s="8"/>
      <c r="M179" s="8"/>
      <c r="N179" s="8"/>
      <c r="O179" s="8"/>
      <c r="P179" s="8"/>
      <c r="Q179" s="8"/>
      <c r="R179" s="8"/>
      <c r="S179" s="8"/>
      <c r="T179" s="8"/>
      <c r="U179" s="8"/>
      <c r="V179" s="8"/>
    </row>
    <row r="180" spans="1:22" ht="13">
      <c r="A180" s="58"/>
      <c r="B180" s="8"/>
      <c r="C180" s="8"/>
      <c r="D180" s="8"/>
      <c r="E180" s="8"/>
      <c r="F180" s="8"/>
      <c r="G180" s="8"/>
      <c r="H180" s="8"/>
      <c r="I180" s="8"/>
      <c r="J180" s="8"/>
      <c r="K180" s="8"/>
      <c r="L180" s="8"/>
      <c r="M180" s="8"/>
      <c r="N180" s="8"/>
      <c r="O180" s="8"/>
      <c r="P180" s="8"/>
      <c r="Q180" s="8"/>
      <c r="R180" s="8"/>
      <c r="S180" s="8"/>
      <c r="T180" s="8"/>
      <c r="U180" s="8"/>
      <c r="V180" s="8"/>
    </row>
    <row r="181" spans="1:22" ht="13">
      <c r="A181" s="58"/>
      <c r="B181" s="8"/>
      <c r="C181" s="8"/>
      <c r="D181" s="8"/>
      <c r="E181" s="8"/>
      <c r="F181" s="8"/>
      <c r="G181" s="8"/>
      <c r="H181" s="8"/>
      <c r="I181" s="8"/>
      <c r="J181" s="8"/>
      <c r="K181" s="8"/>
      <c r="L181" s="8"/>
      <c r="M181" s="8"/>
      <c r="N181" s="8"/>
      <c r="O181" s="8"/>
      <c r="P181" s="8"/>
      <c r="Q181" s="8"/>
      <c r="R181" s="8"/>
      <c r="S181" s="8"/>
      <c r="T181" s="8"/>
      <c r="U181" s="8"/>
      <c r="V181" s="8"/>
    </row>
    <row r="182" spans="1:22" ht="13">
      <c r="A182" s="58"/>
      <c r="B182" s="8"/>
      <c r="C182" s="8"/>
      <c r="D182" s="8"/>
      <c r="E182" s="8"/>
      <c r="F182" s="8"/>
      <c r="G182" s="8"/>
      <c r="H182" s="8"/>
      <c r="I182" s="8"/>
      <c r="J182" s="8"/>
      <c r="K182" s="8"/>
      <c r="L182" s="8"/>
      <c r="M182" s="8"/>
      <c r="N182" s="8"/>
      <c r="O182" s="8"/>
      <c r="P182" s="8"/>
      <c r="Q182" s="8"/>
      <c r="R182" s="8"/>
      <c r="S182" s="8"/>
      <c r="T182" s="8"/>
      <c r="U182" s="8"/>
      <c r="V182" s="8"/>
    </row>
    <row r="183" spans="1:22" ht="13">
      <c r="A183" s="58"/>
      <c r="B183" s="8"/>
      <c r="C183" s="8"/>
      <c r="D183" s="8"/>
      <c r="E183" s="8"/>
      <c r="F183" s="8"/>
      <c r="G183" s="8"/>
      <c r="H183" s="8"/>
      <c r="I183" s="8"/>
      <c r="J183" s="8"/>
      <c r="K183" s="8"/>
      <c r="L183" s="8"/>
      <c r="M183" s="8"/>
      <c r="N183" s="8"/>
      <c r="O183" s="8"/>
      <c r="P183" s="8"/>
      <c r="Q183" s="8"/>
      <c r="R183" s="8"/>
      <c r="S183" s="8"/>
      <c r="T183" s="8"/>
      <c r="U183" s="8"/>
      <c r="V183" s="8"/>
    </row>
    <row r="184" spans="1:22" ht="13">
      <c r="A184" s="58"/>
      <c r="B184" s="8"/>
      <c r="C184" s="8"/>
      <c r="D184" s="8"/>
      <c r="E184" s="8"/>
      <c r="F184" s="8"/>
      <c r="G184" s="8"/>
      <c r="H184" s="8"/>
      <c r="I184" s="8"/>
      <c r="J184" s="8"/>
      <c r="K184" s="8"/>
      <c r="L184" s="8"/>
      <c r="M184" s="8"/>
      <c r="N184" s="8"/>
      <c r="O184" s="8"/>
      <c r="P184" s="8"/>
      <c r="Q184" s="8"/>
      <c r="R184" s="8"/>
      <c r="S184" s="8"/>
      <c r="T184" s="8"/>
      <c r="U184" s="8"/>
      <c r="V184" s="8"/>
    </row>
    <row r="185" spans="1:22" ht="13">
      <c r="A185" s="58"/>
      <c r="B185" s="8"/>
      <c r="C185" s="8"/>
      <c r="D185" s="8"/>
      <c r="E185" s="8"/>
      <c r="F185" s="8"/>
      <c r="G185" s="8"/>
      <c r="H185" s="8"/>
      <c r="I185" s="8"/>
      <c r="J185" s="8"/>
      <c r="K185" s="8"/>
      <c r="L185" s="8"/>
      <c r="M185" s="8"/>
      <c r="N185" s="8"/>
      <c r="O185" s="8"/>
      <c r="P185" s="8"/>
      <c r="Q185" s="8"/>
      <c r="R185" s="8"/>
      <c r="S185" s="8"/>
      <c r="T185" s="8"/>
      <c r="U185" s="8"/>
      <c r="V185" s="8"/>
    </row>
    <row r="186" spans="1:22" ht="13">
      <c r="A186" s="58"/>
      <c r="B186" s="8"/>
      <c r="C186" s="8"/>
      <c r="D186" s="8"/>
      <c r="E186" s="8"/>
      <c r="F186" s="8"/>
      <c r="G186" s="8"/>
      <c r="H186" s="8"/>
      <c r="I186" s="8"/>
      <c r="J186" s="8"/>
      <c r="K186" s="8"/>
      <c r="L186" s="8"/>
      <c r="M186" s="8"/>
      <c r="N186" s="8"/>
      <c r="O186" s="8"/>
      <c r="P186" s="8"/>
      <c r="Q186" s="8"/>
      <c r="R186" s="8"/>
      <c r="S186" s="8"/>
      <c r="T186" s="8"/>
      <c r="U186" s="8"/>
      <c r="V186" s="8"/>
    </row>
    <row r="187" spans="1:22" ht="13">
      <c r="A187" s="58"/>
      <c r="B187" s="8"/>
      <c r="C187" s="8"/>
      <c r="D187" s="8"/>
      <c r="E187" s="8"/>
      <c r="F187" s="8"/>
      <c r="G187" s="8"/>
      <c r="H187" s="8"/>
      <c r="I187" s="8"/>
      <c r="J187" s="8"/>
      <c r="K187" s="8"/>
      <c r="L187" s="8"/>
      <c r="M187" s="8"/>
      <c r="N187" s="8"/>
      <c r="O187" s="8"/>
      <c r="P187" s="8"/>
      <c r="Q187" s="8"/>
      <c r="R187" s="8"/>
      <c r="S187" s="8"/>
      <c r="T187" s="8"/>
      <c r="U187" s="8"/>
      <c r="V187" s="8"/>
    </row>
    <row r="188" spans="1:22" ht="13">
      <c r="A188" s="58"/>
      <c r="B188" s="8"/>
      <c r="C188" s="8"/>
      <c r="D188" s="8"/>
      <c r="E188" s="8"/>
      <c r="F188" s="8"/>
      <c r="G188" s="8"/>
      <c r="H188" s="8"/>
      <c r="I188" s="8"/>
      <c r="J188" s="8"/>
      <c r="K188" s="8"/>
      <c r="L188" s="8"/>
      <c r="M188" s="8"/>
      <c r="N188" s="8"/>
      <c r="O188" s="8"/>
      <c r="P188" s="8"/>
      <c r="Q188" s="8"/>
      <c r="R188" s="8"/>
      <c r="S188" s="8"/>
      <c r="T188" s="8"/>
      <c r="U188" s="8"/>
      <c r="V188" s="8"/>
    </row>
    <row r="189" spans="1:22" ht="13">
      <c r="A189" s="58"/>
      <c r="B189" s="8"/>
      <c r="C189" s="8"/>
      <c r="D189" s="8"/>
      <c r="E189" s="8"/>
      <c r="F189" s="8"/>
      <c r="G189" s="8"/>
      <c r="H189" s="8"/>
      <c r="I189" s="8"/>
      <c r="J189" s="8"/>
      <c r="K189" s="8"/>
      <c r="L189" s="8"/>
      <c r="M189" s="8"/>
      <c r="N189" s="8"/>
      <c r="O189" s="8"/>
      <c r="P189" s="8"/>
      <c r="Q189" s="8"/>
      <c r="R189" s="8"/>
      <c r="S189" s="8"/>
      <c r="T189" s="8"/>
      <c r="U189" s="8"/>
      <c r="V189" s="8"/>
    </row>
    <row r="190" spans="1:22" ht="13">
      <c r="A190" s="58"/>
      <c r="B190" s="8"/>
      <c r="C190" s="8"/>
      <c r="D190" s="8"/>
      <c r="E190" s="8"/>
      <c r="F190" s="8"/>
      <c r="G190" s="8"/>
      <c r="H190" s="8"/>
      <c r="I190" s="8"/>
      <c r="J190" s="8"/>
      <c r="K190" s="8"/>
      <c r="L190" s="8"/>
      <c r="M190" s="8"/>
      <c r="N190" s="8"/>
      <c r="O190" s="8"/>
      <c r="P190" s="8"/>
      <c r="Q190" s="8"/>
      <c r="R190" s="8"/>
      <c r="S190" s="8"/>
      <c r="T190" s="8"/>
      <c r="U190" s="8"/>
      <c r="V190" s="8"/>
    </row>
    <row r="191" spans="1:22" ht="13">
      <c r="A191" s="58"/>
      <c r="B191" s="8"/>
      <c r="C191" s="8"/>
      <c r="D191" s="8"/>
      <c r="E191" s="8"/>
      <c r="F191" s="8"/>
      <c r="G191" s="8"/>
      <c r="H191" s="8"/>
      <c r="I191" s="8"/>
      <c r="J191" s="8"/>
      <c r="K191" s="8"/>
      <c r="L191" s="8"/>
      <c r="M191" s="8"/>
      <c r="N191" s="8"/>
      <c r="O191" s="8"/>
      <c r="P191" s="8"/>
      <c r="Q191" s="8"/>
      <c r="R191" s="8"/>
      <c r="S191" s="8"/>
      <c r="T191" s="8"/>
      <c r="U191" s="8"/>
      <c r="V191" s="8"/>
    </row>
    <row r="192" spans="1:22" ht="13">
      <c r="A192" s="58"/>
      <c r="B192" s="8"/>
      <c r="C192" s="8"/>
      <c r="D192" s="8"/>
      <c r="E192" s="8"/>
      <c r="F192" s="8"/>
      <c r="G192" s="8"/>
      <c r="H192" s="8"/>
      <c r="I192" s="8"/>
      <c r="J192" s="8"/>
      <c r="K192" s="8"/>
      <c r="L192" s="8"/>
      <c r="M192" s="8"/>
      <c r="N192" s="8"/>
      <c r="O192" s="8"/>
      <c r="P192" s="8"/>
      <c r="Q192" s="8"/>
      <c r="R192" s="8"/>
      <c r="S192" s="8"/>
      <c r="T192" s="8"/>
      <c r="U192" s="8"/>
      <c r="V192" s="8"/>
    </row>
    <row r="193" spans="1:22" ht="13">
      <c r="A193" s="58"/>
      <c r="B193" s="8"/>
      <c r="C193" s="8"/>
      <c r="D193" s="8"/>
      <c r="E193" s="8"/>
      <c r="F193" s="8"/>
      <c r="G193" s="8"/>
      <c r="H193" s="8"/>
      <c r="I193" s="8"/>
      <c r="J193" s="8"/>
      <c r="K193" s="8"/>
      <c r="L193" s="8"/>
      <c r="M193" s="8"/>
      <c r="N193" s="8"/>
      <c r="O193" s="8"/>
      <c r="P193" s="8"/>
      <c r="Q193" s="8"/>
      <c r="R193" s="8"/>
      <c r="S193" s="8"/>
      <c r="T193" s="8"/>
      <c r="U193" s="8"/>
      <c r="V193" s="8"/>
    </row>
    <row r="194" spans="1:22" ht="13">
      <c r="A194" s="58"/>
      <c r="B194" s="8"/>
      <c r="C194" s="8"/>
      <c r="D194" s="8"/>
      <c r="E194" s="8"/>
      <c r="F194" s="8"/>
      <c r="G194" s="8"/>
      <c r="H194" s="8"/>
      <c r="I194" s="8"/>
      <c r="J194" s="8"/>
      <c r="K194" s="8"/>
      <c r="L194" s="8"/>
      <c r="M194" s="8"/>
      <c r="N194" s="8"/>
      <c r="O194" s="8"/>
      <c r="P194" s="8"/>
      <c r="Q194" s="8"/>
      <c r="R194" s="8"/>
      <c r="S194" s="8"/>
      <c r="T194" s="8"/>
      <c r="U194" s="8"/>
      <c r="V194" s="8"/>
    </row>
    <row r="195" spans="1:22" ht="13">
      <c r="A195" s="58"/>
      <c r="B195" s="8"/>
      <c r="C195" s="8"/>
      <c r="D195" s="8"/>
      <c r="E195" s="8"/>
      <c r="F195" s="8"/>
      <c r="G195" s="8"/>
      <c r="H195" s="8"/>
      <c r="I195" s="8"/>
      <c r="J195" s="8"/>
      <c r="K195" s="8"/>
      <c r="L195" s="8"/>
      <c r="M195" s="8"/>
      <c r="N195" s="8"/>
      <c r="O195" s="8"/>
      <c r="P195" s="8"/>
      <c r="Q195" s="8"/>
      <c r="R195" s="8"/>
      <c r="S195" s="8"/>
      <c r="T195" s="8"/>
      <c r="U195" s="8"/>
      <c r="V195" s="8"/>
    </row>
    <row r="196" spans="1:22" ht="13">
      <c r="A196" s="58"/>
      <c r="B196" s="8"/>
      <c r="C196" s="8"/>
      <c r="D196" s="8"/>
      <c r="E196" s="8"/>
      <c r="F196" s="8"/>
      <c r="G196" s="8"/>
      <c r="H196" s="8"/>
      <c r="I196" s="8"/>
      <c r="J196" s="8"/>
      <c r="K196" s="8"/>
      <c r="L196" s="8"/>
      <c r="M196" s="8"/>
      <c r="N196" s="8"/>
      <c r="O196" s="8"/>
      <c r="P196" s="8"/>
      <c r="Q196" s="8"/>
      <c r="R196" s="8"/>
      <c r="S196" s="8"/>
      <c r="T196" s="8"/>
      <c r="U196" s="8"/>
      <c r="V196" s="8"/>
    </row>
    <row r="197" spans="1:22" ht="13">
      <c r="A197" s="58"/>
      <c r="B197" s="8"/>
      <c r="C197" s="8"/>
      <c r="D197" s="8"/>
      <c r="E197" s="8"/>
      <c r="F197" s="8"/>
      <c r="G197" s="8"/>
      <c r="H197" s="8"/>
      <c r="I197" s="8"/>
      <c r="J197" s="8"/>
      <c r="K197" s="8"/>
      <c r="L197" s="8"/>
      <c r="M197" s="8"/>
      <c r="N197" s="8"/>
      <c r="O197" s="8"/>
      <c r="P197" s="8"/>
      <c r="Q197" s="8"/>
      <c r="R197" s="8"/>
      <c r="S197" s="8"/>
      <c r="T197" s="8"/>
      <c r="U197" s="8"/>
      <c r="V197" s="8"/>
    </row>
    <row r="198" spans="1:22" ht="13">
      <c r="A198" s="58"/>
      <c r="B198" s="8"/>
      <c r="C198" s="8"/>
      <c r="D198" s="8"/>
      <c r="E198" s="8"/>
      <c r="F198" s="8"/>
      <c r="G198" s="8"/>
      <c r="H198" s="8"/>
      <c r="I198" s="8"/>
      <c r="J198" s="8"/>
      <c r="K198" s="8"/>
      <c r="L198" s="8"/>
      <c r="M198" s="8"/>
      <c r="N198" s="8"/>
      <c r="O198" s="8"/>
      <c r="P198" s="8"/>
      <c r="Q198" s="8"/>
      <c r="R198" s="8"/>
      <c r="S198" s="8"/>
      <c r="T198" s="8"/>
      <c r="U198" s="8"/>
      <c r="V198" s="8"/>
    </row>
    <row r="199" spans="1:22" ht="13">
      <c r="A199" s="58"/>
      <c r="B199" s="8"/>
      <c r="C199" s="8"/>
      <c r="D199" s="8"/>
      <c r="E199" s="8"/>
      <c r="F199" s="8"/>
      <c r="G199" s="8"/>
      <c r="H199" s="8"/>
      <c r="I199" s="8"/>
      <c r="J199" s="8"/>
      <c r="K199" s="8"/>
      <c r="L199" s="8"/>
      <c r="M199" s="8"/>
      <c r="N199" s="8"/>
      <c r="O199" s="8"/>
      <c r="P199" s="8"/>
      <c r="Q199" s="8"/>
      <c r="R199" s="8"/>
      <c r="S199" s="8"/>
      <c r="T199" s="8"/>
      <c r="U199" s="8"/>
      <c r="V199" s="8"/>
    </row>
    <row r="200" spans="1:22" ht="13">
      <c r="A200" s="58"/>
      <c r="B200" s="8"/>
      <c r="C200" s="8"/>
      <c r="D200" s="8"/>
      <c r="E200" s="8"/>
      <c r="F200" s="8"/>
      <c r="G200" s="8"/>
      <c r="H200" s="8"/>
      <c r="I200" s="8"/>
      <c r="J200" s="8"/>
      <c r="K200" s="8"/>
      <c r="L200" s="8"/>
      <c r="M200" s="8"/>
      <c r="N200" s="8"/>
      <c r="O200" s="8"/>
      <c r="P200" s="8"/>
      <c r="Q200" s="8"/>
      <c r="R200" s="8"/>
      <c r="S200" s="8"/>
      <c r="T200" s="8"/>
      <c r="U200" s="8"/>
      <c r="V200" s="8"/>
    </row>
    <row r="201" spans="1:22" ht="13">
      <c r="A201" s="58"/>
      <c r="B201" s="8"/>
      <c r="C201" s="8"/>
      <c r="D201" s="8"/>
      <c r="E201" s="8"/>
      <c r="F201" s="8"/>
      <c r="G201" s="8"/>
      <c r="H201" s="8"/>
      <c r="I201" s="8"/>
      <c r="J201" s="8"/>
      <c r="K201" s="8"/>
      <c r="L201" s="8"/>
      <c r="M201" s="8"/>
      <c r="N201" s="8"/>
      <c r="O201" s="8"/>
      <c r="P201" s="8"/>
      <c r="Q201" s="8"/>
      <c r="R201" s="8"/>
      <c r="S201" s="8"/>
      <c r="T201" s="8"/>
      <c r="U201" s="8"/>
      <c r="V201" s="8"/>
    </row>
    <row r="202" spans="1:22" ht="13">
      <c r="A202" s="58"/>
      <c r="B202" s="8"/>
      <c r="C202" s="8"/>
      <c r="D202" s="8"/>
      <c r="E202" s="8"/>
      <c r="F202" s="8"/>
      <c r="G202" s="8"/>
      <c r="H202" s="8"/>
      <c r="I202" s="8"/>
      <c r="J202" s="8"/>
      <c r="K202" s="8"/>
      <c r="L202" s="8"/>
      <c r="M202" s="8"/>
      <c r="N202" s="8"/>
      <c r="O202" s="8"/>
      <c r="P202" s="8"/>
      <c r="Q202" s="8"/>
      <c r="R202" s="8"/>
      <c r="S202" s="8"/>
      <c r="T202" s="8"/>
      <c r="U202" s="8"/>
      <c r="V202" s="8"/>
    </row>
    <row r="203" spans="1:22" ht="13">
      <c r="A203" s="58"/>
      <c r="B203" s="8"/>
      <c r="C203" s="8"/>
      <c r="D203" s="8"/>
      <c r="E203" s="8"/>
      <c r="F203" s="8"/>
      <c r="G203" s="8"/>
      <c r="H203" s="8"/>
      <c r="I203" s="8"/>
      <c r="J203" s="8"/>
      <c r="K203" s="8"/>
      <c r="L203" s="8"/>
      <c r="M203" s="8"/>
      <c r="N203" s="8"/>
      <c r="O203" s="8"/>
      <c r="P203" s="8"/>
      <c r="Q203" s="8"/>
      <c r="R203" s="8"/>
      <c r="S203" s="8"/>
      <c r="T203" s="8"/>
      <c r="U203" s="8"/>
      <c r="V203" s="8"/>
    </row>
    <row r="204" spans="1:22" ht="13">
      <c r="A204" s="58"/>
      <c r="B204" s="8"/>
      <c r="C204" s="8"/>
      <c r="D204" s="8"/>
      <c r="E204" s="8"/>
      <c r="F204" s="8"/>
      <c r="G204" s="8"/>
      <c r="H204" s="8"/>
      <c r="I204" s="8"/>
      <c r="J204" s="8"/>
      <c r="K204" s="8"/>
      <c r="L204" s="8"/>
      <c r="M204" s="8"/>
      <c r="N204" s="8"/>
      <c r="O204" s="8"/>
      <c r="P204" s="8"/>
      <c r="Q204" s="8"/>
      <c r="R204" s="8"/>
      <c r="S204" s="8"/>
      <c r="T204" s="8"/>
      <c r="U204" s="8"/>
      <c r="V204" s="8"/>
    </row>
    <row r="205" spans="1:22" ht="13">
      <c r="A205" s="8"/>
      <c r="B205" s="8"/>
      <c r="C205" s="8"/>
      <c r="D205" s="8"/>
      <c r="E205" s="8"/>
      <c r="F205" s="8"/>
      <c r="G205" s="8"/>
      <c r="H205" s="8"/>
      <c r="I205" s="8"/>
      <c r="J205" s="8"/>
      <c r="K205" s="8"/>
      <c r="L205" s="8"/>
      <c r="M205" s="8"/>
      <c r="N205" s="8"/>
      <c r="O205" s="8"/>
      <c r="P205" s="8"/>
      <c r="Q205" s="8"/>
      <c r="R205" s="8"/>
      <c r="S205" s="8"/>
      <c r="T205" s="8"/>
      <c r="U205" s="8"/>
      <c r="V205" s="8"/>
    </row>
    <row r="206" spans="1:22" ht="13">
      <c r="A206" s="8"/>
      <c r="B206" s="8"/>
      <c r="C206" s="8"/>
      <c r="D206" s="8"/>
      <c r="E206" s="8"/>
      <c r="F206" s="8"/>
      <c r="G206" s="8"/>
      <c r="H206" s="8"/>
      <c r="I206" s="8"/>
      <c r="J206" s="8"/>
      <c r="K206" s="8"/>
      <c r="L206" s="8"/>
      <c r="M206" s="8"/>
      <c r="N206" s="8"/>
      <c r="O206" s="8"/>
      <c r="P206" s="8"/>
      <c r="Q206" s="8"/>
      <c r="R206" s="8"/>
      <c r="S206" s="8"/>
      <c r="T206" s="8"/>
      <c r="U206" s="8"/>
      <c r="V206" s="8"/>
    </row>
    <row r="207" spans="1:22" ht="13">
      <c r="A207" s="8"/>
      <c r="B207" s="8"/>
      <c r="C207" s="8"/>
      <c r="D207" s="8"/>
      <c r="E207" s="8"/>
      <c r="F207" s="8"/>
      <c r="G207" s="8"/>
      <c r="H207" s="8"/>
      <c r="I207" s="8"/>
      <c r="J207" s="8"/>
      <c r="K207" s="8"/>
      <c r="L207" s="8"/>
      <c r="M207" s="8"/>
      <c r="N207" s="8"/>
      <c r="O207" s="8"/>
      <c r="P207" s="8"/>
      <c r="Q207" s="8"/>
      <c r="R207" s="8"/>
      <c r="S207" s="8"/>
      <c r="T207" s="8"/>
      <c r="U207" s="8"/>
      <c r="V207" s="8"/>
    </row>
    <row r="208" spans="1:22" ht="13">
      <c r="A208" s="8"/>
      <c r="B208" s="8"/>
      <c r="C208" s="8"/>
      <c r="D208" s="8"/>
      <c r="E208" s="8"/>
      <c r="F208" s="8"/>
      <c r="G208" s="8"/>
      <c r="H208" s="8"/>
      <c r="I208" s="8"/>
      <c r="J208" s="8"/>
      <c r="K208" s="8"/>
      <c r="L208" s="8"/>
      <c r="M208" s="8"/>
      <c r="N208" s="8"/>
      <c r="O208" s="8"/>
      <c r="P208" s="8"/>
      <c r="Q208" s="8"/>
      <c r="R208" s="8"/>
      <c r="S208" s="8"/>
      <c r="T208" s="8"/>
      <c r="U208" s="8"/>
      <c r="V208" s="8"/>
    </row>
    <row r="209" spans="1:36" ht="13">
      <c r="A209" s="8"/>
      <c r="B209" s="8"/>
      <c r="C209" s="8"/>
      <c r="D209" s="8"/>
      <c r="E209" s="8"/>
      <c r="F209" s="8"/>
      <c r="G209" s="8"/>
      <c r="H209" s="8"/>
      <c r="I209" s="8"/>
      <c r="J209" s="8"/>
      <c r="K209" s="8"/>
      <c r="L209" s="8"/>
      <c r="M209" s="8"/>
      <c r="N209" s="8"/>
      <c r="O209" s="8"/>
      <c r="P209" s="8"/>
      <c r="Q209" s="8"/>
      <c r="R209" s="8"/>
      <c r="S209" s="8"/>
      <c r="T209" s="8"/>
      <c r="U209" s="8"/>
      <c r="V209" s="8"/>
    </row>
    <row r="210" spans="1:36" ht="13">
      <c r="A210" s="8"/>
      <c r="B210" s="8"/>
      <c r="C210" s="8"/>
      <c r="D210" s="8"/>
      <c r="E210" s="8"/>
      <c r="F210" s="8"/>
      <c r="G210" s="8"/>
      <c r="H210" s="8"/>
      <c r="I210" s="8"/>
      <c r="J210" s="8"/>
      <c r="K210" s="8"/>
      <c r="L210" s="8"/>
      <c r="M210" s="8"/>
      <c r="N210" s="8"/>
      <c r="O210" s="8"/>
      <c r="P210" s="8"/>
      <c r="Q210" s="8"/>
      <c r="R210" s="8"/>
      <c r="S210" s="8"/>
      <c r="T210" s="8"/>
      <c r="U210" s="8"/>
      <c r="V210" s="8"/>
    </row>
    <row r="211" spans="1:36" ht="13">
      <c r="A211" s="8"/>
      <c r="B211" s="8"/>
      <c r="C211" s="8"/>
      <c r="D211" s="8"/>
      <c r="E211" s="8"/>
      <c r="F211" s="8"/>
      <c r="G211" s="8"/>
      <c r="H211" s="8"/>
      <c r="I211" s="8"/>
      <c r="J211" s="8"/>
      <c r="K211" s="8"/>
      <c r="L211" s="8"/>
      <c r="M211" s="8"/>
      <c r="N211" s="8"/>
      <c r="O211" s="8"/>
      <c r="P211" s="8"/>
      <c r="Q211" s="8"/>
      <c r="R211" s="8"/>
      <c r="S211" s="8"/>
      <c r="T211" s="8"/>
      <c r="U211" s="8"/>
      <c r="V211" s="8"/>
    </row>
    <row r="212" spans="1:36" ht="13">
      <c r="A212" s="8"/>
      <c r="B212" s="8"/>
      <c r="C212" s="8"/>
      <c r="D212" s="8"/>
      <c r="E212" s="8"/>
      <c r="F212" s="8"/>
      <c r="G212" s="8"/>
      <c r="H212" s="8"/>
      <c r="I212" s="8"/>
      <c r="J212" s="8"/>
      <c r="K212" s="8"/>
      <c r="L212" s="8"/>
      <c r="M212" s="8"/>
      <c r="N212" s="8"/>
      <c r="O212" s="8"/>
      <c r="P212" s="8"/>
      <c r="Q212" s="8"/>
      <c r="R212" s="8"/>
      <c r="S212" s="8"/>
      <c r="T212" s="8"/>
      <c r="U212" s="8"/>
      <c r="V212" s="8"/>
    </row>
    <row r="213" spans="1:36" ht="13">
      <c r="A213" s="8"/>
      <c r="B213" s="8"/>
      <c r="C213" s="8"/>
      <c r="D213" s="8"/>
      <c r="E213" s="8"/>
      <c r="F213" s="8"/>
      <c r="G213" s="8"/>
      <c r="H213" s="8"/>
      <c r="I213" s="8"/>
      <c r="J213" s="8"/>
      <c r="K213" s="8"/>
      <c r="L213" s="8"/>
      <c r="M213" s="8"/>
      <c r="N213" s="8"/>
      <c r="O213" s="8"/>
      <c r="P213" s="8"/>
      <c r="Q213" s="8"/>
      <c r="R213" s="8"/>
      <c r="S213" s="8"/>
      <c r="T213" s="8"/>
      <c r="U213" s="8"/>
      <c r="V213" s="8"/>
    </row>
    <row r="214" spans="1:36" ht="13">
      <c r="A214" s="8"/>
      <c r="B214" s="8"/>
      <c r="C214" s="8"/>
      <c r="D214" s="8"/>
      <c r="E214" s="8"/>
      <c r="F214" s="8"/>
      <c r="G214" s="8"/>
      <c r="H214" s="8"/>
      <c r="I214" s="8"/>
      <c r="J214" s="8"/>
      <c r="K214" s="8"/>
      <c r="L214" s="8"/>
      <c r="M214" s="8"/>
      <c r="N214" s="8"/>
      <c r="O214" s="8"/>
      <c r="P214" s="8"/>
      <c r="Q214" s="8"/>
      <c r="R214" s="8"/>
      <c r="S214" s="8"/>
      <c r="T214" s="8"/>
      <c r="U214" s="8"/>
      <c r="V214" s="8"/>
    </row>
    <row r="215" spans="1:36" ht="13">
      <c r="A215" s="8"/>
      <c r="B215" s="8"/>
      <c r="C215" s="8"/>
      <c r="D215" s="8"/>
      <c r="E215" s="8"/>
      <c r="F215" s="8"/>
      <c r="G215" s="8"/>
      <c r="H215" s="8"/>
      <c r="I215" s="8"/>
      <c r="J215" s="8"/>
      <c r="K215" s="8"/>
      <c r="L215" s="8"/>
      <c r="M215" s="8"/>
      <c r="N215" s="8"/>
      <c r="O215" s="8"/>
      <c r="P215" s="8"/>
      <c r="Q215" s="8"/>
      <c r="R215" s="8"/>
      <c r="S215" s="8"/>
      <c r="T215" s="8"/>
      <c r="U215" s="8"/>
      <c r="V215" s="8"/>
    </row>
    <row r="216" spans="1:3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row>
    <row r="217" spans="1:3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row>
    <row r="218" spans="1:3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row>
    <row r="219" spans="1:3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row>
    <row r="220" spans="1:3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row>
    <row r="221" spans="1:3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8"/>
      <c r="AH221" s="8"/>
      <c r="AI221" s="8"/>
      <c r="AJ221" s="8"/>
    </row>
    <row r="222" spans="1:3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row>
    <row r="223" spans="1:3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8"/>
      <c r="AH223" s="8"/>
      <c r="AI223" s="8"/>
      <c r="AJ223" s="8"/>
    </row>
    <row r="224" spans="1:3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8"/>
      <c r="AH224" s="8"/>
      <c r="AI224" s="8"/>
      <c r="AJ224" s="8"/>
    </row>
    <row r="225" spans="1:3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row>
    <row r="226" spans="1:3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row>
    <row r="227" spans="1:3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row>
    <row r="228" spans="1:3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row>
    <row r="229" spans="1:3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8"/>
      <c r="AH229" s="8"/>
      <c r="AI229" s="8"/>
      <c r="AJ229" s="8"/>
    </row>
    <row r="230" spans="1:3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row>
    <row r="231" spans="1:3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row>
    <row r="232" spans="1:3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8"/>
      <c r="AH232" s="8"/>
      <c r="AI232" s="8"/>
      <c r="AJ232" s="8"/>
    </row>
    <row r="233" spans="1:3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8"/>
      <c r="AH233" s="8"/>
      <c r="AI233" s="8"/>
      <c r="AJ233" s="8"/>
    </row>
    <row r="234" spans="1:3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row>
    <row r="235" spans="1:3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8"/>
      <c r="AH235" s="8"/>
      <c r="AI235" s="8"/>
      <c r="AJ235" s="8"/>
    </row>
    <row r="236" spans="1:3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row>
    <row r="237" spans="1:3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row>
    <row r="238" spans="1:3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row>
    <row r="239" spans="1:3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row>
    <row r="240" spans="1:3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row>
    <row r="241" spans="1:3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8"/>
      <c r="AH241" s="8"/>
      <c r="AI241" s="8"/>
      <c r="AJ241" s="8"/>
    </row>
    <row r="242" spans="1:3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8"/>
      <c r="AH242" s="8"/>
      <c r="AI242" s="8"/>
      <c r="AJ242" s="8"/>
    </row>
    <row r="243" spans="1:3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row>
    <row r="244" spans="1:3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row>
    <row r="245" spans="1:3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row>
    <row r="246" spans="1:3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8"/>
      <c r="AH246" s="8"/>
      <c r="AI246" s="8"/>
      <c r="AJ246" s="8"/>
    </row>
    <row r="247" spans="1:3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row>
    <row r="248" spans="1:3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row>
    <row r="249" spans="1:3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row>
    <row r="250" spans="1:3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8"/>
      <c r="AH250" s="8"/>
      <c r="AI250" s="8"/>
      <c r="AJ250" s="8"/>
    </row>
    <row r="251" spans="1:3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row>
    <row r="252" spans="1:3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row>
    <row r="253" spans="1:3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row>
    <row r="254" spans="1:3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row>
    <row r="255" spans="1:3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row>
    <row r="256" spans="1:3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8"/>
      <c r="AH256" s="8"/>
      <c r="AI256" s="8"/>
      <c r="AJ256" s="8"/>
    </row>
    <row r="257" spans="1:3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row>
    <row r="258" spans="1:3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row>
    <row r="259" spans="1:3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8"/>
      <c r="AH259" s="8"/>
      <c r="AI259" s="8"/>
      <c r="AJ259" s="8"/>
    </row>
    <row r="260" spans="1:3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row>
    <row r="261" spans="1:3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row>
    <row r="262" spans="1:3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row>
    <row r="263" spans="1:3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8"/>
      <c r="AH263" s="8"/>
      <c r="AI263" s="8"/>
      <c r="AJ263" s="8"/>
    </row>
    <row r="264" spans="1:3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row>
    <row r="265" spans="1:3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row>
    <row r="266" spans="1:3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row>
    <row r="267" spans="1:3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8"/>
      <c r="AH267" s="8"/>
      <c r="AI267" s="8"/>
      <c r="AJ267" s="8"/>
    </row>
    <row r="268" spans="1:3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row>
    <row r="269" spans="1:3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8"/>
      <c r="AH269" s="8"/>
      <c r="AI269" s="8"/>
      <c r="AJ269" s="8"/>
    </row>
    <row r="270" spans="1:3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row>
    <row r="271" spans="1:3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8"/>
      <c r="AH271" s="8"/>
      <c r="AI271" s="8"/>
      <c r="AJ271" s="8"/>
    </row>
    <row r="272" spans="1:3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8"/>
      <c r="AH272" s="8"/>
      <c r="AI272" s="8"/>
      <c r="AJ272" s="8"/>
    </row>
    <row r="273" spans="1:3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row>
    <row r="274" spans="1:3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row>
    <row r="275" spans="1:3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row>
    <row r="276" spans="1:3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row>
    <row r="277" spans="1:3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row>
    <row r="278" spans="1:3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8"/>
      <c r="AH278" s="8"/>
      <c r="AI278" s="8"/>
      <c r="AJ278" s="8"/>
    </row>
    <row r="279" spans="1:3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row>
    <row r="280" spans="1:3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row>
    <row r="281" spans="1:3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row>
    <row r="282" spans="1:3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8"/>
      <c r="AH282" s="8"/>
      <c r="AI282" s="8"/>
      <c r="AJ282" s="8"/>
    </row>
    <row r="283" spans="1:3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8"/>
      <c r="AH283" s="8"/>
      <c r="AI283" s="8"/>
      <c r="AJ283" s="8"/>
    </row>
    <row r="284" spans="1:3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row>
    <row r="285" spans="1:3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8"/>
      <c r="AH285" s="8"/>
      <c r="AI285" s="8"/>
      <c r="AJ285" s="8"/>
    </row>
    <row r="286" spans="1:3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row>
    <row r="287" spans="1:3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8"/>
      <c r="AH287" s="8"/>
      <c r="AI287" s="8"/>
      <c r="AJ287" s="8"/>
    </row>
    <row r="288" spans="1:3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8"/>
      <c r="AH288" s="8"/>
      <c r="AI288" s="8"/>
      <c r="AJ288" s="8"/>
    </row>
    <row r="289" spans="1:3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8"/>
      <c r="AH289" s="8"/>
      <c r="AI289" s="8"/>
      <c r="AJ289" s="8"/>
    </row>
    <row r="290" spans="1:3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8"/>
      <c r="AH290" s="8"/>
      <c r="AI290" s="8"/>
      <c r="AJ290" s="8"/>
    </row>
    <row r="291" spans="1:3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8"/>
      <c r="AH291" s="8"/>
      <c r="AI291" s="8"/>
      <c r="AJ291" s="8"/>
    </row>
    <row r="292" spans="1:3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8"/>
      <c r="AH292" s="8"/>
      <c r="AI292" s="8"/>
      <c r="AJ292" s="8"/>
    </row>
    <row r="293" spans="1:3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8"/>
      <c r="AH293" s="8"/>
      <c r="AI293" s="8"/>
      <c r="AJ293" s="8"/>
    </row>
    <row r="294" spans="1:3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8"/>
      <c r="AH294" s="8"/>
      <c r="AI294" s="8"/>
      <c r="AJ294" s="8"/>
    </row>
    <row r="295" spans="1:3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8"/>
      <c r="AH295" s="8"/>
      <c r="AI295" s="8"/>
      <c r="AJ295" s="8"/>
    </row>
    <row r="296" spans="1:3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8"/>
      <c r="AH296" s="8"/>
      <c r="AI296" s="8"/>
      <c r="AJ296" s="8"/>
    </row>
    <row r="297" spans="1:3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8"/>
      <c r="AH297" s="8"/>
      <c r="AI297" s="8"/>
      <c r="AJ297" s="8"/>
    </row>
    <row r="298" spans="1:3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8"/>
      <c r="AH298" s="8"/>
      <c r="AI298" s="8"/>
      <c r="AJ298" s="8"/>
    </row>
    <row r="299" spans="1:3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8"/>
      <c r="AH299" s="8"/>
      <c r="AI299" s="8"/>
      <c r="AJ299" s="8"/>
    </row>
    <row r="300" spans="1:3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8"/>
      <c r="AH300" s="8"/>
      <c r="AI300" s="8"/>
      <c r="AJ300" s="8"/>
    </row>
    <row r="301" spans="1:3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8"/>
      <c r="AH301" s="8"/>
      <c r="AI301" s="8"/>
      <c r="AJ301" s="8"/>
    </row>
    <row r="302" spans="1:3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8"/>
      <c r="AH302" s="8"/>
      <c r="AI302" s="8"/>
      <c r="AJ302" s="8"/>
    </row>
    <row r="303" spans="1:3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8"/>
      <c r="AH303" s="8"/>
      <c r="AI303" s="8"/>
      <c r="AJ303" s="8"/>
    </row>
    <row r="304" spans="1:3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8"/>
      <c r="AH304" s="8"/>
      <c r="AI304" s="8"/>
      <c r="AJ304" s="8"/>
    </row>
    <row r="305" spans="1:3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8"/>
      <c r="AH305" s="8"/>
      <c r="AI305" s="8"/>
      <c r="AJ305" s="8"/>
    </row>
    <row r="306" spans="1:3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8"/>
      <c r="AH306" s="8"/>
      <c r="AI306" s="8"/>
      <c r="AJ306" s="8"/>
    </row>
    <row r="307" spans="1:3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8"/>
      <c r="AH307" s="8"/>
      <c r="AI307" s="8"/>
      <c r="AJ307" s="8"/>
    </row>
    <row r="308" spans="1:3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8"/>
      <c r="AH308" s="8"/>
      <c r="AI308" s="8"/>
      <c r="AJ308" s="8"/>
    </row>
    <row r="309" spans="1:3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8"/>
      <c r="AH309" s="8"/>
      <c r="AI309" s="8"/>
      <c r="AJ309" s="8"/>
    </row>
    <row r="310" spans="1:3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row>
    <row r="311" spans="1:3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8"/>
      <c r="AH311" s="8"/>
      <c r="AI311" s="8"/>
      <c r="AJ311" s="8"/>
    </row>
    <row r="312" spans="1:3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8"/>
      <c r="AH312" s="8"/>
      <c r="AI312" s="8"/>
      <c r="AJ312" s="8"/>
    </row>
    <row r="313" spans="1:3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8"/>
      <c r="AH313" s="8"/>
      <c r="AI313" s="8"/>
      <c r="AJ313" s="8"/>
    </row>
    <row r="314" spans="1:3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row>
    <row r="315" spans="1:3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8"/>
      <c r="AH315" s="8"/>
      <c r="AI315" s="8"/>
      <c r="AJ315" s="8"/>
    </row>
    <row r="316" spans="1:3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8"/>
      <c r="AH316" s="8"/>
      <c r="AI316" s="8"/>
      <c r="AJ316" s="8"/>
    </row>
    <row r="317" spans="1:3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8"/>
      <c r="AH317" s="8"/>
      <c r="AI317" s="8"/>
      <c r="AJ317" s="8"/>
    </row>
    <row r="318" spans="1:3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8"/>
      <c r="AH318" s="8"/>
      <c r="AI318" s="8"/>
      <c r="AJ318" s="8"/>
    </row>
    <row r="319" spans="1:3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8"/>
      <c r="AH319" s="8"/>
      <c r="AI319" s="8"/>
      <c r="AJ319" s="8"/>
    </row>
    <row r="320" spans="1:3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8"/>
      <c r="AH320" s="8"/>
      <c r="AI320" s="8"/>
      <c r="AJ320" s="8"/>
    </row>
    <row r="321" spans="1:3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s="8"/>
      <c r="AJ321" s="8"/>
    </row>
    <row r="322" spans="1:3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8"/>
      <c r="AH322" s="8"/>
      <c r="AI322" s="8"/>
      <c r="AJ322" s="8"/>
    </row>
    <row r="323" spans="1:3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8"/>
      <c r="AH323" s="8"/>
      <c r="AI323" s="8"/>
      <c r="AJ323" s="8"/>
    </row>
    <row r="324" spans="1:3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8"/>
      <c r="AH324" s="8"/>
      <c r="AI324" s="8"/>
      <c r="AJ324" s="8"/>
    </row>
    <row r="325" spans="1:3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row>
    <row r="326" spans="1:3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8"/>
      <c r="AH326" s="8"/>
      <c r="AI326" s="8"/>
      <c r="AJ326" s="8"/>
    </row>
    <row r="327" spans="1:3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8"/>
      <c r="AH327" s="8"/>
      <c r="AI327" s="8"/>
      <c r="AJ327" s="8"/>
    </row>
    <row r="328" spans="1:3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8"/>
      <c r="AH328" s="8"/>
      <c r="AI328" s="8"/>
      <c r="AJ328" s="8"/>
    </row>
    <row r="329" spans="1:3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8"/>
      <c r="AH329" s="8"/>
      <c r="AI329" s="8"/>
      <c r="AJ329" s="8"/>
    </row>
    <row r="330" spans="1:3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8"/>
      <c r="AH330" s="8"/>
      <c r="AI330" s="8"/>
      <c r="AJ330" s="8"/>
    </row>
    <row r="331" spans="1:3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8"/>
      <c r="AH331" s="8"/>
      <c r="AI331" s="8"/>
      <c r="AJ331" s="8"/>
    </row>
    <row r="332" spans="1:3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8"/>
      <c r="AH332" s="8"/>
      <c r="AI332" s="8"/>
      <c r="AJ332" s="8"/>
    </row>
    <row r="333" spans="1:3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8"/>
      <c r="AH333" s="8"/>
      <c r="AI333" s="8"/>
      <c r="AJ333" s="8"/>
    </row>
    <row r="334" spans="1:3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8"/>
      <c r="AH334" s="8"/>
      <c r="AI334" s="8"/>
      <c r="AJ334" s="8"/>
    </row>
    <row r="335" spans="1:3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8"/>
      <c r="AH335" s="8"/>
      <c r="AI335" s="8"/>
      <c r="AJ335" s="8"/>
    </row>
    <row r="336" spans="1:3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s="8"/>
      <c r="AJ336" s="8"/>
    </row>
    <row r="337" spans="1:3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8"/>
      <c r="AH337" s="8"/>
      <c r="AI337" s="8"/>
      <c r="AJ337" s="8"/>
    </row>
    <row r="338" spans="1:3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8"/>
      <c r="AH338" s="8"/>
      <c r="AI338" s="8"/>
      <c r="AJ338" s="8"/>
    </row>
    <row r="339" spans="1:3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8"/>
      <c r="AH339" s="8"/>
      <c r="AI339" s="8"/>
      <c r="AJ339" s="8"/>
    </row>
    <row r="340" spans="1:3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8"/>
      <c r="AH340" s="8"/>
      <c r="AI340" s="8"/>
      <c r="AJ340" s="8"/>
    </row>
    <row r="341" spans="1:3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8"/>
      <c r="AH341" s="8"/>
      <c r="AI341" s="8"/>
      <c r="AJ341" s="8"/>
    </row>
    <row r="342" spans="1:3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8"/>
      <c r="AH342" s="8"/>
      <c r="AI342" s="8"/>
      <c r="AJ342" s="8"/>
    </row>
    <row r="343" spans="1:3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8"/>
      <c r="AH343" s="8"/>
      <c r="AI343" s="8"/>
      <c r="AJ343" s="8"/>
    </row>
    <row r="344" spans="1:3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8"/>
      <c r="AH344" s="8"/>
      <c r="AI344" s="8"/>
      <c r="AJ344" s="8"/>
    </row>
    <row r="345" spans="1:3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8"/>
      <c r="AH345" s="8"/>
      <c r="AI345" s="8"/>
      <c r="AJ345" s="8"/>
    </row>
    <row r="346" spans="1:3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8"/>
      <c r="AH346" s="8"/>
      <c r="AI346" s="8"/>
      <c r="AJ346" s="8"/>
    </row>
    <row r="347" spans="1:3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row>
    <row r="348" spans="1:3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8"/>
      <c r="AH348" s="8"/>
      <c r="AI348" s="8"/>
      <c r="AJ348" s="8"/>
    </row>
    <row r="349" spans="1:3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8"/>
      <c r="AH349" s="8"/>
      <c r="AI349" s="8"/>
      <c r="AJ349" s="8"/>
    </row>
    <row r="350" spans="1:3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row>
    <row r="351" spans="1:3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8"/>
      <c r="AH351" s="8"/>
      <c r="AI351" s="8"/>
      <c r="AJ351" s="8"/>
    </row>
    <row r="352" spans="1:3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8"/>
      <c r="AH352" s="8"/>
      <c r="AI352" s="8"/>
      <c r="AJ352" s="8"/>
    </row>
    <row r="353" spans="1:3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8"/>
      <c r="AH353" s="8"/>
      <c r="AI353" s="8"/>
      <c r="AJ353" s="8"/>
    </row>
    <row r="354" spans="1:3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8"/>
      <c r="AH354" s="8"/>
      <c r="AI354" s="8"/>
      <c r="AJ354" s="8"/>
    </row>
    <row r="355" spans="1:3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8"/>
      <c r="AH355" s="8"/>
      <c r="AI355" s="8"/>
      <c r="AJ355" s="8"/>
    </row>
    <row r="356" spans="1:3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8"/>
      <c r="AH356" s="8"/>
      <c r="AI356" s="8"/>
      <c r="AJ356" s="8"/>
    </row>
    <row r="357" spans="1:3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8"/>
      <c r="AH357" s="8"/>
      <c r="AI357" s="8"/>
      <c r="AJ357" s="8"/>
    </row>
    <row r="358" spans="1:3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row>
    <row r="359" spans="1:3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8"/>
      <c r="AH359" s="8"/>
      <c r="AI359" s="8"/>
      <c r="AJ359" s="8"/>
    </row>
    <row r="360" spans="1:3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row>
    <row r="361" spans="1:3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8"/>
      <c r="AH361" s="8"/>
      <c r="AI361" s="8"/>
      <c r="AJ361" s="8"/>
    </row>
    <row r="362" spans="1:3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8"/>
      <c r="AH362" s="8"/>
      <c r="AI362" s="8"/>
      <c r="AJ362" s="8"/>
    </row>
    <row r="363" spans="1:3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8"/>
      <c r="AH363" s="8"/>
      <c r="AI363" s="8"/>
      <c r="AJ363" s="8"/>
    </row>
    <row r="364" spans="1:3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8"/>
      <c r="AH364" s="8"/>
      <c r="AI364" s="8"/>
      <c r="AJ364" s="8"/>
    </row>
    <row r="365" spans="1:3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8"/>
      <c r="AH365" s="8"/>
      <c r="AI365" s="8"/>
      <c r="AJ365" s="8"/>
    </row>
    <row r="366" spans="1:3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8"/>
      <c r="AH366" s="8"/>
      <c r="AI366" s="8"/>
      <c r="AJ366" s="8"/>
    </row>
    <row r="367" spans="1:3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8"/>
      <c r="AH367" s="8"/>
      <c r="AI367" s="8"/>
      <c r="AJ367" s="8"/>
    </row>
    <row r="368" spans="1:3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8"/>
      <c r="AH368" s="8"/>
      <c r="AI368" s="8"/>
      <c r="AJ368" s="8"/>
    </row>
    <row r="369" spans="1:3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8"/>
      <c r="AH369" s="8"/>
      <c r="AI369" s="8"/>
      <c r="AJ369" s="8"/>
    </row>
    <row r="370" spans="1:3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8"/>
      <c r="AH370" s="8"/>
      <c r="AI370" s="8"/>
      <c r="AJ370" s="8"/>
    </row>
    <row r="371" spans="1:3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8"/>
      <c r="AH371" s="8"/>
      <c r="AI371" s="8"/>
      <c r="AJ371" s="8"/>
    </row>
    <row r="372" spans="1:3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8"/>
      <c r="AH372" s="8"/>
      <c r="AI372" s="8"/>
      <c r="AJ372" s="8"/>
    </row>
    <row r="373" spans="1:3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8"/>
      <c r="AH373" s="8"/>
      <c r="AI373" s="8"/>
      <c r="AJ373" s="8"/>
    </row>
    <row r="374" spans="1:3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8"/>
      <c r="AH374" s="8"/>
      <c r="AI374" s="8"/>
      <c r="AJ374" s="8"/>
    </row>
    <row r="375" spans="1:3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8"/>
      <c r="AH375" s="8"/>
      <c r="AI375" s="8"/>
      <c r="AJ375" s="8"/>
    </row>
    <row r="376" spans="1:3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8"/>
      <c r="AH376" s="8"/>
      <c r="AI376" s="8"/>
      <c r="AJ376" s="8"/>
    </row>
    <row r="377" spans="1:3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8"/>
      <c r="AH377" s="8"/>
      <c r="AI377" s="8"/>
      <c r="AJ377" s="8"/>
    </row>
    <row r="378" spans="1:3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8"/>
      <c r="AH378" s="8"/>
      <c r="AI378" s="8"/>
      <c r="AJ378" s="8"/>
    </row>
    <row r="379" spans="1:3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8"/>
      <c r="AH379" s="8"/>
      <c r="AI379" s="8"/>
      <c r="AJ379" s="8"/>
    </row>
    <row r="380" spans="1:3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8"/>
      <c r="AH380" s="8"/>
      <c r="AI380" s="8"/>
      <c r="AJ380" s="8"/>
    </row>
    <row r="381" spans="1:3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8"/>
      <c r="AH381" s="8"/>
      <c r="AI381" s="8"/>
      <c r="AJ381" s="8"/>
    </row>
    <row r="382" spans="1:3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8"/>
      <c r="AH382" s="8"/>
      <c r="AI382" s="8"/>
      <c r="AJ382" s="8"/>
    </row>
    <row r="383" spans="1:3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8"/>
      <c r="AH383" s="8"/>
      <c r="AI383" s="8"/>
      <c r="AJ383" s="8"/>
    </row>
    <row r="384" spans="1:3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8"/>
      <c r="AH384" s="8"/>
      <c r="AI384" s="8"/>
      <c r="AJ384" s="8"/>
    </row>
    <row r="385" spans="1:3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8"/>
      <c r="AH385" s="8"/>
      <c r="AI385" s="8"/>
      <c r="AJ385" s="8"/>
    </row>
    <row r="386" spans="1:3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8"/>
      <c r="AH386" s="8"/>
      <c r="AI386" s="8"/>
      <c r="AJ386" s="8"/>
    </row>
    <row r="387" spans="1:3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8"/>
      <c r="AH387" s="8"/>
      <c r="AI387" s="8"/>
      <c r="AJ387" s="8"/>
    </row>
    <row r="388" spans="1:3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8"/>
      <c r="AH388" s="8"/>
      <c r="AI388" s="8"/>
      <c r="AJ388" s="8"/>
    </row>
    <row r="389" spans="1:3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8"/>
      <c r="AH389" s="8"/>
      <c r="AI389" s="8"/>
      <c r="AJ389" s="8"/>
    </row>
    <row r="390" spans="1:3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8"/>
      <c r="AH390" s="8"/>
      <c r="AI390" s="8"/>
      <c r="AJ390" s="8"/>
    </row>
    <row r="391" spans="1:3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8"/>
      <c r="AH391" s="8"/>
      <c r="AI391" s="8"/>
      <c r="AJ391" s="8"/>
    </row>
    <row r="392" spans="1:3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8"/>
      <c r="AH392" s="8"/>
      <c r="AI392" s="8"/>
      <c r="AJ392" s="8"/>
    </row>
    <row r="393" spans="1:3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8"/>
      <c r="AH393" s="8"/>
      <c r="AI393" s="8"/>
      <c r="AJ393" s="8"/>
    </row>
    <row r="394" spans="1:3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8"/>
      <c r="AH394" s="8"/>
      <c r="AI394" s="8"/>
      <c r="AJ394" s="8"/>
    </row>
    <row r="395" spans="1:3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8"/>
      <c r="AH395" s="8"/>
      <c r="AI395" s="8"/>
      <c r="AJ395" s="8"/>
    </row>
    <row r="396" spans="1:3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8"/>
      <c r="AH396" s="8"/>
      <c r="AI396" s="8"/>
      <c r="AJ396" s="8"/>
    </row>
    <row r="397" spans="1:3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8"/>
      <c r="AH397" s="8"/>
      <c r="AI397" s="8"/>
      <c r="AJ397" s="8"/>
    </row>
    <row r="398" spans="1:3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8"/>
      <c r="AH398" s="8"/>
      <c r="AI398" s="8"/>
      <c r="AJ398" s="8"/>
    </row>
    <row r="399" spans="1:3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8"/>
      <c r="AH399" s="8"/>
      <c r="AI399" s="8"/>
      <c r="AJ399" s="8"/>
    </row>
    <row r="400" spans="1:3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8"/>
      <c r="AH400" s="8"/>
      <c r="AI400" s="8"/>
      <c r="AJ400" s="8"/>
    </row>
    <row r="401" spans="1:3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8"/>
      <c r="AH401" s="8"/>
      <c r="AI401" s="8"/>
      <c r="AJ401" s="8"/>
    </row>
    <row r="402" spans="1:3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8"/>
      <c r="AH402" s="8"/>
      <c r="AI402" s="8"/>
      <c r="AJ402" s="8"/>
    </row>
    <row r="403" spans="1:3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8"/>
      <c r="AH403" s="8"/>
      <c r="AI403" s="8"/>
      <c r="AJ403" s="8"/>
    </row>
    <row r="404" spans="1:3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8"/>
      <c r="AH404" s="8"/>
      <c r="AI404" s="8"/>
      <c r="AJ404" s="8"/>
    </row>
    <row r="405" spans="1:3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8"/>
      <c r="AH405" s="8"/>
      <c r="AI405" s="8"/>
      <c r="AJ405" s="8"/>
    </row>
    <row r="406" spans="1:3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8"/>
      <c r="AH406" s="8"/>
      <c r="AI406" s="8"/>
      <c r="AJ406" s="8"/>
    </row>
    <row r="407" spans="1:3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8"/>
      <c r="AH407" s="8"/>
      <c r="AI407" s="8"/>
      <c r="AJ407" s="8"/>
    </row>
    <row r="408" spans="1:3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8"/>
      <c r="AH408" s="8"/>
      <c r="AI408" s="8"/>
      <c r="AJ408" s="8"/>
    </row>
    <row r="409" spans="1:3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8"/>
      <c r="AH409" s="8"/>
      <c r="AI409" s="8"/>
      <c r="AJ409" s="8"/>
    </row>
    <row r="410" spans="1:3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8"/>
      <c r="AH410" s="8"/>
      <c r="AI410" s="8"/>
      <c r="AJ410" s="8"/>
    </row>
    <row r="411" spans="1:3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8"/>
      <c r="AH411" s="8"/>
      <c r="AI411" s="8"/>
      <c r="AJ411" s="8"/>
    </row>
    <row r="412" spans="1:3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8"/>
      <c r="AH412" s="8"/>
      <c r="AI412" s="8"/>
      <c r="AJ412" s="8"/>
    </row>
    <row r="413" spans="1:3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8"/>
      <c r="AH413" s="8"/>
      <c r="AI413" s="8"/>
      <c r="AJ413" s="8"/>
    </row>
    <row r="414" spans="1:3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8"/>
      <c r="AH414" s="8"/>
      <c r="AI414" s="8"/>
      <c r="AJ414" s="8"/>
    </row>
    <row r="415" spans="1:3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8"/>
      <c r="AH415" s="8"/>
      <c r="AI415" s="8"/>
      <c r="AJ415" s="8"/>
    </row>
    <row r="416" spans="1:3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8"/>
      <c r="AH416" s="8"/>
      <c r="AI416" s="8"/>
      <c r="AJ416" s="8"/>
    </row>
    <row r="417" spans="1:3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8"/>
      <c r="AH417" s="8"/>
      <c r="AI417" s="8"/>
      <c r="AJ417" s="8"/>
    </row>
    <row r="418" spans="1:3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8"/>
      <c r="AH418" s="8"/>
      <c r="AI418" s="8"/>
      <c r="AJ418" s="8"/>
    </row>
    <row r="419" spans="1:3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8"/>
      <c r="AH419" s="8"/>
      <c r="AI419" s="8"/>
      <c r="AJ419" s="8"/>
    </row>
    <row r="420" spans="1:3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8"/>
      <c r="AH420" s="8"/>
      <c r="AI420" s="8"/>
      <c r="AJ420" s="8"/>
    </row>
    <row r="421" spans="1:3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8"/>
      <c r="AH421" s="8"/>
      <c r="AI421" s="8"/>
      <c r="AJ421" s="8"/>
    </row>
    <row r="422" spans="1:3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8"/>
      <c r="AH422" s="8"/>
      <c r="AI422" s="8"/>
      <c r="AJ422" s="8"/>
    </row>
    <row r="423" spans="1:3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8"/>
      <c r="AH423" s="8"/>
      <c r="AI423" s="8"/>
      <c r="AJ423" s="8"/>
    </row>
    <row r="424" spans="1:3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8"/>
      <c r="AH424" s="8"/>
      <c r="AI424" s="8"/>
      <c r="AJ424" s="8"/>
    </row>
    <row r="425" spans="1:3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8"/>
      <c r="AH425" s="8"/>
      <c r="AI425" s="8"/>
      <c r="AJ425" s="8"/>
    </row>
    <row r="426" spans="1:3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8"/>
      <c r="AH426" s="8"/>
      <c r="AI426" s="8"/>
      <c r="AJ426" s="8"/>
    </row>
    <row r="427" spans="1:3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8"/>
      <c r="AH427" s="8"/>
      <c r="AI427" s="8"/>
      <c r="AJ427" s="8"/>
    </row>
    <row r="428" spans="1:3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8"/>
      <c r="AH428" s="8"/>
      <c r="AI428" s="8"/>
      <c r="AJ428" s="8"/>
    </row>
    <row r="429" spans="1:3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8"/>
      <c r="AH429" s="8"/>
      <c r="AI429" s="8"/>
      <c r="AJ429" s="8"/>
    </row>
    <row r="430" spans="1:3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8"/>
      <c r="AH430" s="8"/>
      <c r="AI430" s="8"/>
      <c r="AJ430" s="8"/>
    </row>
    <row r="431" spans="1:3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8"/>
      <c r="AH431" s="8"/>
      <c r="AI431" s="8"/>
      <c r="AJ431" s="8"/>
    </row>
    <row r="432" spans="1:3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8"/>
      <c r="AH432" s="8"/>
      <c r="AI432" s="8"/>
      <c r="AJ432" s="8"/>
    </row>
    <row r="433" spans="1:3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8"/>
      <c r="AH433" s="8"/>
      <c r="AI433" s="8"/>
      <c r="AJ433" s="8"/>
    </row>
    <row r="434" spans="1:3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8"/>
      <c r="AH434" s="8"/>
      <c r="AI434" s="8"/>
      <c r="AJ434" s="8"/>
    </row>
    <row r="435" spans="1:3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s="8"/>
      <c r="AJ435" s="8"/>
    </row>
    <row r="436" spans="1:3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8"/>
      <c r="AH436" s="8"/>
      <c r="AI436" s="8"/>
      <c r="AJ436" s="8"/>
    </row>
    <row r="437" spans="1:3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8"/>
      <c r="AH437" s="8"/>
      <c r="AI437" s="8"/>
      <c r="AJ437" s="8"/>
    </row>
    <row r="438" spans="1:3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8"/>
      <c r="AH438" s="8"/>
      <c r="AI438" s="8"/>
      <c r="AJ438" s="8"/>
    </row>
    <row r="439" spans="1:3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8"/>
      <c r="AH439" s="8"/>
      <c r="AI439" s="8"/>
      <c r="AJ439" s="8"/>
    </row>
    <row r="440" spans="1:3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8"/>
      <c r="AH440" s="8"/>
      <c r="AI440" s="8"/>
      <c r="AJ440" s="8"/>
    </row>
    <row r="441" spans="1:3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8"/>
      <c r="AH441" s="8"/>
      <c r="AI441" s="8"/>
      <c r="AJ441" s="8"/>
    </row>
    <row r="442" spans="1:3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8"/>
      <c r="AH442" s="8"/>
      <c r="AI442" s="8"/>
      <c r="AJ442" s="8"/>
    </row>
    <row r="443" spans="1:3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8"/>
      <c r="AH443" s="8"/>
      <c r="AI443" s="8"/>
      <c r="AJ443" s="8"/>
    </row>
    <row r="444" spans="1:3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8"/>
      <c r="AH444" s="8"/>
      <c r="AI444" s="8"/>
      <c r="AJ444" s="8"/>
    </row>
    <row r="445" spans="1:3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8"/>
      <c r="AH445" s="8"/>
      <c r="AI445" s="8"/>
      <c r="AJ445" s="8"/>
    </row>
    <row r="446" spans="1:3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8"/>
      <c r="AH446" s="8"/>
      <c r="AI446" s="8"/>
      <c r="AJ446" s="8"/>
    </row>
    <row r="447" spans="1:3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8"/>
      <c r="AH447" s="8"/>
      <c r="AI447" s="8"/>
      <c r="AJ447" s="8"/>
    </row>
    <row r="448" spans="1:3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8"/>
      <c r="AH448" s="8"/>
      <c r="AI448" s="8"/>
      <c r="AJ448" s="8"/>
    </row>
    <row r="449" spans="1:3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8"/>
      <c r="AH449" s="8"/>
      <c r="AI449" s="8"/>
      <c r="AJ449" s="8"/>
    </row>
    <row r="450" spans="1:3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s="8"/>
      <c r="AJ450" s="8"/>
    </row>
    <row r="451" spans="1:3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8"/>
      <c r="AH451" s="8"/>
      <c r="AI451" s="8"/>
      <c r="AJ451" s="8"/>
    </row>
    <row r="452" spans="1:3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8"/>
      <c r="AH452" s="8"/>
      <c r="AI452" s="8"/>
      <c r="AJ452" s="8"/>
    </row>
    <row r="453" spans="1:3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8"/>
      <c r="AH453" s="8"/>
      <c r="AI453" s="8"/>
      <c r="AJ453" s="8"/>
    </row>
    <row r="454" spans="1:3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8"/>
      <c r="AH454" s="8"/>
      <c r="AI454" s="8"/>
      <c r="AJ454" s="8"/>
    </row>
    <row r="455" spans="1:3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8"/>
      <c r="AH455" s="8"/>
      <c r="AI455" s="8"/>
      <c r="AJ455" s="8"/>
    </row>
    <row r="456" spans="1:3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8"/>
      <c r="AH456" s="8"/>
      <c r="AI456" s="8"/>
      <c r="AJ456" s="8"/>
    </row>
    <row r="457" spans="1:3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8"/>
      <c r="AH457" s="8"/>
      <c r="AI457" s="8"/>
      <c r="AJ457" s="8"/>
    </row>
    <row r="458" spans="1:3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8"/>
      <c r="AH458" s="8"/>
      <c r="AI458" s="8"/>
      <c r="AJ458" s="8"/>
    </row>
    <row r="459" spans="1:3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8"/>
      <c r="AH459" s="8"/>
      <c r="AI459" s="8"/>
      <c r="AJ459" s="8"/>
    </row>
    <row r="460" spans="1:3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8"/>
      <c r="AH460" s="8"/>
      <c r="AI460" s="8"/>
      <c r="AJ460" s="8"/>
    </row>
    <row r="461" spans="1:3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8"/>
      <c r="AH461" s="8"/>
      <c r="AI461" s="8"/>
      <c r="AJ461" s="8"/>
    </row>
    <row r="462" spans="1:3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8"/>
      <c r="AH462" s="8"/>
      <c r="AI462" s="8"/>
      <c r="AJ462" s="8"/>
    </row>
    <row r="463" spans="1:3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8"/>
      <c r="AH463" s="8"/>
      <c r="AI463" s="8"/>
      <c r="AJ463" s="8"/>
    </row>
    <row r="464" spans="1:3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8"/>
      <c r="AH464" s="8"/>
      <c r="AI464" s="8"/>
      <c r="AJ464" s="8"/>
    </row>
    <row r="465" spans="1:3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8"/>
      <c r="AH465" s="8"/>
      <c r="AI465" s="8"/>
      <c r="AJ465" s="8"/>
    </row>
    <row r="466" spans="1:3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8"/>
      <c r="AH466" s="8"/>
      <c r="AI466" s="8"/>
      <c r="AJ466" s="8"/>
    </row>
    <row r="467" spans="1:3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8"/>
      <c r="AH467" s="8"/>
      <c r="AI467" s="8"/>
      <c r="AJ467" s="8"/>
    </row>
    <row r="468" spans="1:3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8"/>
      <c r="AH468" s="8"/>
      <c r="AI468" s="8"/>
      <c r="AJ468" s="8"/>
    </row>
    <row r="469" spans="1:3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8"/>
      <c r="AH469" s="8"/>
      <c r="AI469" s="8"/>
      <c r="AJ469" s="8"/>
    </row>
    <row r="470" spans="1:3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8"/>
      <c r="AH470" s="8"/>
      <c r="AI470" s="8"/>
      <c r="AJ470" s="8"/>
    </row>
    <row r="471" spans="1:3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8"/>
      <c r="AH471" s="8"/>
      <c r="AI471" s="8"/>
      <c r="AJ471" s="8"/>
    </row>
    <row r="472" spans="1:3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8"/>
      <c r="AH472" s="8"/>
      <c r="AI472" s="8"/>
      <c r="AJ472" s="8"/>
    </row>
    <row r="473" spans="1:3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8"/>
      <c r="AH473" s="8"/>
      <c r="AI473" s="8"/>
      <c r="AJ473" s="8"/>
    </row>
    <row r="474" spans="1:3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8"/>
      <c r="AH474" s="8"/>
      <c r="AI474" s="8"/>
      <c r="AJ474" s="8"/>
    </row>
    <row r="475" spans="1:3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8"/>
      <c r="AH475" s="8"/>
      <c r="AI475" s="8"/>
      <c r="AJ475" s="8"/>
    </row>
    <row r="476" spans="1:3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8"/>
      <c r="AH476" s="8"/>
      <c r="AI476" s="8"/>
      <c r="AJ476" s="8"/>
    </row>
    <row r="477" spans="1:3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8"/>
      <c r="AH477" s="8"/>
      <c r="AI477" s="8"/>
      <c r="AJ477" s="8"/>
    </row>
    <row r="478" spans="1:3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8"/>
      <c r="AH478" s="8"/>
      <c r="AI478" s="8"/>
      <c r="AJ478" s="8"/>
    </row>
    <row r="479" spans="1:3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8"/>
      <c r="AH479" s="8"/>
      <c r="AI479" s="8"/>
      <c r="AJ479" s="8"/>
    </row>
    <row r="480" spans="1:3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8"/>
      <c r="AH480" s="8"/>
      <c r="AI480" s="8"/>
      <c r="AJ480" s="8"/>
    </row>
    <row r="481" spans="1:3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8"/>
      <c r="AH481" s="8"/>
      <c r="AI481" s="8"/>
      <c r="AJ481" s="8"/>
    </row>
    <row r="482" spans="1:3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8"/>
      <c r="AH482" s="8"/>
      <c r="AI482" s="8"/>
      <c r="AJ482" s="8"/>
    </row>
    <row r="483" spans="1:3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c r="AE483" s="8"/>
      <c r="AF483" s="8"/>
      <c r="AG483" s="8"/>
      <c r="AH483" s="8"/>
      <c r="AI483" s="8"/>
      <c r="AJ483" s="8"/>
    </row>
    <row r="484" spans="1:3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c r="AE484" s="8"/>
      <c r="AF484" s="8"/>
      <c r="AG484" s="8"/>
      <c r="AH484" s="8"/>
      <c r="AI484" s="8"/>
      <c r="AJ484" s="8"/>
    </row>
    <row r="485" spans="1:3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c r="AE485" s="8"/>
      <c r="AF485" s="8"/>
      <c r="AG485" s="8"/>
      <c r="AH485" s="8"/>
      <c r="AI485" s="8"/>
      <c r="AJ485" s="8"/>
    </row>
    <row r="486" spans="1:3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c r="AE486" s="8"/>
      <c r="AF486" s="8"/>
      <c r="AG486" s="8"/>
      <c r="AH486" s="8"/>
      <c r="AI486" s="8"/>
      <c r="AJ486" s="8"/>
    </row>
    <row r="487" spans="1:3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c r="AE487" s="8"/>
      <c r="AF487" s="8"/>
      <c r="AG487" s="8"/>
      <c r="AH487" s="8"/>
      <c r="AI487" s="8"/>
      <c r="AJ487" s="8"/>
    </row>
    <row r="488" spans="1:3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c r="AE488" s="8"/>
      <c r="AF488" s="8"/>
      <c r="AG488" s="8"/>
      <c r="AH488" s="8"/>
      <c r="AI488" s="8"/>
      <c r="AJ488" s="8"/>
    </row>
    <row r="489" spans="1:3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c r="AE489" s="8"/>
      <c r="AF489" s="8"/>
      <c r="AG489" s="8"/>
      <c r="AH489" s="8"/>
      <c r="AI489" s="8"/>
      <c r="AJ489" s="8"/>
    </row>
    <row r="490" spans="1:3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c r="AE490" s="8"/>
      <c r="AF490" s="8"/>
      <c r="AG490" s="8"/>
      <c r="AH490" s="8"/>
      <c r="AI490" s="8"/>
      <c r="AJ490" s="8"/>
    </row>
    <row r="491" spans="1:3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c r="AE491" s="8"/>
      <c r="AF491" s="8"/>
      <c r="AG491" s="8"/>
      <c r="AH491" s="8"/>
      <c r="AI491" s="8"/>
      <c r="AJ491" s="8"/>
    </row>
    <row r="492" spans="1:3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c r="AE492" s="8"/>
      <c r="AF492" s="8"/>
      <c r="AG492" s="8"/>
      <c r="AH492" s="8"/>
      <c r="AI492" s="8"/>
      <c r="AJ492" s="8"/>
    </row>
    <row r="493" spans="1:3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G493" s="8"/>
      <c r="AH493" s="8"/>
      <c r="AI493" s="8"/>
      <c r="AJ493" s="8"/>
    </row>
    <row r="494" spans="1:3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c r="AE494" s="8"/>
      <c r="AF494" s="8"/>
      <c r="AG494" s="8"/>
      <c r="AH494" s="8"/>
      <c r="AI494" s="8"/>
      <c r="AJ494" s="8"/>
    </row>
    <row r="495" spans="1:3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c r="AE495" s="8"/>
      <c r="AF495" s="8"/>
      <c r="AG495" s="8"/>
      <c r="AH495" s="8"/>
      <c r="AI495" s="8"/>
      <c r="AJ495" s="8"/>
    </row>
    <row r="496" spans="1:3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c r="AE496" s="8"/>
      <c r="AF496" s="8"/>
      <c r="AG496" s="8"/>
      <c r="AH496" s="8"/>
      <c r="AI496" s="8"/>
      <c r="AJ496" s="8"/>
    </row>
    <row r="497" spans="1:3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c r="AE497" s="8"/>
      <c r="AF497" s="8"/>
      <c r="AG497" s="8"/>
      <c r="AH497" s="8"/>
      <c r="AI497" s="8"/>
      <c r="AJ497" s="8"/>
    </row>
    <row r="498" spans="1:3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c r="AE498" s="8"/>
      <c r="AF498" s="8"/>
      <c r="AG498" s="8"/>
      <c r="AH498" s="8"/>
      <c r="AI498" s="8"/>
      <c r="AJ498" s="8"/>
    </row>
    <row r="499" spans="1:3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c r="AE499" s="8"/>
      <c r="AF499" s="8"/>
      <c r="AG499" s="8"/>
      <c r="AH499" s="8"/>
      <c r="AI499" s="8"/>
      <c r="AJ499" s="8"/>
    </row>
    <row r="500" spans="1:3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c r="AE500" s="8"/>
      <c r="AF500" s="8"/>
      <c r="AG500" s="8"/>
      <c r="AH500" s="8"/>
      <c r="AI500" s="8"/>
      <c r="AJ500" s="8"/>
    </row>
    <row r="501" spans="1:3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c r="AE501" s="8"/>
      <c r="AF501" s="8"/>
      <c r="AG501" s="8"/>
      <c r="AH501" s="8"/>
      <c r="AI501" s="8"/>
      <c r="AJ501" s="8"/>
    </row>
    <row r="502" spans="1:3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c r="AE502" s="8"/>
      <c r="AF502" s="8"/>
      <c r="AG502" s="8"/>
      <c r="AH502" s="8"/>
      <c r="AI502" s="8"/>
      <c r="AJ502" s="8"/>
    </row>
    <row r="503" spans="1:3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c r="AE503" s="8"/>
      <c r="AF503" s="8"/>
      <c r="AG503" s="8"/>
      <c r="AH503" s="8"/>
      <c r="AI503" s="8"/>
      <c r="AJ503" s="8"/>
    </row>
    <row r="504" spans="1:3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c r="AE504" s="8"/>
      <c r="AF504" s="8"/>
      <c r="AG504" s="8"/>
      <c r="AH504" s="8"/>
      <c r="AI504" s="8"/>
      <c r="AJ504" s="8"/>
    </row>
    <row r="505" spans="1:3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c r="AE505" s="8"/>
      <c r="AF505" s="8"/>
      <c r="AG505" s="8"/>
      <c r="AH505" s="8"/>
      <c r="AI505" s="8"/>
      <c r="AJ505" s="8"/>
    </row>
    <row r="506" spans="1:3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c r="AE506" s="8"/>
      <c r="AF506" s="8"/>
      <c r="AG506" s="8"/>
      <c r="AH506" s="8"/>
      <c r="AI506" s="8"/>
      <c r="AJ506" s="8"/>
    </row>
    <row r="507" spans="1:3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c r="AE507" s="8"/>
      <c r="AF507" s="8"/>
      <c r="AG507" s="8"/>
      <c r="AH507" s="8"/>
      <c r="AI507" s="8"/>
      <c r="AJ507" s="8"/>
    </row>
    <row r="508" spans="1:3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G508" s="8"/>
      <c r="AH508" s="8"/>
      <c r="AI508" s="8"/>
      <c r="AJ508" s="8"/>
    </row>
    <row r="509" spans="1:3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c r="AE509" s="8"/>
      <c r="AF509" s="8"/>
      <c r="AG509" s="8"/>
      <c r="AH509" s="8"/>
      <c r="AI509" s="8"/>
      <c r="AJ509" s="8"/>
    </row>
    <row r="510" spans="1:3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c r="AE510" s="8"/>
      <c r="AF510" s="8"/>
      <c r="AG510" s="8"/>
      <c r="AH510" s="8"/>
      <c r="AI510" s="8"/>
      <c r="AJ510" s="8"/>
    </row>
    <row r="511" spans="1:3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c r="AE511" s="8"/>
      <c r="AF511" s="8"/>
      <c r="AG511" s="8"/>
      <c r="AH511" s="8"/>
      <c r="AI511" s="8"/>
      <c r="AJ511" s="8"/>
    </row>
    <row r="512" spans="1:3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c r="AE512" s="8"/>
      <c r="AF512" s="8"/>
      <c r="AG512" s="8"/>
      <c r="AH512" s="8"/>
      <c r="AI512" s="8"/>
      <c r="AJ512" s="8"/>
    </row>
    <row r="513" spans="1:3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c r="AE513" s="8"/>
      <c r="AF513" s="8"/>
      <c r="AG513" s="8"/>
      <c r="AH513" s="8"/>
      <c r="AI513" s="8"/>
      <c r="AJ513" s="8"/>
    </row>
    <row r="514" spans="1:3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c r="AE514" s="8"/>
      <c r="AF514" s="8"/>
      <c r="AG514" s="8"/>
      <c r="AH514" s="8"/>
      <c r="AI514" s="8"/>
      <c r="AJ514" s="8"/>
    </row>
    <row r="515" spans="1:3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c r="AE515" s="8"/>
      <c r="AF515" s="8"/>
      <c r="AG515" s="8"/>
      <c r="AH515" s="8"/>
      <c r="AI515" s="8"/>
      <c r="AJ515" s="8"/>
    </row>
    <row r="516" spans="1:3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c r="AE516" s="8"/>
      <c r="AF516" s="8"/>
      <c r="AG516" s="8"/>
      <c r="AH516" s="8"/>
      <c r="AI516" s="8"/>
      <c r="AJ516" s="8"/>
    </row>
    <row r="517" spans="1:3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c r="AE517" s="8"/>
      <c r="AF517" s="8"/>
      <c r="AG517" s="8"/>
      <c r="AH517" s="8"/>
      <c r="AI517" s="8"/>
      <c r="AJ517" s="8"/>
    </row>
    <row r="518" spans="1:3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c r="AE518" s="8"/>
      <c r="AF518" s="8"/>
      <c r="AG518" s="8"/>
      <c r="AH518" s="8"/>
      <c r="AI518" s="8"/>
      <c r="AJ518" s="8"/>
    </row>
    <row r="519" spans="1:3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c r="AE519" s="8"/>
      <c r="AF519" s="8"/>
      <c r="AG519" s="8"/>
      <c r="AH519" s="8"/>
      <c r="AI519" s="8"/>
      <c r="AJ519" s="8"/>
    </row>
    <row r="520" spans="1:3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c r="AE520" s="8"/>
      <c r="AF520" s="8"/>
      <c r="AG520" s="8"/>
      <c r="AH520" s="8"/>
      <c r="AI520" s="8"/>
      <c r="AJ520" s="8"/>
    </row>
    <row r="521" spans="1:3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c r="AE521" s="8"/>
      <c r="AF521" s="8"/>
      <c r="AG521" s="8"/>
      <c r="AH521" s="8"/>
      <c r="AI521" s="8"/>
      <c r="AJ521" s="8"/>
    </row>
    <row r="522" spans="1:3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c r="AE522" s="8"/>
      <c r="AF522" s="8"/>
      <c r="AG522" s="8"/>
      <c r="AH522" s="8"/>
      <c r="AI522" s="8"/>
      <c r="AJ522" s="8"/>
    </row>
    <row r="523" spans="1:3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c r="AE523" s="8"/>
      <c r="AF523" s="8"/>
      <c r="AG523" s="8"/>
      <c r="AH523" s="8"/>
      <c r="AI523" s="8"/>
      <c r="AJ523" s="8"/>
    </row>
    <row r="524" spans="1:3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c r="AE524" s="8"/>
      <c r="AF524" s="8"/>
      <c r="AG524" s="8"/>
      <c r="AH524" s="8"/>
      <c r="AI524" s="8"/>
      <c r="AJ524" s="8"/>
    </row>
    <row r="525" spans="1:3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c r="AE525" s="8"/>
      <c r="AF525" s="8"/>
      <c r="AG525" s="8"/>
      <c r="AH525" s="8"/>
      <c r="AI525" s="8"/>
      <c r="AJ525" s="8"/>
    </row>
    <row r="526" spans="1:3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c r="AE526" s="8"/>
      <c r="AF526" s="8"/>
      <c r="AG526" s="8"/>
      <c r="AH526" s="8"/>
      <c r="AI526" s="8"/>
      <c r="AJ526" s="8"/>
    </row>
    <row r="527" spans="1:3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c r="AE527" s="8"/>
      <c r="AF527" s="8"/>
      <c r="AG527" s="8"/>
      <c r="AH527" s="8"/>
      <c r="AI527" s="8"/>
      <c r="AJ527" s="8"/>
    </row>
    <row r="528" spans="1:3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c r="AE528" s="8"/>
      <c r="AF528" s="8"/>
      <c r="AG528" s="8"/>
      <c r="AH528" s="8"/>
      <c r="AI528" s="8"/>
      <c r="AJ528" s="8"/>
    </row>
    <row r="529" spans="1:3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c r="AE529" s="8"/>
      <c r="AF529" s="8"/>
      <c r="AG529" s="8"/>
      <c r="AH529" s="8"/>
      <c r="AI529" s="8"/>
      <c r="AJ529" s="8"/>
    </row>
    <row r="530" spans="1:3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c r="AE530" s="8"/>
      <c r="AF530" s="8"/>
      <c r="AG530" s="8"/>
      <c r="AH530" s="8"/>
      <c r="AI530" s="8"/>
      <c r="AJ530" s="8"/>
    </row>
    <row r="531" spans="1:3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c r="AE531" s="8"/>
      <c r="AF531" s="8"/>
      <c r="AG531" s="8"/>
      <c r="AH531" s="8"/>
      <c r="AI531" s="8"/>
      <c r="AJ531" s="8"/>
    </row>
    <row r="532" spans="1:3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c r="AE532" s="8"/>
      <c r="AF532" s="8"/>
      <c r="AG532" s="8"/>
      <c r="AH532" s="8"/>
      <c r="AI532" s="8"/>
      <c r="AJ532" s="8"/>
    </row>
    <row r="533" spans="1:3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row>
    <row r="534" spans="1:3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row>
    <row r="535" spans="1:3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c r="AE535" s="8"/>
      <c r="AF535" s="8"/>
      <c r="AG535" s="8"/>
      <c r="AH535" s="8"/>
      <c r="AI535" s="8"/>
      <c r="AJ535" s="8"/>
    </row>
    <row r="536" spans="1:3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c r="AE536" s="8"/>
      <c r="AF536" s="8"/>
      <c r="AG536" s="8"/>
      <c r="AH536" s="8"/>
      <c r="AI536" s="8"/>
      <c r="AJ536" s="8"/>
    </row>
    <row r="537" spans="1:3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c r="AE537" s="8"/>
      <c r="AF537" s="8"/>
      <c r="AG537" s="8"/>
      <c r="AH537" s="8"/>
      <c r="AI537" s="8"/>
      <c r="AJ537" s="8"/>
    </row>
    <row r="538" spans="1:3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c r="AE538" s="8"/>
      <c r="AF538" s="8"/>
      <c r="AG538" s="8"/>
      <c r="AH538" s="8"/>
      <c r="AI538" s="8"/>
      <c r="AJ538" s="8"/>
    </row>
    <row r="539" spans="1:3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c r="AE539" s="8"/>
      <c r="AF539" s="8"/>
      <c r="AG539" s="8"/>
      <c r="AH539" s="8"/>
      <c r="AI539" s="8"/>
      <c r="AJ539" s="8"/>
    </row>
    <row r="540" spans="1:3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c r="AE540" s="8"/>
      <c r="AF540" s="8"/>
      <c r="AG540" s="8"/>
      <c r="AH540" s="8"/>
      <c r="AI540" s="8"/>
      <c r="AJ540" s="8"/>
    </row>
    <row r="541" spans="1:3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c r="AE541" s="8"/>
      <c r="AF541" s="8"/>
      <c r="AG541" s="8"/>
      <c r="AH541" s="8"/>
      <c r="AI541" s="8"/>
      <c r="AJ541" s="8"/>
    </row>
    <row r="542" spans="1:3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c r="AE542" s="8"/>
      <c r="AF542" s="8"/>
      <c r="AG542" s="8"/>
      <c r="AH542" s="8"/>
      <c r="AI542" s="8"/>
      <c r="AJ542" s="8"/>
    </row>
    <row r="543" spans="1:3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c r="AE543" s="8"/>
      <c r="AF543" s="8"/>
      <c r="AG543" s="8"/>
      <c r="AH543" s="8"/>
      <c r="AI543" s="8"/>
      <c r="AJ543" s="8"/>
    </row>
    <row r="544" spans="1:3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c r="AE544" s="8"/>
      <c r="AF544" s="8"/>
      <c r="AG544" s="8"/>
      <c r="AH544" s="8"/>
      <c r="AI544" s="8"/>
      <c r="AJ544" s="8"/>
    </row>
    <row r="545" spans="1:3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c r="AE545" s="8"/>
      <c r="AF545" s="8"/>
      <c r="AG545" s="8"/>
      <c r="AH545" s="8"/>
      <c r="AI545" s="8"/>
      <c r="AJ545" s="8"/>
    </row>
    <row r="546" spans="1:3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c r="AE546" s="8"/>
      <c r="AF546" s="8"/>
      <c r="AG546" s="8"/>
      <c r="AH546" s="8"/>
      <c r="AI546" s="8"/>
      <c r="AJ546" s="8"/>
    </row>
    <row r="547" spans="1:3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c r="AE547" s="8"/>
      <c r="AF547" s="8"/>
      <c r="AG547" s="8"/>
      <c r="AH547" s="8"/>
      <c r="AI547" s="8"/>
      <c r="AJ547" s="8"/>
    </row>
    <row r="548" spans="1:3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c r="AE548" s="8"/>
      <c r="AF548" s="8"/>
      <c r="AG548" s="8"/>
      <c r="AH548" s="8"/>
      <c r="AI548" s="8"/>
      <c r="AJ548" s="8"/>
    </row>
    <row r="549" spans="1:3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c r="AE549" s="8"/>
      <c r="AF549" s="8"/>
      <c r="AG549" s="8"/>
      <c r="AH549" s="8"/>
      <c r="AI549" s="8"/>
      <c r="AJ549" s="8"/>
    </row>
    <row r="550" spans="1:3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c r="AE550" s="8"/>
      <c r="AF550" s="8"/>
      <c r="AG550" s="8"/>
      <c r="AH550" s="8"/>
      <c r="AI550" s="8"/>
      <c r="AJ550" s="8"/>
    </row>
    <row r="551" spans="1:3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c r="AE551" s="8"/>
      <c r="AF551" s="8"/>
      <c r="AG551" s="8"/>
      <c r="AH551" s="8"/>
      <c r="AI551" s="8"/>
      <c r="AJ551" s="8"/>
    </row>
    <row r="552" spans="1:3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c r="AE552" s="8"/>
      <c r="AF552" s="8"/>
      <c r="AG552" s="8"/>
      <c r="AH552" s="8"/>
      <c r="AI552" s="8"/>
      <c r="AJ552" s="8"/>
    </row>
    <row r="553" spans="1:3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c r="AE553" s="8"/>
      <c r="AF553" s="8"/>
      <c r="AG553" s="8"/>
      <c r="AH553" s="8"/>
      <c r="AI553" s="8"/>
      <c r="AJ553" s="8"/>
    </row>
    <row r="554" spans="1:3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c r="AE554" s="8"/>
      <c r="AF554" s="8"/>
      <c r="AG554" s="8"/>
      <c r="AH554" s="8"/>
      <c r="AI554" s="8"/>
      <c r="AJ554" s="8"/>
    </row>
    <row r="555" spans="1:3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c r="AE555" s="8"/>
      <c r="AF555" s="8"/>
      <c r="AG555" s="8"/>
      <c r="AH555" s="8"/>
      <c r="AI555" s="8"/>
      <c r="AJ555" s="8"/>
    </row>
    <row r="556" spans="1:3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c r="AE556" s="8"/>
      <c r="AF556" s="8"/>
      <c r="AG556" s="8"/>
      <c r="AH556" s="8"/>
      <c r="AI556" s="8"/>
      <c r="AJ556" s="8"/>
    </row>
    <row r="557" spans="1:3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c r="AE557" s="8"/>
      <c r="AF557" s="8"/>
      <c r="AG557" s="8"/>
      <c r="AH557" s="8"/>
      <c r="AI557" s="8"/>
      <c r="AJ557" s="8"/>
    </row>
    <row r="558" spans="1:3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c r="AE558" s="8"/>
      <c r="AF558" s="8"/>
      <c r="AG558" s="8"/>
      <c r="AH558" s="8"/>
      <c r="AI558" s="8"/>
      <c r="AJ558" s="8"/>
    </row>
    <row r="559" spans="1:3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c r="AE559" s="8"/>
      <c r="AF559" s="8"/>
      <c r="AG559" s="8"/>
      <c r="AH559" s="8"/>
      <c r="AI559" s="8"/>
      <c r="AJ559" s="8"/>
    </row>
    <row r="560" spans="1:3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c r="AE560" s="8"/>
      <c r="AF560" s="8"/>
      <c r="AG560" s="8"/>
      <c r="AH560" s="8"/>
      <c r="AI560" s="8"/>
      <c r="AJ560" s="8"/>
    </row>
    <row r="561" spans="1:3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c r="AE561" s="8"/>
      <c r="AF561" s="8"/>
      <c r="AG561" s="8"/>
      <c r="AH561" s="8"/>
      <c r="AI561" s="8"/>
      <c r="AJ561" s="8"/>
    </row>
    <row r="562" spans="1:3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c r="AE562" s="8"/>
      <c r="AF562" s="8"/>
      <c r="AG562" s="8"/>
      <c r="AH562" s="8"/>
      <c r="AI562" s="8"/>
      <c r="AJ562" s="8"/>
    </row>
    <row r="563" spans="1:3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c r="AE563" s="8"/>
      <c r="AF563" s="8"/>
      <c r="AG563" s="8"/>
      <c r="AH563" s="8"/>
      <c r="AI563" s="8"/>
      <c r="AJ563" s="8"/>
    </row>
    <row r="564" spans="1:3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c r="AE564" s="8"/>
      <c r="AF564" s="8"/>
      <c r="AG564" s="8"/>
      <c r="AH564" s="8"/>
      <c r="AI564" s="8"/>
      <c r="AJ564" s="8"/>
    </row>
    <row r="565" spans="1:3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c r="AE565" s="8"/>
      <c r="AF565" s="8"/>
      <c r="AG565" s="8"/>
      <c r="AH565" s="8"/>
      <c r="AI565" s="8"/>
      <c r="AJ565" s="8"/>
    </row>
    <row r="566" spans="1:3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row>
    <row r="567" spans="1:3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row>
    <row r="568" spans="1:3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c r="AE568" s="8"/>
      <c r="AF568" s="8"/>
      <c r="AG568" s="8"/>
      <c r="AH568" s="8"/>
      <c r="AI568" s="8"/>
      <c r="AJ568" s="8"/>
    </row>
    <row r="569" spans="1:3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c r="AE569" s="8"/>
      <c r="AF569" s="8"/>
      <c r="AG569" s="8"/>
      <c r="AH569" s="8"/>
      <c r="AI569" s="8"/>
      <c r="AJ569" s="8"/>
    </row>
    <row r="570" spans="1:3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c r="AE570" s="8"/>
      <c r="AF570" s="8"/>
      <c r="AG570" s="8"/>
      <c r="AH570" s="8"/>
      <c r="AI570" s="8"/>
      <c r="AJ570" s="8"/>
    </row>
    <row r="571" spans="1:3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c r="AE571" s="8"/>
      <c r="AF571" s="8"/>
      <c r="AG571" s="8"/>
      <c r="AH571" s="8"/>
      <c r="AI571" s="8"/>
      <c r="AJ571" s="8"/>
    </row>
    <row r="572" spans="1:3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c r="AE572" s="8"/>
      <c r="AF572" s="8"/>
      <c r="AG572" s="8"/>
      <c r="AH572" s="8"/>
      <c r="AI572" s="8"/>
      <c r="AJ572" s="8"/>
    </row>
    <row r="573" spans="1:3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c r="AE573" s="8"/>
      <c r="AF573" s="8"/>
      <c r="AG573" s="8"/>
      <c r="AH573" s="8"/>
      <c r="AI573" s="8"/>
      <c r="AJ573" s="8"/>
    </row>
    <row r="574" spans="1:3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c r="AE574" s="8"/>
      <c r="AF574" s="8"/>
      <c r="AG574" s="8"/>
      <c r="AH574" s="8"/>
      <c r="AI574" s="8"/>
      <c r="AJ574" s="8"/>
    </row>
    <row r="575" spans="1:3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c r="AE575" s="8"/>
      <c r="AF575" s="8"/>
      <c r="AG575" s="8"/>
      <c r="AH575" s="8"/>
      <c r="AI575" s="8"/>
      <c r="AJ575" s="8"/>
    </row>
    <row r="576" spans="1:3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c r="AE576" s="8"/>
      <c r="AF576" s="8"/>
      <c r="AG576" s="8"/>
      <c r="AH576" s="8"/>
      <c r="AI576" s="8"/>
      <c r="AJ576" s="8"/>
    </row>
    <row r="577" spans="1:3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c r="AE577" s="8"/>
      <c r="AF577" s="8"/>
      <c r="AG577" s="8"/>
      <c r="AH577" s="8"/>
      <c r="AI577" s="8"/>
      <c r="AJ577" s="8"/>
    </row>
    <row r="578" spans="1:3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c r="AE578" s="8"/>
      <c r="AF578" s="8"/>
      <c r="AG578" s="8"/>
      <c r="AH578" s="8"/>
      <c r="AI578" s="8"/>
      <c r="AJ578" s="8"/>
    </row>
    <row r="579" spans="1:3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c r="AE579" s="8"/>
      <c r="AF579" s="8"/>
      <c r="AG579" s="8"/>
      <c r="AH579" s="8"/>
      <c r="AI579" s="8"/>
      <c r="AJ579" s="8"/>
    </row>
    <row r="580" spans="1:3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c r="AE580" s="8"/>
      <c r="AF580" s="8"/>
      <c r="AG580" s="8"/>
      <c r="AH580" s="8"/>
      <c r="AI580" s="8"/>
      <c r="AJ580" s="8"/>
    </row>
    <row r="581" spans="1:3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c r="AE581" s="8"/>
      <c r="AF581" s="8"/>
      <c r="AG581" s="8"/>
      <c r="AH581" s="8"/>
      <c r="AI581" s="8"/>
      <c r="AJ581" s="8"/>
    </row>
    <row r="582" spans="1:3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c r="AE582" s="8"/>
      <c r="AF582" s="8"/>
      <c r="AG582" s="8"/>
      <c r="AH582" s="8"/>
      <c r="AI582" s="8"/>
      <c r="AJ582" s="8"/>
    </row>
    <row r="583" spans="1:3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c r="AE583" s="8"/>
      <c r="AF583" s="8"/>
      <c r="AG583" s="8"/>
      <c r="AH583" s="8"/>
      <c r="AI583" s="8"/>
      <c r="AJ583" s="8"/>
    </row>
    <row r="584" spans="1:3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c r="AE584" s="8"/>
      <c r="AF584" s="8"/>
      <c r="AG584" s="8"/>
      <c r="AH584" s="8"/>
      <c r="AI584" s="8"/>
      <c r="AJ584" s="8"/>
    </row>
    <row r="585" spans="1:3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c r="AE585" s="8"/>
      <c r="AF585" s="8"/>
      <c r="AG585" s="8"/>
      <c r="AH585" s="8"/>
      <c r="AI585" s="8"/>
      <c r="AJ585" s="8"/>
    </row>
    <row r="586" spans="1:3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c r="AE586" s="8"/>
      <c r="AF586" s="8"/>
      <c r="AG586" s="8"/>
      <c r="AH586" s="8"/>
      <c r="AI586" s="8"/>
      <c r="AJ586" s="8"/>
    </row>
    <row r="587" spans="1:3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c r="AE587" s="8"/>
      <c r="AF587" s="8"/>
      <c r="AG587" s="8"/>
      <c r="AH587" s="8"/>
      <c r="AI587" s="8"/>
      <c r="AJ587" s="8"/>
    </row>
    <row r="588" spans="1:3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c r="AE588" s="8"/>
      <c r="AF588" s="8"/>
      <c r="AG588" s="8"/>
      <c r="AH588" s="8"/>
      <c r="AI588" s="8"/>
      <c r="AJ588" s="8"/>
    </row>
    <row r="589" spans="1:3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c r="AE589" s="8"/>
      <c r="AF589" s="8"/>
      <c r="AG589" s="8"/>
      <c r="AH589" s="8"/>
      <c r="AI589" s="8"/>
      <c r="AJ589" s="8"/>
    </row>
    <row r="590" spans="1:3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c r="AE590" s="8"/>
      <c r="AF590" s="8"/>
      <c r="AG590" s="8"/>
      <c r="AH590" s="8"/>
      <c r="AI590" s="8"/>
      <c r="AJ590" s="8"/>
    </row>
    <row r="591" spans="1:3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c r="AE591" s="8"/>
      <c r="AF591" s="8"/>
      <c r="AG591" s="8"/>
      <c r="AH591" s="8"/>
      <c r="AI591" s="8"/>
      <c r="AJ591" s="8"/>
    </row>
    <row r="592" spans="1:3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row>
    <row r="593" spans="1:3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c r="AE593" s="8"/>
      <c r="AF593" s="8"/>
      <c r="AG593" s="8"/>
      <c r="AH593" s="8"/>
      <c r="AI593" s="8"/>
      <c r="AJ593" s="8"/>
    </row>
    <row r="594" spans="1:3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c r="AE594" s="8"/>
      <c r="AF594" s="8"/>
      <c r="AG594" s="8"/>
      <c r="AH594" s="8"/>
      <c r="AI594" s="8"/>
      <c r="AJ594" s="8"/>
    </row>
    <row r="595" spans="1:3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c r="AE595" s="8"/>
      <c r="AF595" s="8"/>
      <c r="AG595" s="8"/>
      <c r="AH595" s="8"/>
      <c r="AI595" s="8"/>
      <c r="AJ595" s="8"/>
    </row>
    <row r="596" spans="1:3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c r="AE596" s="8"/>
      <c r="AF596" s="8"/>
      <c r="AG596" s="8"/>
      <c r="AH596" s="8"/>
      <c r="AI596" s="8"/>
      <c r="AJ596" s="8"/>
    </row>
    <row r="597" spans="1:3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c r="AE597" s="8"/>
      <c r="AF597" s="8"/>
      <c r="AG597" s="8"/>
      <c r="AH597" s="8"/>
      <c r="AI597" s="8"/>
      <c r="AJ597" s="8"/>
    </row>
    <row r="598" spans="1:3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c r="AE598" s="8"/>
      <c r="AF598" s="8"/>
      <c r="AG598" s="8"/>
      <c r="AH598" s="8"/>
      <c r="AI598" s="8"/>
      <c r="AJ598" s="8"/>
    </row>
    <row r="599" spans="1:3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c r="AE599" s="8"/>
      <c r="AF599" s="8"/>
      <c r="AG599" s="8"/>
      <c r="AH599" s="8"/>
      <c r="AI599" s="8"/>
      <c r="AJ599" s="8"/>
    </row>
    <row r="600" spans="1:3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c r="AE600" s="8"/>
      <c r="AF600" s="8"/>
      <c r="AG600" s="8"/>
      <c r="AH600" s="8"/>
      <c r="AI600" s="8"/>
      <c r="AJ600" s="8"/>
    </row>
    <row r="601" spans="1:3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c r="AE601" s="8"/>
      <c r="AF601" s="8"/>
      <c r="AG601" s="8"/>
      <c r="AH601" s="8"/>
      <c r="AI601" s="8"/>
      <c r="AJ601" s="8"/>
    </row>
    <row r="602" spans="1:3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c r="AE602" s="8"/>
      <c r="AF602" s="8"/>
      <c r="AG602" s="8"/>
      <c r="AH602" s="8"/>
      <c r="AI602" s="8"/>
      <c r="AJ602" s="8"/>
    </row>
    <row r="603" spans="1:3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c r="AE603" s="8"/>
      <c r="AF603" s="8"/>
      <c r="AG603" s="8"/>
      <c r="AH603" s="8"/>
      <c r="AI603" s="8"/>
      <c r="AJ603" s="8"/>
    </row>
    <row r="604" spans="1:3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c r="AE604" s="8"/>
      <c r="AF604" s="8"/>
      <c r="AG604" s="8"/>
      <c r="AH604" s="8"/>
      <c r="AI604" s="8"/>
      <c r="AJ604" s="8"/>
    </row>
    <row r="605" spans="1:3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c r="AE605" s="8"/>
      <c r="AF605" s="8"/>
      <c r="AG605" s="8"/>
      <c r="AH605" s="8"/>
      <c r="AI605" s="8"/>
      <c r="AJ605" s="8"/>
    </row>
    <row r="606" spans="1:3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8"/>
      <c r="AG606" s="8"/>
      <c r="AH606" s="8"/>
      <c r="AI606" s="8"/>
      <c r="AJ606" s="8"/>
    </row>
    <row r="607" spans="1:3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c r="AE607" s="8"/>
      <c r="AF607" s="8"/>
      <c r="AG607" s="8"/>
      <c r="AH607" s="8"/>
      <c r="AI607" s="8"/>
      <c r="AJ607" s="8"/>
    </row>
    <row r="608" spans="1:3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c r="AE608" s="8"/>
      <c r="AF608" s="8"/>
      <c r="AG608" s="8"/>
      <c r="AH608" s="8"/>
      <c r="AI608" s="8"/>
      <c r="AJ608" s="8"/>
    </row>
    <row r="609" spans="1:3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c r="AE609" s="8"/>
      <c r="AF609" s="8"/>
      <c r="AG609" s="8"/>
      <c r="AH609" s="8"/>
      <c r="AI609" s="8"/>
      <c r="AJ609" s="8"/>
    </row>
    <row r="610" spans="1:3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c r="AE610" s="8"/>
      <c r="AF610" s="8"/>
      <c r="AG610" s="8"/>
      <c r="AH610" s="8"/>
      <c r="AI610" s="8"/>
      <c r="AJ610" s="8"/>
    </row>
    <row r="611" spans="1:3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c r="AE611" s="8"/>
      <c r="AF611" s="8"/>
      <c r="AG611" s="8"/>
      <c r="AH611" s="8"/>
      <c r="AI611" s="8"/>
      <c r="AJ611" s="8"/>
    </row>
    <row r="612" spans="1:3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c r="AE612" s="8"/>
      <c r="AF612" s="8"/>
      <c r="AG612" s="8"/>
      <c r="AH612" s="8"/>
      <c r="AI612" s="8"/>
      <c r="AJ612" s="8"/>
    </row>
    <row r="613" spans="1:3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c r="AE613" s="8"/>
      <c r="AF613" s="8"/>
      <c r="AG613" s="8"/>
      <c r="AH613" s="8"/>
      <c r="AI613" s="8"/>
      <c r="AJ613" s="8"/>
    </row>
    <row r="614" spans="1:3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c r="AE614" s="8"/>
      <c r="AF614" s="8"/>
      <c r="AG614" s="8"/>
      <c r="AH614" s="8"/>
      <c r="AI614" s="8"/>
      <c r="AJ614" s="8"/>
    </row>
    <row r="615" spans="1:3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c r="AE615" s="8"/>
      <c r="AF615" s="8"/>
      <c r="AG615" s="8"/>
      <c r="AH615" s="8"/>
      <c r="AI615" s="8"/>
      <c r="AJ615" s="8"/>
    </row>
    <row r="616" spans="1:3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c r="AE616" s="8"/>
      <c r="AF616" s="8"/>
      <c r="AG616" s="8"/>
      <c r="AH616" s="8"/>
      <c r="AI616" s="8"/>
      <c r="AJ616" s="8"/>
    </row>
    <row r="617" spans="1:3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c r="AE617" s="8"/>
      <c r="AF617" s="8"/>
      <c r="AG617" s="8"/>
      <c r="AH617" s="8"/>
      <c r="AI617" s="8"/>
      <c r="AJ617" s="8"/>
    </row>
    <row r="618" spans="1:3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c r="AE618" s="8"/>
      <c r="AF618" s="8"/>
      <c r="AG618" s="8"/>
      <c r="AH618" s="8"/>
      <c r="AI618" s="8"/>
      <c r="AJ618" s="8"/>
    </row>
    <row r="619" spans="1:3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c r="AE619" s="8"/>
      <c r="AF619" s="8"/>
      <c r="AG619" s="8"/>
      <c r="AH619" s="8"/>
      <c r="AI619" s="8"/>
      <c r="AJ619" s="8"/>
    </row>
    <row r="620" spans="1:3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c r="AE620" s="8"/>
      <c r="AF620" s="8"/>
      <c r="AG620" s="8"/>
      <c r="AH620" s="8"/>
      <c r="AI620" s="8"/>
      <c r="AJ620" s="8"/>
    </row>
    <row r="621" spans="1:3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8"/>
      <c r="AG621" s="8"/>
      <c r="AH621" s="8"/>
      <c r="AI621" s="8"/>
      <c r="AJ621" s="8"/>
    </row>
    <row r="622" spans="1:3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c r="AE622" s="8"/>
      <c r="AF622" s="8"/>
      <c r="AG622" s="8"/>
      <c r="AH622" s="8"/>
      <c r="AI622" s="8"/>
      <c r="AJ622" s="8"/>
    </row>
    <row r="623" spans="1:3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c r="AE623" s="8"/>
      <c r="AF623" s="8"/>
      <c r="AG623" s="8"/>
      <c r="AH623" s="8"/>
      <c r="AI623" s="8"/>
      <c r="AJ623" s="8"/>
    </row>
    <row r="624" spans="1:3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c r="AE624" s="8"/>
      <c r="AF624" s="8"/>
      <c r="AG624" s="8"/>
      <c r="AH624" s="8"/>
      <c r="AI624" s="8"/>
      <c r="AJ624" s="8"/>
    </row>
    <row r="625" spans="1:3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c r="AE625" s="8"/>
      <c r="AF625" s="8"/>
      <c r="AG625" s="8"/>
      <c r="AH625" s="8"/>
      <c r="AI625" s="8"/>
      <c r="AJ625" s="8"/>
    </row>
    <row r="626" spans="1:3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G626" s="8"/>
      <c r="AH626" s="8"/>
      <c r="AI626" s="8"/>
      <c r="AJ626" s="8"/>
    </row>
    <row r="627" spans="1:3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c r="AE627" s="8"/>
      <c r="AF627" s="8"/>
      <c r="AG627" s="8"/>
      <c r="AH627" s="8"/>
      <c r="AI627" s="8"/>
      <c r="AJ627" s="8"/>
    </row>
    <row r="628" spans="1:3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c r="AE628" s="8"/>
      <c r="AF628" s="8"/>
      <c r="AG628" s="8"/>
      <c r="AH628" s="8"/>
      <c r="AI628" s="8"/>
      <c r="AJ628" s="8"/>
    </row>
    <row r="629" spans="1:3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c r="AE629" s="8"/>
      <c r="AF629" s="8"/>
      <c r="AG629" s="8"/>
      <c r="AH629" s="8"/>
      <c r="AI629" s="8"/>
      <c r="AJ629" s="8"/>
    </row>
    <row r="630" spans="1:3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c r="AE630" s="8"/>
      <c r="AF630" s="8"/>
      <c r="AG630" s="8"/>
      <c r="AH630" s="8"/>
      <c r="AI630" s="8"/>
      <c r="AJ630" s="8"/>
    </row>
    <row r="631" spans="1:3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c r="AE631" s="8"/>
      <c r="AF631" s="8"/>
      <c r="AG631" s="8"/>
      <c r="AH631" s="8"/>
      <c r="AI631" s="8"/>
      <c r="AJ631" s="8"/>
    </row>
    <row r="632" spans="1:3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c r="AE632" s="8"/>
      <c r="AF632" s="8"/>
      <c r="AG632" s="8"/>
      <c r="AH632" s="8"/>
      <c r="AI632" s="8"/>
      <c r="AJ632" s="8"/>
    </row>
    <row r="633" spans="1:3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c r="AE633" s="8"/>
      <c r="AF633" s="8"/>
      <c r="AG633" s="8"/>
      <c r="AH633" s="8"/>
      <c r="AI633" s="8"/>
      <c r="AJ633" s="8"/>
    </row>
    <row r="634" spans="1:3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c r="AE634" s="8"/>
      <c r="AF634" s="8"/>
      <c r="AG634" s="8"/>
      <c r="AH634" s="8"/>
      <c r="AI634" s="8"/>
      <c r="AJ634" s="8"/>
    </row>
    <row r="635" spans="1:3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c r="AE635" s="8"/>
      <c r="AF635" s="8"/>
      <c r="AG635" s="8"/>
      <c r="AH635" s="8"/>
      <c r="AI635" s="8"/>
      <c r="AJ635" s="8"/>
    </row>
    <row r="636" spans="1:3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c r="AE636" s="8"/>
      <c r="AF636" s="8"/>
      <c r="AG636" s="8"/>
      <c r="AH636" s="8"/>
      <c r="AI636" s="8"/>
      <c r="AJ636" s="8"/>
    </row>
    <row r="637" spans="1:3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c r="AE637" s="8"/>
      <c r="AF637" s="8"/>
      <c r="AG637" s="8"/>
      <c r="AH637" s="8"/>
      <c r="AI637" s="8"/>
      <c r="AJ637" s="8"/>
    </row>
    <row r="638" spans="1:3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c r="AE638" s="8"/>
      <c r="AF638" s="8"/>
      <c r="AG638" s="8"/>
      <c r="AH638" s="8"/>
      <c r="AI638" s="8"/>
      <c r="AJ638" s="8"/>
    </row>
    <row r="639" spans="1:3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c r="AE639" s="8"/>
      <c r="AF639" s="8"/>
      <c r="AG639" s="8"/>
      <c r="AH639" s="8"/>
      <c r="AI639" s="8"/>
      <c r="AJ639" s="8"/>
    </row>
    <row r="640" spans="1:3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c r="AE640" s="8"/>
      <c r="AF640" s="8"/>
      <c r="AG640" s="8"/>
      <c r="AH640" s="8"/>
      <c r="AI640" s="8"/>
      <c r="AJ640" s="8"/>
    </row>
    <row r="641" spans="1:3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G641" s="8"/>
      <c r="AH641" s="8"/>
      <c r="AI641" s="8"/>
      <c r="AJ641" s="8"/>
    </row>
    <row r="642" spans="1:3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c r="AE642" s="8"/>
      <c r="AF642" s="8"/>
      <c r="AG642" s="8"/>
      <c r="AH642" s="8"/>
      <c r="AI642" s="8"/>
      <c r="AJ642" s="8"/>
    </row>
    <row r="643" spans="1:3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c r="AE643" s="8"/>
      <c r="AF643" s="8"/>
      <c r="AG643" s="8"/>
      <c r="AH643" s="8"/>
      <c r="AI643" s="8"/>
      <c r="AJ643" s="8"/>
    </row>
    <row r="644" spans="1:3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c r="AE644" s="8"/>
      <c r="AF644" s="8"/>
      <c r="AG644" s="8"/>
      <c r="AH644" s="8"/>
      <c r="AI644" s="8"/>
      <c r="AJ644" s="8"/>
    </row>
    <row r="645" spans="1:3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c r="AE645" s="8"/>
      <c r="AF645" s="8"/>
      <c r="AG645" s="8"/>
      <c r="AH645" s="8"/>
      <c r="AI645" s="8"/>
      <c r="AJ645" s="8"/>
    </row>
    <row r="646" spans="1:3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row>
    <row r="647" spans="1:3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c r="AE647" s="8"/>
      <c r="AF647" s="8"/>
      <c r="AG647" s="8"/>
      <c r="AH647" s="8"/>
      <c r="AI647" s="8"/>
      <c r="AJ647" s="8"/>
    </row>
    <row r="648" spans="1:3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c r="AE648" s="8"/>
      <c r="AF648" s="8"/>
      <c r="AG648" s="8"/>
      <c r="AH648" s="8"/>
      <c r="AI648" s="8"/>
      <c r="AJ648" s="8"/>
    </row>
    <row r="649" spans="1:3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c r="AE649" s="8"/>
      <c r="AF649" s="8"/>
      <c r="AG649" s="8"/>
      <c r="AH649" s="8"/>
      <c r="AI649" s="8"/>
      <c r="AJ649" s="8"/>
    </row>
    <row r="650" spans="1:3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c r="AE650" s="8"/>
      <c r="AF650" s="8"/>
      <c r="AG650" s="8"/>
      <c r="AH650" s="8"/>
      <c r="AI650" s="8"/>
      <c r="AJ650" s="8"/>
    </row>
    <row r="651" spans="1:3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c r="AE651" s="8"/>
      <c r="AF651" s="8"/>
      <c r="AG651" s="8"/>
      <c r="AH651" s="8"/>
      <c r="AI651" s="8"/>
      <c r="AJ651" s="8"/>
    </row>
    <row r="652" spans="1:3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c r="AE652" s="8"/>
      <c r="AF652" s="8"/>
      <c r="AG652" s="8"/>
      <c r="AH652" s="8"/>
      <c r="AI652" s="8"/>
      <c r="AJ652" s="8"/>
    </row>
    <row r="653" spans="1:3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c r="AE653" s="8"/>
      <c r="AF653" s="8"/>
      <c r="AG653" s="8"/>
      <c r="AH653" s="8"/>
      <c r="AI653" s="8"/>
      <c r="AJ653" s="8"/>
    </row>
    <row r="654" spans="1:3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c r="AE654" s="8"/>
      <c r="AF654" s="8"/>
      <c r="AG654" s="8"/>
      <c r="AH654" s="8"/>
      <c r="AI654" s="8"/>
      <c r="AJ654" s="8"/>
    </row>
    <row r="655" spans="1:3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c r="AE655" s="8"/>
      <c r="AF655" s="8"/>
      <c r="AG655" s="8"/>
      <c r="AH655" s="8"/>
      <c r="AI655" s="8"/>
      <c r="AJ655" s="8"/>
    </row>
    <row r="656" spans="1:3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c r="AE656" s="8"/>
      <c r="AF656" s="8"/>
      <c r="AG656" s="8"/>
      <c r="AH656" s="8"/>
      <c r="AI656" s="8"/>
      <c r="AJ656" s="8"/>
    </row>
    <row r="657" spans="1:3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c r="AE657" s="8"/>
      <c r="AF657" s="8"/>
      <c r="AG657" s="8"/>
      <c r="AH657" s="8"/>
      <c r="AI657" s="8"/>
      <c r="AJ657" s="8"/>
    </row>
    <row r="658" spans="1:3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c r="AE658" s="8"/>
      <c r="AF658" s="8"/>
      <c r="AG658" s="8"/>
      <c r="AH658" s="8"/>
      <c r="AI658" s="8"/>
      <c r="AJ658" s="8"/>
    </row>
    <row r="659" spans="1:3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c r="AE659" s="8"/>
      <c r="AF659" s="8"/>
      <c r="AG659" s="8"/>
      <c r="AH659" s="8"/>
      <c r="AI659" s="8"/>
      <c r="AJ659" s="8"/>
    </row>
    <row r="660" spans="1:3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c r="AE660" s="8"/>
      <c r="AF660" s="8"/>
      <c r="AG660" s="8"/>
      <c r="AH660" s="8"/>
      <c r="AI660" s="8"/>
      <c r="AJ660" s="8"/>
    </row>
    <row r="661" spans="1:3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c r="AE661" s="8"/>
      <c r="AF661" s="8"/>
      <c r="AG661" s="8"/>
      <c r="AH661" s="8"/>
      <c r="AI661" s="8"/>
      <c r="AJ661" s="8"/>
    </row>
    <row r="662" spans="1:3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c r="AE662" s="8"/>
      <c r="AF662" s="8"/>
      <c r="AG662" s="8"/>
      <c r="AH662" s="8"/>
      <c r="AI662" s="8"/>
      <c r="AJ662" s="8"/>
    </row>
    <row r="663" spans="1:3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c r="AE663" s="8"/>
      <c r="AF663" s="8"/>
      <c r="AG663" s="8"/>
      <c r="AH663" s="8"/>
      <c r="AI663" s="8"/>
      <c r="AJ663" s="8"/>
    </row>
    <row r="664" spans="1:3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c r="AE664" s="8"/>
      <c r="AF664" s="8"/>
      <c r="AG664" s="8"/>
      <c r="AH664" s="8"/>
      <c r="AI664" s="8"/>
      <c r="AJ664" s="8"/>
    </row>
    <row r="665" spans="1:3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c r="AE665" s="8"/>
      <c r="AF665" s="8"/>
      <c r="AG665" s="8"/>
      <c r="AH665" s="8"/>
      <c r="AI665" s="8"/>
      <c r="AJ665" s="8"/>
    </row>
    <row r="666" spans="1:3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c r="AE666" s="8"/>
      <c r="AF666" s="8"/>
      <c r="AG666" s="8"/>
      <c r="AH666" s="8"/>
      <c r="AI666" s="8"/>
      <c r="AJ666" s="8"/>
    </row>
    <row r="667" spans="1:3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row>
    <row r="668" spans="1:3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c r="AE668" s="8"/>
      <c r="AF668" s="8"/>
      <c r="AG668" s="8"/>
      <c r="AH668" s="8"/>
      <c r="AI668" s="8"/>
      <c r="AJ668" s="8"/>
    </row>
    <row r="669" spans="1:3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c r="AE669" s="8"/>
      <c r="AF669" s="8"/>
      <c r="AG669" s="8"/>
      <c r="AH669" s="8"/>
      <c r="AI669" s="8"/>
      <c r="AJ669" s="8"/>
    </row>
    <row r="670" spans="1:3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c r="AE670" s="8"/>
      <c r="AF670" s="8"/>
      <c r="AG670" s="8"/>
      <c r="AH670" s="8"/>
      <c r="AI670" s="8"/>
      <c r="AJ670" s="8"/>
    </row>
    <row r="671" spans="1:3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c r="AE671" s="8"/>
      <c r="AF671" s="8"/>
      <c r="AG671" s="8"/>
      <c r="AH671" s="8"/>
      <c r="AI671" s="8"/>
      <c r="AJ671" s="8"/>
    </row>
    <row r="672" spans="1:3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c r="AE672" s="8"/>
      <c r="AF672" s="8"/>
      <c r="AG672" s="8"/>
      <c r="AH672" s="8"/>
      <c r="AI672" s="8"/>
      <c r="AJ672" s="8"/>
    </row>
    <row r="673" spans="1:3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c r="AE673" s="8"/>
      <c r="AF673" s="8"/>
      <c r="AG673" s="8"/>
      <c r="AH673" s="8"/>
      <c r="AI673" s="8"/>
      <c r="AJ673" s="8"/>
    </row>
    <row r="674" spans="1:3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c r="AE674" s="8"/>
      <c r="AF674" s="8"/>
      <c r="AG674" s="8"/>
      <c r="AH674" s="8"/>
      <c r="AI674" s="8"/>
      <c r="AJ674" s="8"/>
    </row>
    <row r="675" spans="1:3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c r="AE675" s="8"/>
      <c r="AF675" s="8"/>
      <c r="AG675" s="8"/>
      <c r="AH675" s="8"/>
      <c r="AI675" s="8"/>
      <c r="AJ675" s="8"/>
    </row>
    <row r="676" spans="1:3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c r="AE676" s="8"/>
      <c r="AF676" s="8"/>
      <c r="AG676" s="8"/>
      <c r="AH676" s="8"/>
      <c r="AI676" s="8"/>
      <c r="AJ676" s="8"/>
    </row>
    <row r="677" spans="1:3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c r="AE677" s="8"/>
      <c r="AF677" s="8"/>
      <c r="AG677" s="8"/>
      <c r="AH677" s="8"/>
      <c r="AI677" s="8"/>
      <c r="AJ677" s="8"/>
    </row>
    <row r="678" spans="1:3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c r="AE678" s="8"/>
      <c r="AF678" s="8"/>
      <c r="AG678" s="8"/>
      <c r="AH678" s="8"/>
      <c r="AI678" s="8"/>
      <c r="AJ678" s="8"/>
    </row>
    <row r="679" spans="1:3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c r="AE679" s="8"/>
      <c r="AF679" s="8"/>
      <c r="AG679" s="8"/>
      <c r="AH679" s="8"/>
      <c r="AI679" s="8"/>
      <c r="AJ679" s="8"/>
    </row>
    <row r="680" spans="1:3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c r="AE680" s="8"/>
      <c r="AF680" s="8"/>
      <c r="AG680" s="8"/>
      <c r="AH680" s="8"/>
      <c r="AI680" s="8"/>
      <c r="AJ680" s="8"/>
    </row>
    <row r="681" spans="1:3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c r="AE681" s="8"/>
      <c r="AF681" s="8"/>
      <c r="AG681" s="8"/>
      <c r="AH681" s="8"/>
      <c r="AI681" s="8"/>
      <c r="AJ681" s="8"/>
    </row>
    <row r="682" spans="1:3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c r="AE682" s="8"/>
      <c r="AF682" s="8"/>
      <c r="AG682" s="8"/>
      <c r="AH682" s="8"/>
      <c r="AI682" s="8"/>
      <c r="AJ682" s="8"/>
    </row>
    <row r="683" spans="1:3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row>
    <row r="684" spans="1:3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c r="AE684" s="8"/>
      <c r="AF684" s="8"/>
      <c r="AG684" s="8"/>
      <c r="AH684" s="8"/>
      <c r="AI684" s="8"/>
      <c r="AJ684" s="8"/>
    </row>
    <row r="685" spans="1:3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c r="AE685" s="8"/>
      <c r="AF685" s="8"/>
      <c r="AG685" s="8"/>
      <c r="AH685" s="8"/>
      <c r="AI685" s="8"/>
      <c r="AJ685" s="8"/>
    </row>
    <row r="686" spans="1:3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c r="AE686" s="8"/>
      <c r="AF686" s="8"/>
      <c r="AG686" s="8"/>
      <c r="AH686" s="8"/>
      <c r="AI686" s="8"/>
      <c r="AJ686" s="8"/>
    </row>
    <row r="687" spans="1:3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c r="AE687" s="8"/>
      <c r="AF687" s="8"/>
      <c r="AG687" s="8"/>
      <c r="AH687" s="8"/>
      <c r="AI687" s="8"/>
      <c r="AJ687" s="8"/>
    </row>
    <row r="688" spans="1:3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c r="AE688" s="8"/>
      <c r="AF688" s="8"/>
      <c r="AG688" s="8"/>
      <c r="AH688" s="8"/>
      <c r="AI688" s="8"/>
      <c r="AJ688" s="8"/>
    </row>
    <row r="689" spans="1:3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c r="AE689" s="8"/>
      <c r="AF689" s="8"/>
      <c r="AG689" s="8"/>
      <c r="AH689" s="8"/>
      <c r="AI689" s="8"/>
      <c r="AJ689" s="8"/>
    </row>
    <row r="690" spans="1:3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c r="AE690" s="8"/>
      <c r="AF690" s="8"/>
      <c r="AG690" s="8"/>
      <c r="AH690" s="8"/>
      <c r="AI690" s="8"/>
      <c r="AJ690" s="8"/>
    </row>
    <row r="691" spans="1:3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c r="AE691" s="8"/>
      <c r="AF691" s="8"/>
      <c r="AG691" s="8"/>
      <c r="AH691" s="8"/>
      <c r="AI691" s="8"/>
      <c r="AJ691" s="8"/>
    </row>
    <row r="692" spans="1:3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c r="AE692" s="8"/>
      <c r="AF692" s="8"/>
      <c r="AG692" s="8"/>
      <c r="AH692" s="8"/>
      <c r="AI692" s="8"/>
      <c r="AJ692" s="8"/>
    </row>
    <row r="693" spans="1:3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c r="AE693" s="8"/>
      <c r="AF693" s="8"/>
      <c r="AG693" s="8"/>
      <c r="AH693" s="8"/>
      <c r="AI693" s="8"/>
      <c r="AJ693" s="8"/>
    </row>
    <row r="694" spans="1:3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c r="AE694" s="8"/>
      <c r="AF694" s="8"/>
      <c r="AG694" s="8"/>
      <c r="AH694" s="8"/>
      <c r="AI694" s="8"/>
      <c r="AJ694" s="8"/>
    </row>
    <row r="695" spans="1:3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c r="AE695" s="8"/>
      <c r="AF695" s="8"/>
      <c r="AG695" s="8"/>
      <c r="AH695" s="8"/>
      <c r="AI695" s="8"/>
      <c r="AJ695" s="8"/>
    </row>
    <row r="696" spans="1:3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c r="AE696" s="8"/>
      <c r="AF696" s="8"/>
      <c r="AG696" s="8"/>
      <c r="AH696" s="8"/>
      <c r="AI696" s="8"/>
      <c r="AJ696" s="8"/>
    </row>
    <row r="697" spans="1:3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c r="AE697" s="8"/>
      <c r="AF697" s="8"/>
      <c r="AG697" s="8"/>
      <c r="AH697" s="8"/>
      <c r="AI697" s="8"/>
      <c r="AJ697" s="8"/>
    </row>
    <row r="698" spans="1:3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c r="AE698" s="8"/>
      <c r="AF698" s="8"/>
      <c r="AG698" s="8"/>
      <c r="AH698" s="8"/>
      <c r="AI698" s="8"/>
      <c r="AJ698" s="8"/>
    </row>
    <row r="699" spans="1:3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c r="AE699" s="8"/>
      <c r="AF699" s="8"/>
      <c r="AG699" s="8"/>
      <c r="AH699" s="8"/>
      <c r="AI699" s="8"/>
      <c r="AJ699" s="8"/>
    </row>
    <row r="700" spans="1:3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c r="AE700" s="8"/>
      <c r="AF700" s="8"/>
      <c r="AG700" s="8"/>
      <c r="AH700" s="8"/>
      <c r="AI700" s="8"/>
      <c r="AJ700" s="8"/>
    </row>
    <row r="701" spans="1:3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c r="AE701" s="8"/>
      <c r="AF701" s="8"/>
      <c r="AG701" s="8"/>
      <c r="AH701" s="8"/>
      <c r="AI701" s="8"/>
      <c r="AJ701" s="8"/>
    </row>
    <row r="702" spans="1:3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row>
    <row r="703" spans="1:3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c r="AE703" s="8"/>
      <c r="AF703" s="8"/>
      <c r="AG703" s="8"/>
      <c r="AH703" s="8"/>
      <c r="AI703" s="8"/>
      <c r="AJ703" s="8"/>
    </row>
    <row r="704" spans="1:3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c r="AE704" s="8"/>
      <c r="AF704" s="8"/>
      <c r="AG704" s="8"/>
      <c r="AH704" s="8"/>
      <c r="AI704" s="8"/>
      <c r="AJ704" s="8"/>
    </row>
    <row r="705" spans="1:3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c r="AE705" s="8"/>
      <c r="AF705" s="8"/>
      <c r="AG705" s="8"/>
      <c r="AH705" s="8"/>
      <c r="AI705" s="8"/>
      <c r="AJ705" s="8"/>
    </row>
    <row r="706" spans="1:3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c r="AE706" s="8"/>
      <c r="AF706" s="8"/>
      <c r="AG706" s="8"/>
      <c r="AH706" s="8"/>
      <c r="AI706" s="8"/>
      <c r="AJ706" s="8"/>
    </row>
    <row r="707" spans="1:3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c r="AE707" s="8"/>
      <c r="AF707" s="8"/>
      <c r="AG707" s="8"/>
      <c r="AH707" s="8"/>
      <c r="AI707" s="8"/>
      <c r="AJ707" s="8"/>
    </row>
    <row r="708" spans="1:3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c r="AE708" s="8"/>
      <c r="AF708" s="8"/>
      <c r="AG708" s="8"/>
      <c r="AH708" s="8"/>
      <c r="AI708" s="8"/>
      <c r="AJ708" s="8"/>
    </row>
    <row r="709" spans="1:3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c r="AE709" s="8"/>
      <c r="AF709" s="8"/>
      <c r="AG709" s="8"/>
      <c r="AH709" s="8"/>
      <c r="AI709" s="8"/>
      <c r="AJ709" s="8"/>
    </row>
    <row r="710" spans="1:3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c r="AE710" s="8"/>
      <c r="AF710" s="8"/>
      <c r="AG710" s="8"/>
      <c r="AH710" s="8"/>
      <c r="AI710" s="8"/>
      <c r="AJ710" s="8"/>
    </row>
    <row r="711" spans="1:3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c r="AE711" s="8"/>
      <c r="AF711" s="8"/>
      <c r="AG711" s="8"/>
      <c r="AH711" s="8"/>
      <c r="AI711" s="8"/>
      <c r="AJ711" s="8"/>
    </row>
    <row r="712" spans="1:3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c r="AE712" s="8"/>
      <c r="AF712" s="8"/>
      <c r="AG712" s="8"/>
      <c r="AH712" s="8"/>
      <c r="AI712" s="8"/>
      <c r="AJ712" s="8"/>
    </row>
    <row r="713" spans="1:3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c r="AE713" s="8"/>
      <c r="AF713" s="8"/>
      <c r="AG713" s="8"/>
      <c r="AH713" s="8"/>
      <c r="AI713" s="8"/>
      <c r="AJ713" s="8"/>
    </row>
    <row r="714" spans="1:3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c r="AE714" s="8"/>
      <c r="AF714" s="8"/>
      <c r="AG714" s="8"/>
      <c r="AH714" s="8"/>
      <c r="AI714" s="8"/>
      <c r="AJ714" s="8"/>
    </row>
    <row r="715" spans="1:3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c r="AE715" s="8"/>
      <c r="AF715" s="8"/>
      <c r="AG715" s="8"/>
      <c r="AH715" s="8"/>
      <c r="AI715" s="8"/>
      <c r="AJ715" s="8"/>
    </row>
    <row r="716" spans="1:3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c r="AE716" s="8"/>
      <c r="AF716" s="8"/>
      <c r="AG716" s="8"/>
      <c r="AH716" s="8"/>
      <c r="AI716" s="8"/>
      <c r="AJ716" s="8"/>
    </row>
    <row r="717" spans="1:3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c r="AE717" s="8"/>
      <c r="AF717" s="8"/>
      <c r="AG717" s="8"/>
      <c r="AH717" s="8"/>
      <c r="AI717" s="8"/>
      <c r="AJ717" s="8"/>
    </row>
    <row r="718" spans="1:3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c r="AE718" s="8"/>
      <c r="AF718" s="8"/>
      <c r="AG718" s="8"/>
      <c r="AH718" s="8"/>
      <c r="AI718" s="8"/>
      <c r="AJ718" s="8"/>
    </row>
    <row r="719" spans="1:3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c r="AE719" s="8"/>
      <c r="AF719" s="8"/>
      <c r="AG719" s="8"/>
      <c r="AH719" s="8"/>
      <c r="AI719" s="8"/>
      <c r="AJ719" s="8"/>
    </row>
    <row r="720" spans="1:3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c r="AE720" s="8"/>
      <c r="AF720" s="8"/>
      <c r="AG720" s="8"/>
      <c r="AH720" s="8"/>
      <c r="AI720" s="8"/>
      <c r="AJ720" s="8"/>
    </row>
    <row r="721" spans="1:3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c r="AE721" s="8"/>
      <c r="AF721" s="8"/>
      <c r="AG721" s="8"/>
      <c r="AH721" s="8"/>
      <c r="AI721" s="8"/>
      <c r="AJ721" s="8"/>
    </row>
    <row r="722" spans="1:3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c r="AE722" s="8"/>
      <c r="AF722" s="8"/>
      <c r="AG722" s="8"/>
      <c r="AH722" s="8"/>
      <c r="AI722" s="8"/>
      <c r="AJ722" s="8"/>
    </row>
    <row r="723" spans="1:3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c r="AE723" s="8"/>
      <c r="AF723" s="8"/>
      <c r="AG723" s="8"/>
      <c r="AH723" s="8"/>
      <c r="AI723" s="8"/>
      <c r="AJ723" s="8"/>
    </row>
    <row r="724" spans="1:3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c r="AE724" s="8"/>
      <c r="AF724" s="8"/>
      <c r="AG724" s="8"/>
      <c r="AH724" s="8"/>
      <c r="AI724" s="8"/>
      <c r="AJ724" s="8"/>
    </row>
    <row r="725" spans="1:3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c r="AE725" s="8"/>
      <c r="AF725" s="8"/>
      <c r="AG725" s="8"/>
      <c r="AH725" s="8"/>
      <c r="AI725" s="8"/>
      <c r="AJ725" s="8"/>
    </row>
    <row r="726" spans="1:3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c r="AE726" s="8"/>
      <c r="AF726" s="8"/>
      <c r="AG726" s="8"/>
      <c r="AH726" s="8"/>
      <c r="AI726" s="8"/>
      <c r="AJ726" s="8"/>
    </row>
    <row r="727" spans="1:3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c r="AE727" s="8"/>
      <c r="AF727" s="8"/>
      <c r="AG727" s="8"/>
      <c r="AH727" s="8"/>
      <c r="AI727" s="8"/>
      <c r="AJ727" s="8"/>
    </row>
    <row r="728" spans="1:3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c r="AE728" s="8"/>
      <c r="AF728" s="8"/>
      <c r="AG728" s="8"/>
      <c r="AH728" s="8"/>
      <c r="AI728" s="8"/>
      <c r="AJ728" s="8"/>
    </row>
    <row r="729" spans="1:3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c r="AE729" s="8"/>
      <c r="AF729" s="8"/>
      <c r="AG729" s="8"/>
      <c r="AH729" s="8"/>
      <c r="AI729" s="8"/>
      <c r="AJ729" s="8"/>
    </row>
    <row r="730" spans="1:3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c r="AE730" s="8"/>
      <c r="AF730" s="8"/>
      <c r="AG730" s="8"/>
      <c r="AH730" s="8"/>
      <c r="AI730" s="8"/>
      <c r="AJ730" s="8"/>
    </row>
    <row r="731" spans="1:3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c r="AE731" s="8"/>
      <c r="AF731" s="8"/>
      <c r="AG731" s="8"/>
      <c r="AH731" s="8"/>
      <c r="AI731" s="8"/>
      <c r="AJ731" s="8"/>
    </row>
    <row r="732" spans="1:3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c r="AE732" s="8"/>
      <c r="AF732" s="8"/>
      <c r="AG732" s="8"/>
      <c r="AH732" s="8"/>
      <c r="AI732" s="8"/>
      <c r="AJ732" s="8"/>
    </row>
    <row r="733" spans="1:3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c r="AE733" s="8"/>
      <c r="AF733" s="8"/>
      <c r="AG733" s="8"/>
      <c r="AH733" s="8"/>
      <c r="AI733" s="8"/>
      <c r="AJ733" s="8"/>
    </row>
    <row r="734" spans="1:3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c r="AE734" s="8"/>
      <c r="AF734" s="8"/>
      <c r="AG734" s="8"/>
      <c r="AH734" s="8"/>
      <c r="AI734" s="8"/>
      <c r="AJ734" s="8"/>
    </row>
    <row r="735" spans="1:3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c r="AE735" s="8"/>
      <c r="AF735" s="8"/>
      <c r="AG735" s="8"/>
      <c r="AH735" s="8"/>
      <c r="AI735" s="8"/>
      <c r="AJ735" s="8"/>
    </row>
    <row r="736" spans="1:3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c r="AE736" s="8"/>
      <c r="AF736" s="8"/>
      <c r="AG736" s="8"/>
      <c r="AH736" s="8"/>
      <c r="AI736" s="8"/>
      <c r="AJ736" s="8"/>
    </row>
    <row r="737" spans="1:3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c r="AE737" s="8"/>
      <c r="AF737" s="8"/>
      <c r="AG737" s="8"/>
      <c r="AH737" s="8"/>
      <c r="AI737" s="8"/>
      <c r="AJ737" s="8"/>
    </row>
    <row r="738" spans="1:3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c r="AE738" s="8"/>
      <c r="AF738" s="8"/>
      <c r="AG738" s="8"/>
      <c r="AH738" s="8"/>
      <c r="AI738" s="8"/>
      <c r="AJ738" s="8"/>
    </row>
    <row r="739" spans="1:3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c r="AE739" s="8"/>
      <c r="AF739" s="8"/>
      <c r="AG739" s="8"/>
      <c r="AH739" s="8"/>
      <c r="AI739" s="8"/>
      <c r="AJ739" s="8"/>
    </row>
    <row r="740" spans="1:3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c r="AE740" s="8"/>
      <c r="AF740" s="8"/>
      <c r="AG740" s="8"/>
      <c r="AH740" s="8"/>
      <c r="AI740" s="8"/>
      <c r="AJ740" s="8"/>
    </row>
    <row r="741" spans="1:3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c r="AE741" s="8"/>
      <c r="AF741" s="8"/>
      <c r="AG741" s="8"/>
      <c r="AH741" s="8"/>
      <c r="AI741" s="8"/>
      <c r="AJ741" s="8"/>
    </row>
    <row r="742" spans="1:3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c r="AE742" s="8"/>
      <c r="AF742" s="8"/>
      <c r="AG742" s="8"/>
      <c r="AH742" s="8"/>
      <c r="AI742" s="8"/>
      <c r="AJ742" s="8"/>
    </row>
    <row r="743" spans="1:3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c r="AE743" s="8"/>
      <c r="AF743" s="8"/>
      <c r="AG743" s="8"/>
      <c r="AH743" s="8"/>
      <c r="AI743" s="8"/>
      <c r="AJ743" s="8"/>
    </row>
    <row r="744" spans="1:3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c r="AE744" s="8"/>
      <c r="AF744" s="8"/>
      <c r="AG744" s="8"/>
      <c r="AH744" s="8"/>
      <c r="AI744" s="8"/>
      <c r="AJ744" s="8"/>
    </row>
    <row r="745" spans="1:3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G745" s="8"/>
      <c r="AH745" s="8"/>
      <c r="AI745" s="8"/>
      <c r="AJ745" s="8"/>
    </row>
    <row r="746" spans="1:3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c r="AE746" s="8"/>
      <c r="AF746" s="8"/>
      <c r="AG746" s="8"/>
      <c r="AH746" s="8"/>
      <c r="AI746" s="8"/>
      <c r="AJ746" s="8"/>
    </row>
    <row r="747" spans="1:3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c r="AE747" s="8"/>
      <c r="AF747" s="8"/>
      <c r="AG747" s="8"/>
      <c r="AH747" s="8"/>
      <c r="AI747" s="8"/>
      <c r="AJ747" s="8"/>
    </row>
    <row r="748" spans="1:3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c r="AE748" s="8"/>
      <c r="AF748" s="8"/>
      <c r="AG748" s="8"/>
      <c r="AH748" s="8"/>
      <c r="AI748" s="8"/>
      <c r="AJ748" s="8"/>
    </row>
    <row r="749" spans="1:3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row>
    <row r="750" spans="1:3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c r="AE750" s="8"/>
      <c r="AF750" s="8"/>
      <c r="AG750" s="8"/>
      <c r="AH750" s="8"/>
      <c r="AI750" s="8"/>
      <c r="AJ750" s="8"/>
    </row>
    <row r="751" spans="1:3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c r="AE751" s="8"/>
      <c r="AF751" s="8"/>
      <c r="AG751" s="8"/>
      <c r="AH751" s="8"/>
      <c r="AI751" s="8"/>
      <c r="AJ751" s="8"/>
    </row>
    <row r="752" spans="1:3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c r="AE752" s="8"/>
      <c r="AF752" s="8"/>
      <c r="AG752" s="8"/>
      <c r="AH752" s="8"/>
      <c r="AI752" s="8"/>
      <c r="AJ752" s="8"/>
    </row>
    <row r="753" spans="1:3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c r="AE753" s="8"/>
      <c r="AF753" s="8"/>
      <c r="AG753" s="8"/>
      <c r="AH753" s="8"/>
      <c r="AI753" s="8"/>
      <c r="AJ753" s="8"/>
    </row>
    <row r="754" spans="1:3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c r="AE754" s="8"/>
      <c r="AF754" s="8"/>
      <c r="AG754" s="8"/>
      <c r="AH754" s="8"/>
      <c r="AI754" s="8"/>
      <c r="AJ754" s="8"/>
    </row>
    <row r="755" spans="1:3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c r="AE755" s="8"/>
      <c r="AF755" s="8"/>
      <c r="AG755" s="8"/>
      <c r="AH755" s="8"/>
      <c r="AI755" s="8"/>
      <c r="AJ755" s="8"/>
    </row>
    <row r="756" spans="1:3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c r="AE756" s="8"/>
      <c r="AF756" s="8"/>
      <c r="AG756" s="8"/>
      <c r="AH756" s="8"/>
      <c r="AI756" s="8"/>
      <c r="AJ756" s="8"/>
    </row>
    <row r="757" spans="1:3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c r="AE757" s="8"/>
      <c r="AF757" s="8"/>
      <c r="AG757" s="8"/>
      <c r="AH757" s="8"/>
      <c r="AI757" s="8"/>
      <c r="AJ757" s="8"/>
    </row>
    <row r="758" spans="1:3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c r="AE758" s="8"/>
      <c r="AF758" s="8"/>
      <c r="AG758" s="8"/>
      <c r="AH758" s="8"/>
      <c r="AI758" s="8"/>
      <c r="AJ758" s="8"/>
    </row>
    <row r="759" spans="1:3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c r="AE759" s="8"/>
      <c r="AF759" s="8"/>
      <c r="AG759" s="8"/>
      <c r="AH759" s="8"/>
      <c r="AI759" s="8"/>
      <c r="AJ759" s="8"/>
    </row>
    <row r="760" spans="1:3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G760" s="8"/>
      <c r="AH760" s="8"/>
      <c r="AI760" s="8"/>
      <c r="AJ760" s="8"/>
    </row>
    <row r="761" spans="1:3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c r="AE761" s="8"/>
      <c r="AF761" s="8"/>
      <c r="AG761" s="8"/>
      <c r="AH761" s="8"/>
      <c r="AI761" s="8"/>
      <c r="AJ761" s="8"/>
    </row>
    <row r="762" spans="1:3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c r="AE762" s="8"/>
      <c r="AF762" s="8"/>
      <c r="AG762" s="8"/>
      <c r="AH762" s="8"/>
      <c r="AI762" s="8"/>
      <c r="AJ762" s="8"/>
    </row>
    <row r="763" spans="1:3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c r="AE763" s="8"/>
      <c r="AF763" s="8"/>
      <c r="AG763" s="8"/>
      <c r="AH763" s="8"/>
      <c r="AI763" s="8"/>
      <c r="AJ763" s="8"/>
    </row>
    <row r="764" spans="1:3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c r="AE764" s="8"/>
      <c r="AF764" s="8"/>
      <c r="AG764" s="8"/>
      <c r="AH764" s="8"/>
      <c r="AI764" s="8"/>
      <c r="AJ764" s="8"/>
    </row>
    <row r="765" spans="1:3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c r="AE765" s="8"/>
      <c r="AF765" s="8"/>
      <c r="AG765" s="8"/>
      <c r="AH765" s="8"/>
      <c r="AI765" s="8"/>
      <c r="AJ765" s="8"/>
    </row>
    <row r="766" spans="1:3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c r="AE766" s="8"/>
      <c r="AF766" s="8"/>
      <c r="AG766" s="8"/>
      <c r="AH766" s="8"/>
      <c r="AI766" s="8"/>
      <c r="AJ766" s="8"/>
    </row>
    <row r="767" spans="1:3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c r="AE767" s="8"/>
      <c r="AF767" s="8"/>
      <c r="AG767" s="8"/>
      <c r="AH767" s="8"/>
      <c r="AI767" s="8"/>
      <c r="AJ767" s="8"/>
    </row>
    <row r="768" spans="1:3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c r="AE768" s="8"/>
      <c r="AF768" s="8"/>
      <c r="AG768" s="8"/>
      <c r="AH768" s="8"/>
      <c r="AI768" s="8"/>
      <c r="AJ768" s="8"/>
    </row>
    <row r="769" spans="1:3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c r="AE769" s="8"/>
      <c r="AF769" s="8"/>
      <c r="AG769" s="8"/>
      <c r="AH769" s="8"/>
      <c r="AI769" s="8"/>
      <c r="AJ769" s="8"/>
    </row>
    <row r="770" spans="1:3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c r="AE770" s="8"/>
      <c r="AF770" s="8"/>
      <c r="AG770" s="8"/>
      <c r="AH770" s="8"/>
      <c r="AI770" s="8"/>
      <c r="AJ770" s="8"/>
    </row>
    <row r="771" spans="1:3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c r="AE771" s="8"/>
      <c r="AF771" s="8"/>
      <c r="AG771" s="8"/>
      <c r="AH771" s="8"/>
      <c r="AI771" s="8"/>
      <c r="AJ771" s="8"/>
    </row>
    <row r="772" spans="1:3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c r="AE772" s="8"/>
      <c r="AF772" s="8"/>
      <c r="AG772" s="8"/>
      <c r="AH772" s="8"/>
      <c r="AI772" s="8"/>
      <c r="AJ772" s="8"/>
    </row>
    <row r="773" spans="1:3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c r="AE773" s="8"/>
      <c r="AF773" s="8"/>
      <c r="AG773" s="8"/>
      <c r="AH773" s="8"/>
      <c r="AI773" s="8"/>
      <c r="AJ773" s="8"/>
    </row>
    <row r="774" spans="1:3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c r="AE774" s="8"/>
      <c r="AF774" s="8"/>
      <c r="AG774" s="8"/>
      <c r="AH774" s="8"/>
      <c r="AI774" s="8"/>
      <c r="AJ774" s="8"/>
    </row>
    <row r="775" spans="1:3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c r="AE775" s="8"/>
      <c r="AF775" s="8"/>
      <c r="AG775" s="8"/>
      <c r="AH775" s="8"/>
      <c r="AI775" s="8"/>
      <c r="AJ775" s="8"/>
    </row>
    <row r="776" spans="1:3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c r="AE776" s="8"/>
      <c r="AF776" s="8"/>
      <c r="AG776" s="8"/>
      <c r="AH776" s="8"/>
      <c r="AI776" s="8"/>
      <c r="AJ776" s="8"/>
    </row>
    <row r="777" spans="1:3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c r="AE777" s="8"/>
      <c r="AF777" s="8"/>
      <c r="AG777" s="8"/>
      <c r="AH777" s="8"/>
      <c r="AI777" s="8"/>
      <c r="AJ777" s="8"/>
    </row>
    <row r="778" spans="1:3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c r="AE778" s="8"/>
      <c r="AF778" s="8"/>
      <c r="AG778" s="8"/>
      <c r="AH778" s="8"/>
      <c r="AI778" s="8"/>
      <c r="AJ778" s="8"/>
    </row>
    <row r="779" spans="1:3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c r="AE779" s="8"/>
      <c r="AF779" s="8"/>
      <c r="AG779" s="8"/>
      <c r="AH779" s="8"/>
      <c r="AI779" s="8"/>
      <c r="AJ779" s="8"/>
    </row>
    <row r="780" spans="1:3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c r="AE780" s="8"/>
      <c r="AF780" s="8"/>
      <c r="AG780" s="8"/>
      <c r="AH780" s="8"/>
      <c r="AI780" s="8"/>
      <c r="AJ780" s="8"/>
    </row>
    <row r="781" spans="1:3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c r="AE781" s="8"/>
      <c r="AF781" s="8"/>
      <c r="AG781" s="8"/>
      <c r="AH781" s="8"/>
      <c r="AI781" s="8"/>
      <c r="AJ781" s="8"/>
    </row>
    <row r="782" spans="1:3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c r="AE782" s="8"/>
      <c r="AF782" s="8"/>
      <c r="AG782" s="8"/>
      <c r="AH782" s="8"/>
      <c r="AI782" s="8"/>
      <c r="AJ782" s="8"/>
    </row>
    <row r="783" spans="1:3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c r="AE783" s="8"/>
      <c r="AF783" s="8"/>
      <c r="AG783" s="8"/>
      <c r="AH783" s="8"/>
      <c r="AI783" s="8"/>
      <c r="AJ783" s="8"/>
    </row>
    <row r="784" spans="1:3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c r="AE784" s="8"/>
      <c r="AF784" s="8"/>
      <c r="AG784" s="8"/>
      <c r="AH784" s="8"/>
      <c r="AI784" s="8"/>
      <c r="AJ784" s="8"/>
    </row>
    <row r="785" spans="1:3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c r="AE785" s="8"/>
      <c r="AF785" s="8"/>
      <c r="AG785" s="8"/>
      <c r="AH785" s="8"/>
      <c r="AI785" s="8"/>
      <c r="AJ785" s="8"/>
    </row>
    <row r="786" spans="1:3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c r="AE786" s="8"/>
      <c r="AF786" s="8"/>
      <c r="AG786" s="8"/>
      <c r="AH786" s="8"/>
      <c r="AI786" s="8"/>
      <c r="AJ786" s="8"/>
    </row>
    <row r="787" spans="1:3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c r="AE787" s="8"/>
      <c r="AF787" s="8"/>
      <c r="AG787" s="8"/>
      <c r="AH787" s="8"/>
      <c r="AI787" s="8"/>
      <c r="AJ787" s="8"/>
    </row>
    <row r="788" spans="1:3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c r="AE788" s="8"/>
      <c r="AF788" s="8"/>
      <c r="AG788" s="8"/>
      <c r="AH788" s="8"/>
      <c r="AI788" s="8"/>
      <c r="AJ788" s="8"/>
    </row>
    <row r="789" spans="1:3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c r="AE789" s="8"/>
      <c r="AF789" s="8"/>
      <c r="AG789" s="8"/>
      <c r="AH789" s="8"/>
      <c r="AI789" s="8"/>
      <c r="AJ789" s="8"/>
    </row>
    <row r="790" spans="1:3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c r="AE790" s="8"/>
      <c r="AF790" s="8"/>
      <c r="AG790" s="8"/>
      <c r="AH790" s="8"/>
      <c r="AI790" s="8"/>
      <c r="AJ790" s="8"/>
    </row>
    <row r="791" spans="1:3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c r="AE791" s="8"/>
      <c r="AF791" s="8"/>
      <c r="AG791" s="8"/>
      <c r="AH791" s="8"/>
      <c r="AI791" s="8"/>
      <c r="AJ791" s="8"/>
    </row>
    <row r="792" spans="1:3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c r="AE792" s="8"/>
      <c r="AF792" s="8"/>
      <c r="AG792" s="8"/>
      <c r="AH792" s="8"/>
      <c r="AI792" s="8"/>
      <c r="AJ792" s="8"/>
    </row>
    <row r="793" spans="1:3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c r="AE793" s="8"/>
      <c r="AF793" s="8"/>
      <c r="AG793" s="8"/>
      <c r="AH793" s="8"/>
      <c r="AI793" s="8"/>
      <c r="AJ793" s="8"/>
    </row>
    <row r="794" spans="1:3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c r="AE794" s="8"/>
      <c r="AF794" s="8"/>
      <c r="AG794" s="8"/>
      <c r="AH794" s="8"/>
      <c r="AI794" s="8"/>
      <c r="AJ794" s="8"/>
    </row>
    <row r="795" spans="1:3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c r="AE795" s="8"/>
      <c r="AF795" s="8"/>
      <c r="AG795" s="8"/>
      <c r="AH795" s="8"/>
      <c r="AI795" s="8"/>
      <c r="AJ795" s="8"/>
    </row>
    <row r="796" spans="1:3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row>
    <row r="797" spans="1:3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c r="AE797" s="8"/>
      <c r="AF797" s="8"/>
      <c r="AG797" s="8"/>
      <c r="AH797" s="8"/>
      <c r="AI797" s="8"/>
      <c r="AJ797" s="8"/>
    </row>
    <row r="798" spans="1:3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c r="AE798" s="8"/>
      <c r="AF798" s="8"/>
      <c r="AG798" s="8"/>
      <c r="AH798" s="8"/>
      <c r="AI798" s="8"/>
      <c r="AJ798" s="8"/>
    </row>
    <row r="799" spans="1:3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c r="AE799" s="8"/>
      <c r="AF799" s="8"/>
      <c r="AG799" s="8"/>
      <c r="AH799" s="8"/>
      <c r="AI799" s="8"/>
      <c r="AJ799" s="8"/>
    </row>
    <row r="800" spans="1:3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c r="AE800" s="8"/>
      <c r="AF800" s="8"/>
      <c r="AG800" s="8"/>
      <c r="AH800" s="8"/>
      <c r="AI800" s="8"/>
      <c r="AJ800" s="8"/>
    </row>
    <row r="801" spans="1:3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c r="AE801" s="8"/>
      <c r="AF801" s="8"/>
      <c r="AG801" s="8"/>
      <c r="AH801" s="8"/>
      <c r="AI801" s="8"/>
      <c r="AJ801" s="8"/>
    </row>
    <row r="802" spans="1:3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c r="AE802" s="8"/>
      <c r="AF802" s="8"/>
      <c r="AG802" s="8"/>
      <c r="AH802" s="8"/>
      <c r="AI802" s="8"/>
      <c r="AJ802" s="8"/>
    </row>
    <row r="803" spans="1:3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c r="AE803" s="8"/>
      <c r="AF803" s="8"/>
      <c r="AG803" s="8"/>
      <c r="AH803" s="8"/>
      <c r="AI803" s="8"/>
      <c r="AJ803" s="8"/>
    </row>
    <row r="804" spans="1:3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c r="AE804" s="8"/>
      <c r="AF804" s="8"/>
      <c r="AG804" s="8"/>
      <c r="AH804" s="8"/>
      <c r="AI804" s="8"/>
      <c r="AJ804" s="8"/>
    </row>
    <row r="805" spans="1:3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c r="AE805" s="8"/>
      <c r="AF805" s="8"/>
      <c r="AG805" s="8"/>
      <c r="AH805" s="8"/>
      <c r="AI805" s="8"/>
      <c r="AJ805" s="8"/>
    </row>
    <row r="806" spans="1:3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c r="AE806" s="8"/>
      <c r="AF806" s="8"/>
      <c r="AG806" s="8"/>
      <c r="AH806" s="8"/>
      <c r="AI806" s="8"/>
      <c r="AJ806" s="8"/>
    </row>
    <row r="807" spans="1:3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c r="AE807" s="8"/>
      <c r="AF807" s="8"/>
      <c r="AG807" s="8"/>
      <c r="AH807" s="8"/>
      <c r="AI807" s="8"/>
      <c r="AJ807" s="8"/>
    </row>
    <row r="808" spans="1:3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c r="AE808" s="8"/>
      <c r="AF808" s="8"/>
      <c r="AG808" s="8"/>
      <c r="AH808" s="8"/>
      <c r="AI808" s="8"/>
      <c r="AJ808" s="8"/>
    </row>
    <row r="809" spans="1:3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c r="AE809" s="8"/>
      <c r="AF809" s="8"/>
      <c r="AG809" s="8"/>
      <c r="AH809" s="8"/>
      <c r="AI809" s="8"/>
      <c r="AJ809" s="8"/>
    </row>
    <row r="810" spans="1:3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c r="AE810" s="8"/>
      <c r="AF810" s="8"/>
      <c r="AG810" s="8"/>
      <c r="AH810" s="8"/>
      <c r="AI810" s="8"/>
      <c r="AJ810" s="8"/>
    </row>
    <row r="811" spans="1:3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c r="AE811" s="8"/>
      <c r="AF811" s="8"/>
      <c r="AG811" s="8"/>
      <c r="AH811" s="8"/>
      <c r="AI811" s="8"/>
      <c r="AJ811" s="8"/>
    </row>
    <row r="812" spans="1:3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c r="AE812" s="8"/>
      <c r="AF812" s="8"/>
      <c r="AG812" s="8"/>
      <c r="AH812" s="8"/>
      <c r="AI812" s="8"/>
      <c r="AJ812" s="8"/>
    </row>
    <row r="813" spans="1:3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c r="AE813" s="8"/>
      <c r="AF813" s="8"/>
      <c r="AG813" s="8"/>
      <c r="AH813" s="8"/>
      <c r="AI813" s="8"/>
      <c r="AJ813" s="8"/>
    </row>
    <row r="814" spans="1:3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c r="AE814" s="8"/>
      <c r="AF814" s="8"/>
      <c r="AG814" s="8"/>
      <c r="AH814" s="8"/>
      <c r="AI814" s="8"/>
      <c r="AJ814" s="8"/>
    </row>
    <row r="815" spans="1:3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c r="AE815" s="8"/>
      <c r="AF815" s="8"/>
      <c r="AG815" s="8"/>
      <c r="AH815" s="8"/>
      <c r="AI815" s="8"/>
      <c r="AJ815" s="8"/>
    </row>
    <row r="816" spans="1:3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c r="AE816" s="8"/>
      <c r="AF816" s="8"/>
      <c r="AG816" s="8"/>
      <c r="AH816" s="8"/>
      <c r="AI816" s="8"/>
      <c r="AJ816" s="8"/>
    </row>
    <row r="817" spans="1:3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c r="AE817" s="8"/>
      <c r="AF817" s="8"/>
      <c r="AG817" s="8"/>
      <c r="AH817" s="8"/>
      <c r="AI817" s="8"/>
      <c r="AJ817" s="8"/>
    </row>
    <row r="818" spans="1:3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c r="AE818" s="8"/>
      <c r="AF818" s="8"/>
      <c r="AG818" s="8"/>
      <c r="AH818" s="8"/>
      <c r="AI818" s="8"/>
      <c r="AJ818" s="8"/>
    </row>
    <row r="819" spans="1:3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c r="AE819" s="8"/>
      <c r="AF819" s="8"/>
      <c r="AG819" s="8"/>
      <c r="AH819" s="8"/>
      <c r="AI819" s="8"/>
      <c r="AJ819" s="8"/>
    </row>
    <row r="820" spans="1:3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c r="AE820" s="8"/>
      <c r="AF820" s="8"/>
      <c r="AG820" s="8"/>
      <c r="AH820" s="8"/>
      <c r="AI820" s="8"/>
      <c r="AJ820" s="8"/>
    </row>
    <row r="821" spans="1:3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c r="AE821" s="8"/>
      <c r="AF821" s="8"/>
      <c r="AG821" s="8"/>
      <c r="AH821" s="8"/>
      <c r="AI821" s="8"/>
      <c r="AJ821" s="8"/>
    </row>
    <row r="822" spans="1:3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c r="AE822" s="8"/>
      <c r="AF822" s="8"/>
      <c r="AG822" s="8"/>
      <c r="AH822" s="8"/>
      <c r="AI822" s="8"/>
      <c r="AJ822" s="8"/>
    </row>
    <row r="823" spans="1:3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row>
    <row r="824" spans="1:3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c r="AE824" s="8"/>
      <c r="AF824" s="8"/>
      <c r="AG824" s="8"/>
      <c r="AH824" s="8"/>
      <c r="AI824" s="8"/>
      <c r="AJ824" s="8"/>
    </row>
    <row r="825" spans="1:3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c r="AE825" s="8"/>
      <c r="AF825" s="8"/>
      <c r="AG825" s="8"/>
      <c r="AH825" s="8"/>
      <c r="AI825" s="8"/>
      <c r="AJ825" s="8"/>
    </row>
    <row r="826" spans="1:3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c r="AE826" s="8"/>
      <c r="AF826" s="8"/>
      <c r="AG826" s="8"/>
      <c r="AH826" s="8"/>
      <c r="AI826" s="8"/>
      <c r="AJ826" s="8"/>
    </row>
    <row r="827" spans="1:3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c r="AE827" s="8"/>
      <c r="AF827" s="8"/>
      <c r="AG827" s="8"/>
      <c r="AH827" s="8"/>
      <c r="AI827" s="8"/>
      <c r="AJ827" s="8"/>
    </row>
    <row r="828" spans="1:3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c r="AE828" s="8"/>
      <c r="AF828" s="8"/>
      <c r="AG828" s="8"/>
      <c r="AH828" s="8"/>
      <c r="AI828" s="8"/>
      <c r="AJ828" s="8"/>
    </row>
    <row r="829" spans="1:3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c r="AE829" s="8"/>
      <c r="AF829" s="8"/>
      <c r="AG829" s="8"/>
      <c r="AH829" s="8"/>
      <c r="AI829" s="8"/>
      <c r="AJ829" s="8"/>
    </row>
    <row r="830" spans="1:3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c r="AE830" s="8"/>
      <c r="AF830" s="8"/>
      <c r="AG830" s="8"/>
      <c r="AH830" s="8"/>
      <c r="AI830" s="8"/>
      <c r="AJ830" s="8"/>
    </row>
    <row r="831" spans="1:3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c r="AE831" s="8"/>
      <c r="AF831" s="8"/>
      <c r="AG831" s="8"/>
      <c r="AH831" s="8"/>
      <c r="AI831" s="8"/>
      <c r="AJ831" s="8"/>
    </row>
    <row r="832" spans="1:3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c r="AE832" s="8"/>
      <c r="AF832" s="8"/>
      <c r="AG832" s="8"/>
      <c r="AH832" s="8"/>
      <c r="AI832" s="8"/>
      <c r="AJ832" s="8"/>
    </row>
    <row r="833" spans="1:3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c r="AE833" s="8"/>
      <c r="AF833" s="8"/>
      <c r="AG833" s="8"/>
      <c r="AH833" s="8"/>
      <c r="AI833" s="8"/>
      <c r="AJ833" s="8"/>
    </row>
    <row r="834" spans="1:3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c r="AE834" s="8"/>
      <c r="AF834" s="8"/>
      <c r="AG834" s="8"/>
      <c r="AH834" s="8"/>
      <c r="AI834" s="8"/>
      <c r="AJ834" s="8"/>
    </row>
    <row r="835" spans="1:3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c r="AE835" s="8"/>
      <c r="AF835" s="8"/>
      <c r="AG835" s="8"/>
      <c r="AH835" s="8"/>
      <c r="AI835" s="8"/>
      <c r="AJ835" s="8"/>
    </row>
    <row r="836" spans="1:3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c r="AE836" s="8"/>
      <c r="AF836" s="8"/>
      <c r="AG836" s="8"/>
      <c r="AH836" s="8"/>
      <c r="AI836" s="8"/>
      <c r="AJ836" s="8"/>
    </row>
    <row r="837" spans="1:3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c r="AE837" s="8"/>
      <c r="AF837" s="8"/>
      <c r="AG837" s="8"/>
      <c r="AH837" s="8"/>
      <c r="AI837" s="8"/>
      <c r="AJ837" s="8"/>
    </row>
    <row r="838" spans="1:3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c r="AE838" s="8"/>
      <c r="AF838" s="8"/>
      <c r="AG838" s="8"/>
      <c r="AH838" s="8"/>
      <c r="AI838" s="8"/>
      <c r="AJ838" s="8"/>
    </row>
    <row r="839" spans="1:3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c r="AE839" s="8"/>
      <c r="AF839" s="8"/>
      <c r="AG839" s="8"/>
      <c r="AH839" s="8"/>
      <c r="AI839" s="8"/>
      <c r="AJ839" s="8"/>
    </row>
    <row r="840" spans="1:3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c r="AE840" s="8"/>
      <c r="AF840" s="8"/>
      <c r="AG840" s="8"/>
      <c r="AH840" s="8"/>
      <c r="AI840" s="8"/>
      <c r="AJ840" s="8"/>
    </row>
    <row r="841" spans="1:3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c r="AE841" s="8"/>
      <c r="AF841" s="8"/>
      <c r="AG841" s="8"/>
      <c r="AH841" s="8"/>
      <c r="AI841" s="8"/>
      <c r="AJ841" s="8"/>
    </row>
    <row r="842" spans="1:3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c r="AE842" s="8"/>
      <c r="AF842" s="8"/>
      <c r="AG842" s="8"/>
      <c r="AH842" s="8"/>
      <c r="AI842" s="8"/>
      <c r="AJ842" s="8"/>
    </row>
    <row r="843" spans="1:3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c r="AE843" s="8"/>
      <c r="AF843" s="8"/>
      <c r="AG843" s="8"/>
      <c r="AH843" s="8"/>
      <c r="AI843" s="8"/>
      <c r="AJ843" s="8"/>
    </row>
    <row r="844" spans="1:3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c r="AE844" s="8"/>
      <c r="AF844" s="8"/>
      <c r="AG844" s="8"/>
      <c r="AH844" s="8"/>
      <c r="AI844" s="8"/>
      <c r="AJ844" s="8"/>
    </row>
    <row r="845" spans="1:3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c r="AE845" s="8"/>
      <c r="AF845" s="8"/>
      <c r="AG845" s="8"/>
      <c r="AH845" s="8"/>
      <c r="AI845" s="8"/>
      <c r="AJ845" s="8"/>
    </row>
    <row r="846" spans="1:3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c r="AE846" s="8"/>
      <c r="AF846" s="8"/>
      <c r="AG846" s="8"/>
      <c r="AH846" s="8"/>
      <c r="AI846" s="8"/>
      <c r="AJ846" s="8"/>
    </row>
    <row r="847" spans="1:3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c r="AE847" s="8"/>
      <c r="AF847" s="8"/>
      <c r="AG847" s="8"/>
      <c r="AH847" s="8"/>
      <c r="AI847" s="8"/>
      <c r="AJ847" s="8"/>
    </row>
    <row r="848" spans="1:3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c r="AE848" s="8"/>
      <c r="AF848" s="8"/>
      <c r="AG848" s="8"/>
      <c r="AH848" s="8"/>
      <c r="AI848" s="8"/>
      <c r="AJ848" s="8"/>
    </row>
    <row r="849" spans="1:3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c r="AE849" s="8"/>
      <c r="AF849" s="8"/>
      <c r="AG849" s="8"/>
      <c r="AH849" s="8"/>
      <c r="AI849" s="8"/>
      <c r="AJ849" s="8"/>
    </row>
    <row r="850" spans="1:3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c r="AE850" s="8"/>
      <c r="AF850" s="8"/>
      <c r="AG850" s="8"/>
      <c r="AH850" s="8"/>
      <c r="AI850" s="8"/>
      <c r="AJ850" s="8"/>
    </row>
    <row r="851" spans="1:3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c r="AE851" s="8"/>
      <c r="AF851" s="8"/>
      <c r="AG851" s="8"/>
      <c r="AH851" s="8"/>
      <c r="AI851" s="8"/>
      <c r="AJ851" s="8"/>
    </row>
    <row r="852" spans="1:3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c r="AE852" s="8"/>
      <c r="AF852" s="8"/>
      <c r="AG852" s="8"/>
      <c r="AH852" s="8"/>
      <c r="AI852" s="8"/>
      <c r="AJ852" s="8"/>
    </row>
    <row r="853" spans="1:3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c r="AE853" s="8"/>
      <c r="AF853" s="8"/>
      <c r="AG853" s="8"/>
      <c r="AH853" s="8"/>
      <c r="AI853" s="8"/>
      <c r="AJ853" s="8"/>
    </row>
    <row r="854" spans="1:3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c r="AE854" s="8"/>
      <c r="AF854" s="8"/>
      <c r="AG854" s="8"/>
      <c r="AH854" s="8"/>
      <c r="AI854" s="8"/>
      <c r="AJ854" s="8"/>
    </row>
    <row r="855" spans="1:3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c r="AE855" s="8"/>
      <c r="AF855" s="8"/>
      <c r="AG855" s="8"/>
      <c r="AH855" s="8"/>
      <c r="AI855" s="8"/>
      <c r="AJ855" s="8"/>
    </row>
    <row r="856" spans="1:3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c r="AE856" s="8"/>
      <c r="AF856" s="8"/>
      <c r="AG856" s="8"/>
      <c r="AH856" s="8"/>
      <c r="AI856" s="8"/>
      <c r="AJ856" s="8"/>
    </row>
    <row r="857" spans="1:3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c r="AE857" s="8"/>
      <c r="AF857" s="8"/>
      <c r="AG857" s="8"/>
      <c r="AH857" s="8"/>
      <c r="AI857" s="8"/>
      <c r="AJ857" s="8"/>
    </row>
    <row r="858" spans="1:3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c r="AE858" s="8"/>
      <c r="AF858" s="8"/>
      <c r="AG858" s="8"/>
      <c r="AH858" s="8"/>
      <c r="AI858" s="8"/>
      <c r="AJ858" s="8"/>
    </row>
    <row r="859" spans="1:3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c r="AE859" s="8"/>
      <c r="AF859" s="8"/>
      <c r="AG859" s="8"/>
      <c r="AH859" s="8"/>
      <c r="AI859" s="8"/>
      <c r="AJ859" s="8"/>
    </row>
    <row r="860" spans="1:3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c r="AE860" s="8"/>
      <c r="AF860" s="8"/>
      <c r="AG860" s="8"/>
      <c r="AH860" s="8"/>
      <c r="AI860" s="8"/>
      <c r="AJ860" s="8"/>
    </row>
    <row r="861" spans="1:3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c r="AE861" s="8"/>
      <c r="AF861" s="8"/>
      <c r="AG861" s="8"/>
      <c r="AH861" s="8"/>
      <c r="AI861" s="8"/>
      <c r="AJ861" s="8"/>
    </row>
    <row r="862" spans="1:3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c r="AE862" s="8"/>
      <c r="AF862" s="8"/>
      <c r="AG862" s="8"/>
      <c r="AH862" s="8"/>
      <c r="AI862" s="8"/>
      <c r="AJ862" s="8"/>
    </row>
    <row r="863" spans="1:3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c r="AE863" s="8"/>
      <c r="AF863" s="8"/>
      <c r="AG863" s="8"/>
      <c r="AH863" s="8"/>
      <c r="AI863" s="8"/>
      <c r="AJ863" s="8"/>
    </row>
    <row r="864" spans="1:3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c r="AE864" s="8"/>
      <c r="AF864" s="8"/>
      <c r="AG864" s="8"/>
      <c r="AH864" s="8"/>
      <c r="AI864" s="8"/>
      <c r="AJ864" s="8"/>
    </row>
    <row r="865" spans="1:3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c r="AG865" s="8"/>
      <c r="AH865" s="8"/>
      <c r="AI865" s="8"/>
      <c r="AJ865" s="8"/>
    </row>
    <row r="866" spans="1:3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c r="AE866" s="8"/>
      <c r="AF866" s="8"/>
      <c r="AG866" s="8"/>
      <c r="AH866" s="8"/>
      <c r="AI866" s="8"/>
      <c r="AJ866" s="8"/>
    </row>
    <row r="867" spans="1:3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c r="AE867" s="8"/>
      <c r="AF867" s="8"/>
      <c r="AG867" s="8"/>
      <c r="AH867" s="8"/>
      <c r="AI867" s="8"/>
      <c r="AJ867" s="8"/>
    </row>
    <row r="868" spans="1:3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c r="AE868" s="8"/>
      <c r="AF868" s="8"/>
      <c r="AG868" s="8"/>
      <c r="AH868" s="8"/>
      <c r="AI868" s="8"/>
      <c r="AJ868" s="8"/>
    </row>
    <row r="869" spans="1:3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c r="AE869" s="8"/>
      <c r="AF869" s="8"/>
      <c r="AG869" s="8"/>
      <c r="AH869" s="8"/>
      <c r="AI869" s="8"/>
      <c r="AJ869" s="8"/>
    </row>
    <row r="870" spans="1:3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c r="AE870" s="8"/>
      <c r="AF870" s="8"/>
      <c r="AG870" s="8"/>
      <c r="AH870" s="8"/>
      <c r="AI870" s="8"/>
      <c r="AJ870" s="8"/>
    </row>
    <row r="871" spans="1:3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c r="AE871" s="8"/>
      <c r="AF871" s="8"/>
      <c r="AG871" s="8"/>
      <c r="AH871" s="8"/>
      <c r="AI871" s="8"/>
      <c r="AJ871" s="8"/>
    </row>
    <row r="872" spans="1:3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c r="AE872" s="8"/>
      <c r="AF872" s="8"/>
      <c r="AG872" s="8"/>
      <c r="AH872" s="8"/>
      <c r="AI872" s="8"/>
      <c r="AJ872" s="8"/>
    </row>
    <row r="873" spans="1:3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c r="AE873" s="8"/>
      <c r="AF873" s="8"/>
      <c r="AG873" s="8"/>
      <c r="AH873" s="8"/>
      <c r="AI873" s="8"/>
      <c r="AJ873" s="8"/>
    </row>
    <row r="874" spans="1:3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c r="AE874" s="8"/>
      <c r="AF874" s="8"/>
      <c r="AG874" s="8"/>
      <c r="AH874" s="8"/>
      <c r="AI874" s="8"/>
      <c r="AJ874" s="8"/>
    </row>
    <row r="875" spans="1:3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c r="AE875" s="8"/>
      <c r="AF875" s="8"/>
      <c r="AG875" s="8"/>
      <c r="AH875" s="8"/>
      <c r="AI875" s="8"/>
      <c r="AJ875" s="8"/>
    </row>
    <row r="876" spans="1:3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c r="AE876" s="8"/>
      <c r="AF876" s="8"/>
      <c r="AG876" s="8"/>
      <c r="AH876" s="8"/>
      <c r="AI876" s="8"/>
      <c r="AJ876" s="8"/>
    </row>
    <row r="877" spans="1:3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c r="AE877" s="8"/>
      <c r="AF877" s="8"/>
      <c r="AG877" s="8"/>
      <c r="AH877" s="8"/>
      <c r="AI877" s="8"/>
      <c r="AJ877" s="8"/>
    </row>
    <row r="878" spans="1:3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c r="AE878" s="8"/>
      <c r="AF878" s="8"/>
      <c r="AG878" s="8"/>
      <c r="AH878" s="8"/>
      <c r="AI878" s="8"/>
      <c r="AJ878" s="8"/>
    </row>
    <row r="879" spans="1:3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c r="AE879" s="8"/>
      <c r="AF879" s="8"/>
      <c r="AG879" s="8"/>
      <c r="AH879" s="8"/>
      <c r="AI879" s="8"/>
      <c r="AJ879" s="8"/>
    </row>
    <row r="880" spans="1:3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c r="AG880" s="8"/>
      <c r="AH880" s="8"/>
      <c r="AI880" s="8"/>
      <c r="AJ880" s="8"/>
    </row>
    <row r="881" spans="1:3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c r="AE881" s="8"/>
      <c r="AF881" s="8"/>
      <c r="AG881" s="8"/>
      <c r="AH881" s="8"/>
      <c r="AI881" s="8"/>
      <c r="AJ881" s="8"/>
    </row>
    <row r="882" spans="1:3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c r="AE882" s="8"/>
      <c r="AF882" s="8"/>
      <c r="AG882" s="8"/>
      <c r="AH882" s="8"/>
      <c r="AI882" s="8"/>
      <c r="AJ882" s="8"/>
    </row>
    <row r="883" spans="1:3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c r="AE883" s="8"/>
      <c r="AF883" s="8"/>
      <c r="AG883" s="8"/>
      <c r="AH883" s="8"/>
      <c r="AI883" s="8"/>
      <c r="AJ883" s="8"/>
    </row>
    <row r="884" spans="1:3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c r="AE884" s="8"/>
      <c r="AF884" s="8"/>
      <c r="AG884" s="8"/>
      <c r="AH884" s="8"/>
      <c r="AI884" s="8"/>
      <c r="AJ884" s="8"/>
    </row>
    <row r="885" spans="1:3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c r="AE885" s="8"/>
      <c r="AF885" s="8"/>
      <c r="AG885" s="8"/>
      <c r="AH885" s="8"/>
      <c r="AI885" s="8"/>
      <c r="AJ885" s="8"/>
    </row>
    <row r="886" spans="1:3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c r="AE886" s="8"/>
      <c r="AF886" s="8"/>
      <c r="AG886" s="8"/>
      <c r="AH886" s="8"/>
      <c r="AI886" s="8"/>
      <c r="AJ886" s="8"/>
    </row>
    <row r="887" spans="1:3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c r="AE887" s="8"/>
      <c r="AF887" s="8"/>
      <c r="AG887" s="8"/>
      <c r="AH887" s="8"/>
      <c r="AI887" s="8"/>
      <c r="AJ887" s="8"/>
    </row>
    <row r="888" spans="1:3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c r="AE888" s="8"/>
      <c r="AF888" s="8"/>
      <c r="AG888" s="8"/>
      <c r="AH888" s="8"/>
      <c r="AI888" s="8"/>
      <c r="AJ888" s="8"/>
    </row>
    <row r="889" spans="1:3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c r="AE889" s="8"/>
      <c r="AF889" s="8"/>
      <c r="AG889" s="8"/>
      <c r="AH889" s="8"/>
      <c r="AI889" s="8"/>
      <c r="AJ889" s="8"/>
    </row>
    <row r="890" spans="1:3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c r="AE890" s="8"/>
      <c r="AF890" s="8"/>
      <c r="AG890" s="8"/>
      <c r="AH890" s="8"/>
      <c r="AI890" s="8"/>
      <c r="AJ890" s="8"/>
    </row>
    <row r="891" spans="1:3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c r="AE891" s="8"/>
      <c r="AF891" s="8"/>
      <c r="AG891" s="8"/>
      <c r="AH891" s="8"/>
      <c r="AI891" s="8"/>
      <c r="AJ891" s="8"/>
    </row>
    <row r="892" spans="1:3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c r="AE892" s="8"/>
      <c r="AF892" s="8"/>
      <c r="AG892" s="8"/>
      <c r="AH892" s="8"/>
      <c r="AI892" s="8"/>
      <c r="AJ892" s="8"/>
    </row>
    <row r="893" spans="1:3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G893" s="8"/>
      <c r="AH893" s="8"/>
      <c r="AI893" s="8"/>
      <c r="AJ893" s="8"/>
    </row>
    <row r="894" spans="1:3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G894" s="8"/>
      <c r="AH894" s="8"/>
      <c r="AI894" s="8"/>
      <c r="AJ894" s="8"/>
    </row>
    <row r="895" spans="1:3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c r="AE895" s="8"/>
      <c r="AF895" s="8"/>
      <c r="AG895" s="8"/>
      <c r="AH895" s="8"/>
      <c r="AI895" s="8"/>
      <c r="AJ895" s="8"/>
    </row>
    <row r="896" spans="1:3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c r="AE896" s="8"/>
      <c r="AF896" s="8"/>
      <c r="AG896" s="8"/>
      <c r="AH896" s="8"/>
      <c r="AI896" s="8"/>
      <c r="AJ896" s="8"/>
    </row>
    <row r="897" spans="1:3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c r="AE897" s="8"/>
      <c r="AF897" s="8"/>
      <c r="AG897" s="8"/>
      <c r="AH897" s="8"/>
      <c r="AI897" s="8"/>
      <c r="AJ897" s="8"/>
    </row>
    <row r="898" spans="1:3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c r="AE898" s="8"/>
      <c r="AF898" s="8"/>
      <c r="AG898" s="8"/>
      <c r="AH898" s="8"/>
      <c r="AI898" s="8"/>
      <c r="AJ898" s="8"/>
    </row>
    <row r="899" spans="1:3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c r="AE899" s="8"/>
      <c r="AF899" s="8"/>
      <c r="AG899" s="8"/>
      <c r="AH899" s="8"/>
      <c r="AI899" s="8"/>
      <c r="AJ899" s="8"/>
    </row>
    <row r="900" spans="1:3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c r="AE900" s="8"/>
      <c r="AF900" s="8"/>
      <c r="AG900" s="8"/>
      <c r="AH900" s="8"/>
      <c r="AI900" s="8"/>
      <c r="AJ900" s="8"/>
    </row>
    <row r="901" spans="1:3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c r="AE901" s="8"/>
      <c r="AF901" s="8"/>
      <c r="AG901" s="8"/>
      <c r="AH901" s="8"/>
      <c r="AI901" s="8"/>
      <c r="AJ901" s="8"/>
    </row>
    <row r="902" spans="1:3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c r="AE902" s="8"/>
      <c r="AF902" s="8"/>
      <c r="AG902" s="8"/>
      <c r="AH902" s="8"/>
      <c r="AI902" s="8"/>
      <c r="AJ902" s="8"/>
    </row>
    <row r="903" spans="1:3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c r="AE903" s="8"/>
      <c r="AF903" s="8"/>
      <c r="AG903" s="8"/>
      <c r="AH903" s="8"/>
      <c r="AI903" s="8"/>
      <c r="AJ903" s="8"/>
    </row>
    <row r="904" spans="1:3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c r="AE904" s="8"/>
      <c r="AF904" s="8"/>
      <c r="AG904" s="8"/>
      <c r="AH904" s="8"/>
      <c r="AI904" s="8"/>
      <c r="AJ904" s="8"/>
    </row>
    <row r="905" spans="1:3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c r="AE905" s="8"/>
      <c r="AF905" s="8"/>
      <c r="AG905" s="8"/>
      <c r="AH905" s="8"/>
      <c r="AI905" s="8"/>
      <c r="AJ905" s="8"/>
    </row>
    <row r="906" spans="1:3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c r="AE906" s="8"/>
      <c r="AF906" s="8"/>
      <c r="AG906" s="8"/>
      <c r="AH906" s="8"/>
      <c r="AI906" s="8"/>
      <c r="AJ906" s="8"/>
    </row>
    <row r="907" spans="1:3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c r="AE907" s="8"/>
      <c r="AF907" s="8"/>
      <c r="AG907" s="8"/>
      <c r="AH907" s="8"/>
      <c r="AI907" s="8"/>
      <c r="AJ907" s="8"/>
    </row>
    <row r="908" spans="1:3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G908" s="8"/>
      <c r="AH908" s="8"/>
      <c r="AI908" s="8"/>
      <c r="AJ908" s="8"/>
    </row>
    <row r="909" spans="1:3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G909" s="8"/>
      <c r="AH909" s="8"/>
      <c r="AI909" s="8"/>
      <c r="AJ909" s="8"/>
    </row>
    <row r="910" spans="1:3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c r="AE910" s="8"/>
      <c r="AF910" s="8"/>
      <c r="AG910" s="8"/>
      <c r="AH910" s="8"/>
      <c r="AI910" s="8"/>
      <c r="AJ910" s="8"/>
    </row>
    <row r="911" spans="1:3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c r="AE911" s="8"/>
      <c r="AF911" s="8"/>
      <c r="AG911" s="8"/>
      <c r="AH911" s="8"/>
      <c r="AI911" s="8"/>
      <c r="AJ911" s="8"/>
    </row>
    <row r="912" spans="1:3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c r="AE912" s="8"/>
      <c r="AF912" s="8"/>
      <c r="AG912" s="8"/>
      <c r="AH912" s="8"/>
      <c r="AI912" s="8"/>
      <c r="AJ912" s="8"/>
    </row>
    <row r="913" spans="1:3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c r="AE913" s="8"/>
      <c r="AF913" s="8"/>
      <c r="AG913" s="8"/>
      <c r="AH913" s="8"/>
      <c r="AI913" s="8"/>
      <c r="AJ913" s="8"/>
    </row>
    <row r="914" spans="1:3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c r="AE914" s="8"/>
      <c r="AF914" s="8"/>
      <c r="AG914" s="8"/>
      <c r="AH914" s="8"/>
      <c r="AI914" s="8"/>
      <c r="AJ914" s="8"/>
    </row>
    <row r="915" spans="1:3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c r="AE915" s="8"/>
      <c r="AF915" s="8"/>
      <c r="AG915" s="8"/>
      <c r="AH915" s="8"/>
      <c r="AI915" s="8"/>
      <c r="AJ915" s="8"/>
    </row>
    <row r="916" spans="1:3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c r="AE916" s="8"/>
      <c r="AF916" s="8"/>
      <c r="AG916" s="8"/>
      <c r="AH916" s="8"/>
      <c r="AI916" s="8"/>
      <c r="AJ916" s="8"/>
    </row>
    <row r="917" spans="1:3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c r="AE917" s="8"/>
      <c r="AF917" s="8"/>
      <c r="AG917" s="8"/>
      <c r="AH917" s="8"/>
      <c r="AI917" s="8"/>
      <c r="AJ917" s="8"/>
    </row>
    <row r="918" spans="1:3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c r="AE918" s="8"/>
      <c r="AF918" s="8"/>
      <c r="AG918" s="8"/>
      <c r="AH918" s="8"/>
      <c r="AI918" s="8"/>
      <c r="AJ918" s="8"/>
    </row>
    <row r="919" spans="1:3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c r="AE919" s="8"/>
      <c r="AF919" s="8"/>
      <c r="AG919" s="8"/>
      <c r="AH919" s="8"/>
      <c r="AI919" s="8"/>
      <c r="AJ919" s="8"/>
    </row>
    <row r="920" spans="1:3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c r="AE920" s="8"/>
      <c r="AF920" s="8"/>
      <c r="AG920" s="8"/>
      <c r="AH920" s="8"/>
      <c r="AI920" s="8"/>
      <c r="AJ920" s="8"/>
    </row>
    <row r="921" spans="1:3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c r="AE921" s="8"/>
      <c r="AF921" s="8"/>
      <c r="AG921" s="8"/>
      <c r="AH921" s="8"/>
      <c r="AI921" s="8"/>
      <c r="AJ921" s="8"/>
    </row>
    <row r="922" spans="1:3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c r="AE922" s="8"/>
      <c r="AF922" s="8"/>
      <c r="AG922" s="8"/>
      <c r="AH922" s="8"/>
      <c r="AI922" s="8"/>
      <c r="AJ922" s="8"/>
    </row>
    <row r="923" spans="1:3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c r="AE923" s="8"/>
      <c r="AF923" s="8"/>
      <c r="AG923" s="8"/>
      <c r="AH923" s="8"/>
      <c r="AI923" s="8"/>
      <c r="AJ923" s="8"/>
    </row>
    <row r="924" spans="1:3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c r="AE924" s="8"/>
      <c r="AF924" s="8"/>
      <c r="AG924" s="8"/>
      <c r="AH924" s="8"/>
      <c r="AI924" s="8"/>
      <c r="AJ924" s="8"/>
    </row>
    <row r="925" spans="1:3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c r="AE925" s="8"/>
      <c r="AF925" s="8"/>
      <c r="AG925" s="8"/>
      <c r="AH925" s="8"/>
      <c r="AI925" s="8"/>
      <c r="AJ925" s="8"/>
    </row>
    <row r="926" spans="1:3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c r="AE926" s="8"/>
      <c r="AF926" s="8"/>
      <c r="AG926" s="8"/>
      <c r="AH926" s="8"/>
      <c r="AI926" s="8"/>
      <c r="AJ926" s="8"/>
    </row>
    <row r="927" spans="1:3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c r="AE927" s="8"/>
      <c r="AF927" s="8"/>
      <c r="AG927" s="8"/>
      <c r="AH927" s="8"/>
      <c r="AI927" s="8"/>
      <c r="AJ927" s="8"/>
    </row>
    <row r="928" spans="1:3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c r="AE928" s="8"/>
      <c r="AF928" s="8"/>
      <c r="AG928" s="8"/>
      <c r="AH928" s="8"/>
      <c r="AI928" s="8"/>
      <c r="AJ928" s="8"/>
    </row>
    <row r="929" spans="1:3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c r="AE929" s="8"/>
      <c r="AF929" s="8"/>
      <c r="AG929" s="8"/>
      <c r="AH929" s="8"/>
      <c r="AI929" s="8"/>
      <c r="AJ929" s="8"/>
    </row>
    <row r="930" spans="1:3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c r="AE930" s="8"/>
      <c r="AF930" s="8"/>
      <c r="AG930" s="8"/>
      <c r="AH930" s="8"/>
      <c r="AI930" s="8"/>
      <c r="AJ930" s="8"/>
    </row>
    <row r="931" spans="1:3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c r="AE931" s="8"/>
      <c r="AF931" s="8"/>
      <c r="AG931" s="8"/>
      <c r="AH931" s="8"/>
      <c r="AI931" s="8"/>
      <c r="AJ931" s="8"/>
    </row>
    <row r="932" spans="1:3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c r="AE932" s="8"/>
      <c r="AF932" s="8"/>
      <c r="AG932" s="8"/>
      <c r="AH932" s="8"/>
      <c r="AI932" s="8"/>
      <c r="AJ932" s="8"/>
    </row>
    <row r="933" spans="1:3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c r="AE933" s="8"/>
      <c r="AF933" s="8"/>
      <c r="AG933" s="8"/>
      <c r="AH933" s="8"/>
      <c r="AI933" s="8"/>
      <c r="AJ933" s="8"/>
    </row>
    <row r="934" spans="1:3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c r="AE934" s="8"/>
      <c r="AF934" s="8"/>
      <c r="AG934" s="8"/>
      <c r="AH934" s="8"/>
      <c r="AI934" s="8"/>
      <c r="AJ934" s="8"/>
    </row>
    <row r="935" spans="1:3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c r="AE935" s="8"/>
      <c r="AF935" s="8"/>
      <c r="AG935" s="8"/>
      <c r="AH935" s="8"/>
      <c r="AI935" s="8"/>
      <c r="AJ935" s="8"/>
    </row>
    <row r="936" spans="1:3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c r="AE936" s="8"/>
      <c r="AF936" s="8"/>
      <c r="AG936" s="8"/>
      <c r="AH936" s="8"/>
      <c r="AI936" s="8"/>
      <c r="AJ936" s="8"/>
    </row>
    <row r="937" spans="1:3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c r="AE937" s="8"/>
      <c r="AF937" s="8"/>
      <c r="AG937" s="8"/>
      <c r="AH937" s="8"/>
      <c r="AI937" s="8"/>
      <c r="AJ937" s="8"/>
    </row>
    <row r="938" spans="1:3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c r="AE938" s="8"/>
      <c r="AF938" s="8"/>
      <c r="AG938" s="8"/>
      <c r="AH938" s="8"/>
      <c r="AI938" s="8"/>
      <c r="AJ938" s="8"/>
    </row>
    <row r="939" spans="1:3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c r="AE939" s="8"/>
      <c r="AF939" s="8"/>
      <c r="AG939" s="8"/>
      <c r="AH939" s="8"/>
      <c r="AI939" s="8"/>
      <c r="AJ939" s="8"/>
    </row>
    <row r="940" spans="1:3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c r="AE940" s="8"/>
      <c r="AF940" s="8"/>
      <c r="AG940" s="8"/>
      <c r="AH940" s="8"/>
      <c r="AI940" s="8"/>
      <c r="AJ940" s="8"/>
    </row>
    <row r="941" spans="1:3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c r="AE941" s="8"/>
      <c r="AF941" s="8"/>
      <c r="AG941" s="8"/>
      <c r="AH941" s="8"/>
      <c r="AI941" s="8"/>
      <c r="AJ941" s="8"/>
    </row>
    <row r="942" spans="1:3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c r="AE942" s="8"/>
      <c r="AF942" s="8"/>
      <c r="AG942" s="8"/>
      <c r="AH942" s="8"/>
      <c r="AI942" s="8"/>
      <c r="AJ942" s="8"/>
    </row>
    <row r="943" spans="1:3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c r="AE943" s="8"/>
      <c r="AF943" s="8"/>
      <c r="AG943" s="8"/>
      <c r="AH943" s="8"/>
      <c r="AI943" s="8"/>
      <c r="AJ943" s="8"/>
    </row>
    <row r="944" spans="1:3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c r="AE944" s="8"/>
      <c r="AF944" s="8"/>
      <c r="AG944" s="8"/>
      <c r="AH944" s="8"/>
      <c r="AI944" s="8"/>
      <c r="AJ944" s="8"/>
    </row>
    <row r="945" spans="1:3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c r="AE945" s="8"/>
      <c r="AF945" s="8"/>
      <c r="AG945" s="8"/>
      <c r="AH945" s="8"/>
      <c r="AI945" s="8"/>
      <c r="AJ945" s="8"/>
    </row>
    <row r="946" spans="1:3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c r="AE946" s="8"/>
      <c r="AF946" s="8"/>
      <c r="AG946" s="8"/>
      <c r="AH946" s="8"/>
      <c r="AI946" s="8"/>
      <c r="AJ946" s="8"/>
    </row>
    <row r="947" spans="1:3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c r="AE947" s="8"/>
      <c r="AF947" s="8"/>
      <c r="AG947" s="8"/>
      <c r="AH947" s="8"/>
      <c r="AI947" s="8"/>
      <c r="AJ947" s="8"/>
    </row>
    <row r="948" spans="1:3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c r="AE948" s="8"/>
      <c r="AF948" s="8"/>
      <c r="AG948" s="8"/>
      <c r="AH948" s="8"/>
      <c r="AI948" s="8"/>
      <c r="AJ948" s="8"/>
    </row>
    <row r="949" spans="1:3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c r="AE949" s="8"/>
      <c r="AF949" s="8"/>
      <c r="AG949" s="8"/>
      <c r="AH949" s="8"/>
      <c r="AI949" s="8"/>
      <c r="AJ949" s="8"/>
    </row>
    <row r="950" spans="1:3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c r="AE950" s="8"/>
      <c r="AF950" s="8"/>
      <c r="AG950" s="8"/>
      <c r="AH950" s="8"/>
      <c r="AI950" s="8"/>
      <c r="AJ950" s="8"/>
    </row>
    <row r="951" spans="1:3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c r="AE951" s="8"/>
      <c r="AF951" s="8"/>
      <c r="AG951" s="8"/>
      <c r="AH951" s="8"/>
      <c r="AI951" s="8"/>
      <c r="AJ951" s="8"/>
    </row>
    <row r="952" spans="1:3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c r="AE952" s="8"/>
      <c r="AF952" s="8"/>
      <c r="AG952" s="8"/>
      <c r="AH952" s="8"/>
      <c r="AI952" s="8"/>
      <c r="AJ952" s="8"/>
    </row>
    <row r="953" spans="1:3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c r="AE953" s="8"/>
      <c r="AF953" s="8"/>
      <c r="AG953" s="8"/>
      <c r="AH953" s="8"/>
      <c r="AI953" s="8"/>
      <c r="AJ953" s="8"/>
    </row>
    <row r="954" spans="1:3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c r="AE954" s="8"/>
      <c r="AF954" s="8"/>
      <c r="AG954" s="8"/>
      <c r="AH954" s="8"/>
      <c r="AI954" s="8"/>
      <c r="AJ954" s="8"/>
    </row>
    <row r="955" spans="1:3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c r="AE955" s="8"/>
      <c r="AF955" s="8"/>
      <c r="AG955" s="8"/>
      <c r="AH955" s="8"/>
      <c r="AI955" s="8"/>
      <c r="AJ955" s="8"/>
    </row>
    <row r="956" spans="1:3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c r="AE956" s="8"/>
      <c r="AF956" s="8"/>
      <c r="AG956" s="8"/>
      <c r="AH956" s="8"/>
      <c r="AI956" s="8"/>
      <c r="AJ956" s="8"/>
    </row>
    <row r="957" spans="1:3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c r="AE957" s="8"/>
      <c r="AF957" s="8"/>
      <c r="AG957" s="8"/>
      <c r="AH957" s="8"/>
      <c r="AI957" s="8"/>
      <c r="AJ957" s="8"/>
    </row>
    <row r="958" spans="1:3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c r="AE958" s="8"/>
      <c r="AF958" s="8"/>
      <c r="AG958" s="8"/>
      <c r="AH958" s="8"/>
      <c r="AI958" s="8"/>
      <c r="AJ958" s="8"/>
    </row>
    <row r="959" spans="1:3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c r="AE959" s="8"/>
      <c r="AF959" s="8"/>
      <c r="AG959" s="8"/>
      <c r="AH959" s="8"/>
      <c r="AI959" s="8"/>
      <c r="AJ959" s="8"/>
    </row>
    <row r="960" spans="1:3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c r="AE960" s="8"/>
      <c r="AF960" s="8"/>
      <c r="AG960" s="8"/>
      <c r="AH960" s="8"/>
      <c r="AI960" s="8"/>
      <c r="AJ960" s="8"/>
    </row>
    <row r="961" spans="1:3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c r="AE961" s="8"/>
      <c r="AF961" s="8"/>
      <c r="AG961" s="8"/>
      <c r="AH961" s="8"/>
      <c r="AI961" s="8"/>
      <c r="AJ961" s="8"/>
    </row>
    <row r="962" spans="1:3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c r="AE962" s="8"/>
      <c r="AF962" s="8"/>
      <c r="AG962" s="8"/>
      <c r="AH962" s="8"/>
      <c r="AI962" s="8"/>
      <c r="AJ962" s="8"/>
    </row>
    <row r="963" spans="1:3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c r="AE963" s="8"/>
      <c r="AF963" s="8"/>
      <c r="AG963" s="8"/>
      <c r="AH963" s="8"/>
      <c r="AI963" s="8"/>
      <c r="AJ963" s="8"/>
    </row>
    <row r="964" spans="1:3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c r="AE964" s="8"/>
      <c r="AF964" s="8"/>
      <c r="AG964" s="8"/>
      <c r="AH964" s="8"/>
      <c r="AI964" s="8"/>
      <c r="AJ964" s="8"/>
    </row>
    <row r="965" spans="1:3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c r="AE965" s="8"/>
      <c r="AF965" s="8"/>
      <c r="AG965" s="8"/>
      <c r="AH965" s="8"/>
      <c r="AI965" s="8"/>
      <c r="AJ965" s="8"/>
    </row>
    <row r="966" spans="1:3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c r="AE966" s="8"/>
      <c r="AF966" s="8"/>
      <c r="AG966" s="8"/>
      <c r="AH966" s="8"/>
      <c r="AI966" s="8"/>
      <c r="AJ966" s="8"/>
    </row>
    <row r="967" spans="1:3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c r="AE967" s="8"/>
      <c r="AF967" s="8"/>
      <c r="AG967" s="8"/>
      <c r="AH967" s="8"/>
      <c r="AI967" s="8"/>
      <c r="AJ967" s="8"/>
    </row>
    <row r="968" spans="1:3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c r="AE968" s="8"/>
      <c r="AF968" s="8"/>
      <c r="AG968" s="8"/>
      <c r="AH968" s="8"/>
      <c r="AI968" s="8"/>
      <c r="AJ968" s="8"/>
    </row>
    <row r="969" spans="1:3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c r="AE969" s="8"/>
      <c r="AF969" s="8"/>
      <c r="AG969" s="8"/>
      <c r="AH969" s="8"/>
      <c r="AI969" s="8"/>
      <c r="AJ969" s="8"/>
    </row>
    <row r="970" spans="1:3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c r="AE970" s="8"/>
      <c r="AF970" s="8"/>
      <c r="AG970" s="8"/>
      <c r="AH970" s="8"/>
      <c r="AI970" s="8"/>
      <c r="AJ970" s="8"/>
    </row>
    <row r="971" spans="1:3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c r="AE971" s="8"/>
      <c r="AF971" s="8"/>
      <c r="AG971" s="8"/>
      <c r="AH971" s="8"/>
      <c r="AI971" s="8"/>
      <c r="AJ971" s="8"/>
    </row>
    <row r="972" spans="1:3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c r="AE972" s="8"/>
      <c r="AF972" s="8"/>
      <c r="AG972" s="8"/>
      <c r="AH972" s="8"/>
      <c r="AI972" s="8"/>
      <c r="AJ972" s="8"/>
    </row>
    <row r="973" spans="1:3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c r="AE973" s="8"/>
      <c r="AF973" s="8"/>
      <c r="AG973" s="8"/>
      <c r="AH973" s="8"/>
      <c r="AI973" s="8"/>
      <c r="AJ973" s="8"/>
    </row>
    <row r="974" spans="1:3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c r="AE974" s="8"/>
      <c r="AF974" s="8"/>
      <c r="AG974" s="8"/>
      <c r="AH974" s="8"/>
      <c r="AI974" s="8"/>
      <c r="AJ974" s="8"/>
    </row>
    <row r="975" spans="1:3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c r="AE975" s="8"/>
      <c r="AF975" s="8"/>
      <c r="AG975" s="8"/>
      <c r="AH975" s="8"/>
      <c r="AI975" s="8"/>
      <c r="AJ975" s="8"/>
    </row>
    <row r="976" spans="1:3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c r="AE976" s="8"/>
      <c r="AF976" s="8"/>
      <c r="AG976" s="8"/>
      <c r="AH976" s="8"/>
      <c r="AI976" s="8"/>
      <c r="AJ976" s="8"/>
    </row>
    <row r="977" spans="1:3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c r="AE977" s="8"/>
      <c r="AF977" s="8"/>
      <c r="AG977" s="8"/>
      <c r="AH977" s="8"/>
      <c r="AI977" s="8"/>
      <c r="AJ977" s="8"/>
    </row>
    <row r="978" spans="1:3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c r="AE978" s="8"/>
      <c r="AF978" s="8"/>
      <c r="AG978" s="8"/>
      <c r="AH978" s="8"/>
      <c r="AI978" s="8"/>
      <c r="AJ978" s="8"/>
    </row>
    <row r="979" spans="1:3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c r="AE979" s="8"/>
      <c r="AF979" s="8"/>
      <c r="AG979" s="8"/>
      <c r="AH979" s="8"/>
      <c r="AI979" s="8"/>
      <c r="AJ979" s="8"/>
    </row>
    <row r="980" spans="1:3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c r="AE980" s="8"/>
      <c r="AF980" s="8"/>
      <c r="AG980" s="8"/>
      <c r="AH980" s="8"/>
      <c r="AI980" s="8"/>
      <c r="AJ980" s="8"/>
    </row>
    <row r="981" spans="1:3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c r="AE981" s="8"/>
      <c r="AF981" s="8"/>
      <c r="AG981" s="8"/>
      <c r="AH981" s="8"/>
      <c r="AI981" s="8"/>
      <c r="AJ981" s="8"/>
    </row>
    <row r="982" spans="1:3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c r="AE982" s="8"/>
      <c r="AF982" s="8"/>
      <c r="AG982" s="8"/>
      <c r="AH982" s="8"/>
      <c r="AI982" s="8"/>
      <c r="AJ982" s="8"/>
    </row>
    <row r="983" spans="1:3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c r="AE983" s="8"/>
      <c r="AF983" s="8"/>
      <c r="AG983" s="8"/>
      <c r="AH983" s="8"/>
      <c r="AI983" s="8"/>
      <c r="AJ983" s="8"/>
    </row>
    <row r="984" spans="1:3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c r="AE984" s="8"/>
      <c r="AF984" s="8"/>
      <c r="AG984" s="8"/>
      <c r="AH984" s="8"/>
      <c r="AI984" s="8"/>
      <c r="AJ984" s="8"/>
    </row>
    <row r="985" spans="1:3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c r="AE985" s="8"/>
      <c r="AF985" s="8"/>
      <c r="AG985" s="8"/>
      <c r="AH985" s="8"/>
      <c r="AI985" s="8"/>
      <c r="AJ985" s="8"/>
    </row>
    <row r="986" spans="1:3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c r="AE986" s="8"/>
      <c r="AF986" s="8"/>
      <c r="AG986" s="8"/>
      <c r="AH986" s="8"/>
      <c r="AI986" s="8"/>
      <c r="AJ986" s="8"/>
    </row>
    <row r="987" spans="1:3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c r="AE987" s="8"/>
      <c r="AF987" s="8"/>
      <c r="AG987" s="8"/>
      <c r="AH987" s="8"/>
      <c r="AI987" s="8"/>
      <c r="AJ987" s="8"/>
    </row>
    <row r="988" spans="1:3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c r="AE988" s="8"/>
      <c r="AF988" s="8"/>
      <c r="AG988" s="8"/>
      <c r="AH988" s="8"/>
      <c r="AI988" s="8"/>
      <c r="AJ988" s="8"/>
    </row>
    <row r="989" spans="1:3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c r="AE989" s="8"/>
      <c r="AF989" s="8"/>
      <c r="AG989" s="8"/>
      <c r="AH989" s="8"/>
      <c r="AI989" s="8"/>
      <c r="AJ989" s="8"/>
    </row>
    <row r="990" spans="1:3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c r="AE990" s="8"/>
      <c r="AF990" s="8"/>
      <c r="AG990" s="8"/>
      <c r="AH990" s="8"/>
      <c r="AI990" s="8"/>
      <c r="AJ990" s="8"/>
    </row>
    <row r="991" spans="1:3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c r="AE991" s="8"/>
      <c r="AF991" s="8"/>
      <c r="AG991" s="8"/>
      <c r="AH991" s="8"/>
      <c r="AI991" s="8"/>
      <c r="AJ991" s="8"/>
    </row>
    <row r="992" spans="1:3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c r="AE992" s="8"/>
      <c r="AF992" s="8"/>
      <c r="AG992" s="8"/>
      <c r="AH992" s="8"/>
      <c r="AI992" s="8"/>
      <c r="AJ992" s="8"/>
    </row>
    <row r="993" spans="1:3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c r="AE993" s="8"/>
      <c r="AF993" s="8"/>
      <c r="AG993" s="8"/>
      <c r="AH993" s="8"/>
      <c r="AI993" s="8"/>
      <c r="AJ993" s="8"/>
    </row>
    <row r="994" spans="1:3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c r="AE994" s="8"/>
      <c r="AF994" s="8"/>
      <c r="AG994" s="8"/>
      <c r="AH994" s="8"/>
      <c r="AI994" s="8"/>
      <c r="AJ994" s="8"/>
    </row>
    <row r="995" spans="1:3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c r="AE995" s="8"/>
      <c r="AF995" s="8"/>
      <c r="AG995" s="8"/>
      <c r="AH995" s="8"/>
      <c r="AI995" s="8"/>
      <c r="AJ995" s="8"/>
    </row>
    <row r="996" spans="1:3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c r="AE996" s="8"/>
      <c r="AF996" s="8"/>
      <c r="AG996" s="8"/>
      <c r="AH996" s="8"/>
      <c r="AI996" s="8"/>
      <c r="AJ996" s="8"/>
    </row>
    <row r="997" spans="1:3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c r="AE997" s="8"/>
      <c r="AF997" s="8"/>
      <c r="AG997" s="8"/>
      <c r="AH997" s="8"/>
      <c r="AI997" s="8"/>
      <c r="AJ997" s="8"/>
    </row>
    <row r="998" spans="1:3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c r="AE998" s="8"/>
      <c r="AF998" s="8"/>
      <c r="AG998" s="8"/>
      <c r="AH998" s="8"/>
      <c r="AI998" s="8"/>
      <c r="AJ998" s="8"/>
    </row>
    <row r="999" spans="1:3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c r="AE999" s="8"/>
      <c r="AF999" s="8"/>
      <c r="AG999" s="8"/>
      <c r="AH999" s="8"/>
      <c r="AI999" s="8"/>
      <c r="AJ999" s="8"/>
    </row>
    <row r="1000" spans="1:3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c r="AE1000" s="8"/>
      <c r="AF1000" s="8"/>
      <c r="AG1000" s="8"/>
      <c r="AH1000" s="8"/>
      <c r="AI1000" s="8"/>
      <c r="AJ1000" s="8"/>
    </row>
    <row r="1001" spans="1:36"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c r="AE1001" s="8"/>
      <c r="AF1001" s="8"/>
      <c r="AG1001" s="8"/>
      <c r="AH1001" s="8"/>
      <c r="AI1001" s="8"/>
      <c r="AJ1001" s="8"/>
    </row>
    <row r="1002" spans="1:36"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c r="AE1002" s="8"/>
      <c r="AF1002" s="8"/>
      <c r="AG1002" s="8"/>
      <c r="AH1002" s="8"/>
      <c r="AI1002" s="8"/>
      <c r="AJ1002" s="8"/>
    </row>
    <row r="1003" spans="1:36"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c r="AE1003" s="8"/>
      <c r="AF1003" s="8"/>
      <c r="AG1003" s="8"/>
      <c r="AH1003" s="8"/>
      <c r="AI1003" s="8"/>
      <c r="AJ1003" s="8"/>
    </row>
    <row r="1004" spans="1:36"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c r="AE1004" s="8"/>
      <c r="AF1004" s="8"/>
      <c r="AG1004" s="8"/>
      <c r="AH1004" s="8"/>
      <c r="AI1004" s="8"/>
      <c r="AJ1004" s="8"/>
    </row>
    <row r="1005" spans="1:36"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c r="AD1005" s="8"/>
      <c r="AE1005" s="8"/>
      <c r="AF1005" s="8"/>
      <c r="AG1005" s="8"/>
      <c r="AH1005" s="8"/>
      <c r="AI1005" s="8"/>
      <c r="AJ1005" s="8"/>
    </row>
    <row r="1006" spans="1:36"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c r="AD1006" s="8"/>
      <c r="AE1006" s="8"/>
      <c r="AF1006" s="8"/>
      <c r="AG1006" s="8"/>
      <c r="AH1006" s="8"/>
      <c r="AI1006" s="8"/>
      <c r="AJ1006" s="8"/>
    </row>
    <row r="1007" spans="1:36"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c r="AD1007" s="8"/>
      <c r="AE1007" s="8"/>
      <c r="AF1007" s="8"/>
      <c r="AG1007" s="8"/>
      <c r="AH1007" s="8"/>
      <c r="AI1007" s="8"/>
      <c r="AJ1007" s="8"/>
    </row>
    <row r="1008" spans="1:36"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c r="AD1008" s="8"/>
      <c r="AE1008" s="8"/>
      <c r="AF1008" s="8"/>
      <c r="AG1008" s="8"/>
      <c r="AH1008" s="8"/>
      <c r="AI1008" s="8"/>
      <c r="AJ1008" s="8"/>
    </row>
    <row r="1009" spans="1:36"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G1009" s="8"/>
      <c r="AH1009" s="8"/>
      <c r="AI1009" s="8"/>
      <c r="AJ1009" s="8"/>
    </row>
    <row r="1010" spans="1:36" ht="13">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c r="AD1010" s="8"/>
      <c r="AE1010" s="8"/>
      <c r="AF1010" s="8"/>
      <c r="AG1010" s="8"/>
      <c r="AH1010" s="8"/>
      <c r="AI1010" s="8"/>
      <c r="AJ1010" s="8"/>
    </row>
    <row r="1011" spans="1:36" ht="13">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c r="AD1011" s="8"/>
      <c r="AE1011" s="8"/>
      <c r="AF1011" s="8"/>
      <c r="AG1011" s="8"/>
      <c r="AH1011" s="8"/>
      <c r="AI1011" s="8"/>
      <c r="AJ1011" s="8"/>
    </row>
    <row r="1012" spans="1:36" ht="13">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c r="AD1012" s="8"/>
      <c r="AE1012" s="8"/>
      <c r="AF1012" s="8"/>
      <c r="AG1012" s="8"/>
      <c r="AH1012" s="8"/>
      <c r="AI1012" s="8"/>
      <c r="AJ1012" s="8"/>
    </row>
    <row r="1013" spans="1:36" ht="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c r="AD1013" s="8"/>
      <c r="AE1013" s="8"/>
      <c r="AF1013" s="8"/>
      <c r="AG1013" s="8"/>
      <c r="AH1013" s="8"/>
      <c r="AI1013" s="8"/>
      <c r="AJ1013" s="8"/>
    </row>
    <row r="1014" spans="1:36" ht="13">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c r="AD1014" s="8"/>
      <c r="AE1014" s="8"/>
      <c r="AF1014" s="8"/>
      <c r="AG1014" s="8"/>
      <c r="AH1014" s="8"/>
      <c r="AI1014" s="8"/>
      <c r="AJ1014" s="8"/>
    </row>
    <row r="1015" spans="1:36" ht="13">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c r="AD1015" s="8"/>
      <c r="AE1015" s="8"/>
      <c r="AF1015" s="8"/>
      <c r="AG1015" s="8"/>
      <c r="AH1015" s="8"/>
      <c r="AI1015" s="8"/>
      <c r="AJ1015" s="8"/>
    </row>
    <row r="1016" spans="1:36" ht="13">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c r="AD1016" s="8"/>
      <c r="AE1016" s="8"/>
      <c r="AF1016" s="8"/>
      <c r="AG1016" s="8"/>
      <c r="AH1016" s="8"/>
      <c r="AI1016" s="8"/>
      <c r="AJ1016" s="8"/>
    </row>
    <row r="1017" spans="1:36" ht="13">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c r="AD1017" s="8"/>
      <c r="AE1017" s="8"/>
      <c r="AF1017" s="8"/>
      <c r="AG1017" s="8"/>
      <c r="AH1017" s="8"/>
      <c r="AI1017" s="8"/>
      <c r="AJ1017" s="8"/>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04"/>
  <sheetViews>
    <sheetView topLeftCell="A10" zoomScale="125" workbookViewId="0">
      <selection activeCell="L11" sqref="L11"/>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 min="10" max="10" width="14.6640625" bestFit="1"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2" t="s">
        <v>227</v>
      </c>
      <c r="D2" s="174" t="s">
        <v>142</v>
      </c>
      <c r="E2" s="170"/>
      <c r="F2" s="170"/>
      <c r="G2" s="171"/>
      <c r="H2" s="16"/>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43">
        <f t="shared" ref="E4:E8" si="0">5.367655*D4+0.092809</f>
        <v>9.2816647298078508E-2</v>
      </c>
      <c r="F4" s="18">
        <f t="shared" ref="F4:F27" si="1">E4*100</f>
        <v>9.2816647298078507</v>
      </c>
      <c r="G4" s="33">
        <f t="shared" ref="G4:G27" si="2">E4*1023</f>
        <v>94.951430185934313</v>
      </c>
      <c r="H4" s="16" t="s">
        <v>161</v>
      </c>
      <c r="I4" s="8"/>
      <c r="J4" s="64" t="s">
        <v>162</v>
      </c>
      <c r="K4" s="8"/>
      <c r="L4" s="8"/>
      <c r="M4" s="8"/>
      <c r="N4" s="8"/>
      <c r="O4" s="8"/>
      <c r="P4" s="8"/>
      <c r="Q4" s="8"/>
      <c r="R4" s="8"/>
      <c r="S4" s="8"/>
      <c r="T4" s="8"/>
      <c r="U4" s="8"/>
      <c r="V4" s="8"/>
      <c r="W4" s="8"/>
      <c r="X4" s="8"/>
      <c r="Y4" s="8"/>
      <c r="Z4" s="8"/>
      <c r="AA4" s="8"/>
      <c r="AB4" s="8"/>
      <c r="AC4" s="8"/>
    </row>
    <row r="5" spans="1:29" ht="13">
      <c r="A5" s="58"/>
      <c r="B5" s="50">
        <v>2</v>
      </c>
      <c r="C5" s="16" t="s">
        <v>76</v>
      </c>
      <c r="D5" s="17">
        <v>7.0312499999999997E-4</v>
      </c>
      <c r="E5" s="43">
        <f t="shared" si="0"/>
        <v>9.6583132421874995E-2</v>
      </c>
      <c r="F5" s="18">
        <f t="shared" si="1"/>
        <v>9.6583132421875</v>
      </c>
      <c r="G5" s="33">
        <f t="shared" si="2"/>
        <v>98.804544467578125</v>
      </c>
      <c r="H5" s="16" t="s">
        <v>164</v>
      </c>
      <c r="I5" s="8"/>
      <c r="J5" s="56" t="s">
        <v>165</v>
      </c>
      <c r="K5" s="8"/>
      <c r="L5" s="130">
        <v>6329.5755832675804</v>
      </c>
      <c r="M5" s="8"/>
      <c r="N5" s="8"/>
      <c r="O5" s="8"/>
      <c r="P5" s="8"/>
      <c r="Q5" s="8"/>
      <c r="R5" s="8"/>
      <c r="S5" s="8"/>
      <c r="T5" s="8"/>
      <c r="U5" s="8"/>
      <c r="V5" s="8"/>
      <c r="W5" s="8"/>
      <c r="X5" s="8"/>
      <c r="Y5" s="8"/>
      <c r="Z5" s="8"/>
      <c r="AA5" s="8"/>
      <c r="AB5" s="8"/>
      <c r="AC5" s="8"/>
    </row>
    <row r="6" spans="1:29" ht="13">
      <c r="A6" s="58"/>
      <c r="B6" s="50">
        <v>3</v>
      </c>
      <c r="C6" s="16" t="s">
        <v>77</v>
      </c>
      <c r="D6" s="17">
        <v>1.4062499999999999E-3</v>
      </c>
      <c r="E6" s="43">
        <f t="shared" si="0"/>
        <v>0.10035726484375</v>
      </c>
      <c r="F6" s="18">
        <f t="shared" si="1"/>
        <v>10.035726484375001</v>
      </c>
      <c r="G6" s="33">
        <f t="shared" si="2"/>
        <v>102.66548193515625</v>
      </c>
      <c r="H6" s="16" t="s">
        <v>167</v>
      </c>
      <c r="I6" s="8"/>
      <c r="J6" s="8" t="s">
        <v>168</v>
      </c>
      <c r="K6" s="8"/>
      <c r="L6" s="130">
        <v>6576.9133515351568</v>
      </c>
      <c r="M6" s="8"/>
      <c r="N6" s="8"/>
      <c r="O6" s="8"/>
      <c r="P6" s="8"/>
      <c r="Q6" s="8"/>
      <c r="R6" s="8"/>
      <c r="S6" s="8"/>
      <c r="T6" s="8"/>
      <c r="U6" s="8"/>
      <c r="V6" s="8"/>
      <c r="W6" s="8"/>
      <c r="X6" s="8"/>
      <c r="Y6" s="8"/>
      <c r="Z6" s="8"/>
      <c r="AA6" s="8"/>
      <c r="AB6" s="8"/>
      <c r="AC6" s="8"/>
    </row>
    <row r="7" spans="1:29" ht="13">
      <c r="A7" s="58"/>
      <c r="B7" s="50">
        <v>4</v>
      </c>
      <c r="C7" s="16" t="s">
        <v>78</v>
      </c>
      <c r="D7" s="17">
        <v>2.8124999999999999E-3</v>
      </c>
      <c r="E7" s="43">
        <f t="shared" si="0"/>
        <v>0.1079055296875</v>
      </c>
      <c r="F7" s="18">
        <f t="shared" si="1"/>
        <v>10.790552968749999</v>
      </c>
      <c r="G7" s="33">
        <f t="shared" si="2"/>
        <v>110.3873568703125</v>
      </c>
      <c r="H7" s="16"/>
      <c r="I7" s="8"/>
      <c r="J7" s="8" t="s">
        <v>170</v>
      </c>
      <c r="K7" s="8"/>
      <c r="L7" s="130">
        <v>7071.5888880703124</v>
      </c>
      <c r="M7" s="8"/>
      <c r="N7" s="8"/>
      <c r="O7" s="8"/>
      <c r="P7" s="8"/>
      <c r="Q7" s="8"/>
      <c r="R7" s="8"/>
      <c r="S7" s="8"/>
      <c r="T7" s="8"/>
      <c r="U7" s="8"/>
      <c r="V7" s="8"/>
      <c r="W7" s="8"/>
      <c r="X7" s="8"/>
      <c r="Y7" s="8"/>
      <c r="Z7" s="8"/>
      <c r="AA7" s="8"/>
      <c r="AB7" s="8"/>
      <c r="AC7" s="8"/>
    </row>
    <row r="8" spans="1:29" ht="13">
      <c r="A8" s="58"/>
      <c r="B8" s="50">
        <v>5</v>
      </c>
      <c r="C8" s="16" t="s">
        <v>79</v>
      </c>
      <c r="D8" s="17">
        <v>5.6249999999999998E-3</v>
      </c>
      <c r="E8" s="43">
        <f t="shared" si="0"/>
        <v>0.123002059375</v>
      </c>
      <c r="F8" s="18">
        <f t="shared" si="1"/>
        <v>12.300205937499999</v>
      </c>
      <c r="G8" s="33">
        <f t="shared" si="2"/>
        <v>125.831106740625</v>
      </c>
      <c r="H8" s="16"/>
      <c r="I8" s="8"/>
      <c r="J8" s="8" t="s">
        <v>172</v>
      </c>
      <c r="K8" s="8"/>
      <c r="L8" s="130">
        <v>8060.9399611406252</v>
      </c>
      <c r="M8" s="8"/>
      <c r="N8" s="8"/>
      <c r="O8" s="8"/>
      <c r="P8" s="8"/>
      <c r="Q8" s="8"/>
      <c r="R8" s="8"/>
      <c r="S8" s="8"/>
      <c r="T8" s="8"/>
      <c r="U8" s="8"/>
      <c r="V8" s="8"/>
      <c r="W8" s="8"/>
      <c r="X8" s="8"/>
      <c r="Y8" s="8"/>
      <c r="Z8" s="8"/>
      <c r="AA8" s="8"/>
      <c r="AB8" s="8"/>
      <c r="AC8" s="8"/>
    </row>
    <row r="9" spans="1:29" ht="13">
      <c r="A9" s="58"/>
      <c r="B9" s="50">
        <v>6</v>
      </c>
      <c r="C9" s="16" t="s">
        <v>80</v>
      </c>
      <c r="D9" s="17">
        <v>1.125E-2</v>
      </c>
      <c r="E9" s="43">
        <f t="shared" ref="E9:E27" si="3">(0.24719*LOG10(5.555556*D9+0.052272))+0.385537</f>
        <v>0.15313785307294417</v>
      </c>
      <c r="F9" s="18">
        <f t="shared" si="1"/>
        <v>15.313785307294417</v>
      </c>
      <c r="G9" s="33">
        <f t="shared" si="2"/>
        <v>156.66002369362189</v>
      </c>
      <c r="H9" s="16"/>
      <c r="I9" s="8"/>
      <c r="J9" s="8" t="s">
        <v>174</v>
      </c>
      <c r="K9" s="8"/>
      <c r="L9" s="130">
        <v>10035.889201135396</v>
      </c>
      <c r="M9" s="8"/>
      <c r="N9" s="8"/>
      <c r="O9" s="8"/>
      <c r="P9" s="8"/>
      <c r="Q9" s="8"/>
      <c r="R9" s="8"/>
      <c r="S9" s="8"/>
      <c r="T9" s="8"/>
      <c r="U9" s="8"/>
      <c r="V9" s="8"/>
      <c r="W9" s="8"/>
      <c r="X9" s="8"/>
      <c r="Y9" s="8"/>
      <c r="Z9" s="8"/>
      <c r="AA9" s="8"/>
      <c r="AB9" s="8"/>
      <c r="AC9" s="8"/>
    </row>
    <row r="10" spans="1:29" ht="13">
      <c r="A10" s="58"/>
      <c r="B10" s="50">
        <v>7</v>
      </c>
      <c r="C10" s="16" t="s">
        <v>81</v>
      </c>
      <c r="D10" s="17">
        <v>2.2499999999999999E-2</v>
      </c>
      <c r="E10" s="43">
        <f t="shared" si="3"/>
        <v>0.199808363369783</v>
      </c>
      <c r="F10" s="18">
        <f t="shared" si="1"/>
        <v>19.9808363369783</v>
      </c>
      <c r="G10" s="33">
        <f t="shared" si="2"/>
        <v>204.40395572728801</v>
      </c>
      <c r="H10" s="16"/>
      <c r="I10" s="8"/>
      <c r="J10" s="2" t="s">
        <v>176</v>
      </c>
      <c r="K10" s="8"/>
      <c r="L10" s="130">
        <v>13094.441093438729</v>
      </c>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43">
        <f t="shared" si="3"/>
        <v>0.25709656883927079</v>
      </c>
      <c r="F11" s="18">
        <f t="shared" si="1"/>
        <v>25.709656883927078</v>
      </c>
      <c r="G11" s="33">
        <f t="shared" si="2"/>
        <v>263.00978992257404</v>
      </c>
      <c r="H11" s="16"/>
      <c r="I11" s="8"/>
      <c r="J11" s="8" t="s">
        <v>179</v>
      </c>
      <c r="K11" s="8"/>
      <c r="L11" s="130">
        <v>16848.823638881611</v>
      </c>
      <c r="M11" s="8"/>
      <c r="N11" s="8"/>
      <c r="O11" s="8"/>
      <c r="P11" s="8"/>
      <c r="Q11" s="8"/>
      <c r="R11" s="8"/>
      <c r="S11" s="8"/>
      <c r="T11" s="8"/>
      <c r="U11" s="8"/>
      <c r="V11" s="8"/>
      <c r="W11" s="8"/>
      <c r="X11" s="8"/>
      <c r="Y11" s="8"/>
      <c r="Z11" s="8"/>
      <c r="AA11" s="8"/>
      <c r="AB11" s="8"/>
      <c r="AC11" s="8"/>
    </row>
    <row r="12" spans="1:29" ht="13">
      <c r="A12" s="58"/>
      <c r="B12" s="50">
        <v>9</v>
      </c>
      <c r="C12" s="16" t="s">
        <v>83</v>
      </c>
      <c r="D12" s="17">
        <v>0.09</v>
      </c>
      <c r="E12" s="43">
        <f t="shared" si="3"/>
        <v>0.32179981407490377</v>
      </c>
      <c r="F12" s="18">
        <f t="shared" si="1"/>
        <v>32.179981407490374</v>
      </c>
      <c r="G12" s="33">
        <f t="shared" si="2"/>
        <v>329.20120979862656</v>
      </c>
      <c r="H12" s="16"/>
      <c r="I12" s="8"/>
      <c r="J12" s="8" t="s">
        <v>182</v>
      </c>
      <c r="K12" s="8"/>
      <c r="L12" s="130">
        <v>21089.150815398818</v>
      </c>
      <c r="M12" s="8"/>
      <c r="N12" s="8"/>
      <c r="O12" s="8"/>
      <c r="P12" s="8"/>
      <c r="Q12" s="8"/>
      <c r="R12" s="8"/>
      <c r="S12" s="8"/>
      <c r="T12" s="8"/>
      <c r="U12" s="8"/>
      <c r="V12" s="8"/>
      <c r="W12" s="8"/>
      <c r="X12" s="8"/>
      <c r="Y12" s="8"/>
      <c r="Z12" s="8"/>
      <c r="AA12" s="8"/>
      <c r="AB12" s="8"/>
      <c r="AC12" s="8"/>
    </row>
    <row r="13" spans="1:29" ht="13">
      <c r="A13" s="58"/>
      <c r="B13" s="50">
        <v>10</v>
      </c>
      <c r="C13" s="16" t="s">
        <v>84</v>
      </c>
      <c r="D13" s="69">
        <v>0.12727922061357799</v>
      </c>
      <c r="E13" s="43">
        <f t="shared" si="3"/>
        <v>0.35598753417400308</v>
      </c>
      <c r="F13" s="18">
        <f t="shared" si="1"/>
        <v>35.59875341740031</v>
      </c>
      <c r="G13" s="33">
        <f t="shared" si="2"/>
        <v>364.17524746000515</v>
      </c>
      <c r="H13" s="16"/>
      <c r="I13" s="8"/>
      <c r="K13" s="8"/>
      <c r="L13" s="130">
        <v>23329.643052093292</v>
      </c>
      <c r="M13" s="8"/>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43">
        <f t="shared" si="3"/>
        <v>0.38394774524439712</v>
      </c>
      <c r="F14" s="71">
        <f t="shared" si="1"/>
        <v>38.394774524439711</v>
      </c>
      <c r="G14" s="72">
        <f t="shared" si="2"/>
        <v>392.77854338501828</v>
      </c>
      <c r="H14" s="16"/>
      <c r="I14" s="8"/>
      <c r="J14" s="8" t="s">
        <v>187</v>
      </c>
      <c r="K14" s="8"/>
      <c r="L14" s="131"/>
      <c r="M14" s="8"/>
      <c r="N14" s="8"/>
      <c r="O14" s="8"/>
      <c r="P14" s="8"/>
      <c r="Q14" s="8"/>
      <c r="R14" s="8"/>
      <c r="S14" s="8"/>
      <c r="T14" s="8"/>
      <c r="U14" s="8"/>
      <c r="V14" s="8"/>
      <c r="W14" s="8"/>
      <c r="X14" s="8"/>
      <c r="Y14" s="8"/>
      <c r="Z14" s="8"/>
      <c r="AA14" s="8"/>
      <c r="AB14" s="8"/>
      <c r="AC14" s="8"/>
    </row>
    <row r="15" spans="1:29" ht="13">
      <c r="A15" s="58"/>
      <c r="B15" s="50">
        <v>12</v>
      </c>
      <c r="C15" s="16" t="s">
        <v>86</v>
      </c>
      <c r="D15" s="17">
        <v>0.18</v>
      </c>
      <c r="E15" s="43">
        <f t="shared" si="3"/>
        <v>0.39100683203408376</v>
      </c>
      <c r="F15" s="18">
        <f t="shared" si="1"/>
        <v>39.100683203408373</v>
      </c>
      <c r="G15" s="33">
        <f t="shared" si="2"/>
        <v>399.99998917086771</v>
      </c>
      <c r="H15" s="16"/>
      <c r="I15" s="8"/>
      <c r="J15" s="8" t="s">
        <v>190</v>
      </c>
      <c r="K15" s="8"/>
      <c r="L15" s="130">
        <v>25624.632737353681</v>
      </c>
      <c r="M15" s="8"/>
      <c r="O15" s="8"/>
      <c r="P15" s="8"/>
      <c r="Q15" s="8"/>
      <c r="R15" s="8"/>
      <c r="S15" s="8"/>
      <c r="T15" s="8"/>
      <c r="U15" s="8"/>
      <c r="V15" s="8"/>
      <c r="W15" s="8"/>
      <c r="X15" s="8"/>
      <c r="Y15" s="8"/>
      <c r="Z15" s="8"/>
      <c r="AA15" s="8"/>
      <c r="AB15" s="8"/>
      <c r="AC15" s="8"/>
    </row>
    <row r="16" spans="1:29" ht="15">
      <c r="A16" s="58"/>
      <c r="B16" s="50">
        <v>13</v>
      </c>
      <c r="C16" s="43" t="s">
        <v>87</v>
      </c>
      <c r="D16" s="69">
        <v>0.206765703899466</v>
      </c>
      <c r="E16" s="43">
        <f t="shared" si="3"/>
        <v>0.40519659431697863</v>
      </c>
      <c r="F16" s="71">
        <f t="shared" si="1"/>
        <v>40.51965943169786</v>
      </c>
      <c r="G16" s="72">
        <f t="shared" si="2"/>
        <v>414.51611598626914</v>
      </c>
      <c r="H16" s="16"/>
      <c r="I16" s="8"/>
      <c r="J16" s="2" t="s">
        <v>193</v>
      </c>
      <c r="K16" s="8"/>
      <c r="L16" s="130"/>
      <c r="M16" s="8"/>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43">
        <f t="shared" si="3"/>
        <v>0.42663921560894336</v>
      </c>
      <c r="F17" s="18">
        <f t="shared" si="1"/>
        <v>42.663921560894337</v>
      </c>
      <c r="G17" s="33">
        <f t="shared" si="2"/>
        <v>436.45191756794907</v>
      </c>
      <c r="H17" s="16"/>
      <c r="I17" s="8"/>
      <c r="J17" s="2" t="s">
        <v>195</v>
      </c>
      <c r="K17" s="8"/>
      <c r="L17" s="130">
        <v>27959.800994932099</v>
      </c>
      <c r="M17" s="8"/>
      <c r="N17" s="8"/>
      <c r="O17" s="8"/>
      <c r="P17" s="8"/>
      <c r="Q17" s="8"/>
      <c r="R17" s="8"/>
      <c r="S17" s="8"/>
      <c r="T17" s="8"/>
      <c r="U17" s="8"/>
      <c r="V17" s="8"/>
      <c r="W17" s="8"/>
      <c r="X17" s="8"/>
      <c r="Y17" s="8"/>
      <c r="Z17" s="8"/>
      <c r="AA17" s="8"/>
      <c r="AB17" s="8"/>
      <c r="AC17" s="8"/>
    </row>
    <row r="18" spans="1:29" ht="13">
      <c r="A18" s="58"/>
      <c r="B18" s="50">
        <v>15</v>
      </c>
      <c r="C18" s="16" t="s">
        <v>89</v>
      </c>
      <c r="D18" s="17">
        <v>0.36</v>
      </c>
      <c r="E18" s="43">
        <f t="shared" si="3"/>
        <v>0.46271835822564766</v>
      </c>
      <c r="F18" s="18">
        <f t="shared" si="1"/>
        <v>46.271835822564768</v>
      </c>
      <c r="G18" s="33">
        <f t="shared" si="2"/>
        <v>473.36088046483758</v>
      </c>
      <c r="H18" s="16"/>
      <c r="I18" s="8"/>
      <c r="J18" s="2" t="s">
        <v>198</v>
      </c>
      <c r="K18" s="8"/>
      <c r="L18" s="130">
        <v>30324.247606317818</v>
      </c>
      <c r="M18" s="8"/>
      <c r="N18" s="8"/>
      <c r="O18" s="8"/>
      <c r="P18" s="8"/>
      <c r="Q18" s="8"/>
      <c r="R18" s="8"/>
      <c r="S18" s="8"/>
      <c r="T18" s="8"/>
      <c r="U18" s="8"/>
      <c r="V18" s="8"/>
      <c r="W18" s="8"/>
      <c r="X18" s="8"/>
      <c r="Y18" s="8"/>
      <c r="Z18" s="8"/>
      <c r="AA18" s="8"/>
      <c r="AB18" s="8"/>
      <c r="AC18" s="8"/>
    </row>
    <row r="19" spans="1:29" ht="13">
      <c r="A19" s="58"/>
      <c r="B19" s="50">
        <v>16</v>
      </c>
      <c r="C19" s="16" t="s">
        <v>90</v>
      </c>
      <c r="D19" s="17">
        <v>0.72</v>
      </c>
      <c r="E19" s="43">
        <f t="shared" si="3"/>
        <v>0.53575402262938099</v>
      </c>
      <c r="F19" s="18">
        <f t="shared" si="1"/>
        <v>53.575402262938098</v>
      </c>
      <c r="G19" s="33">
        <f t="shared" si="2"/>
        <v>548.07636514985677</v>
      </c>
      <c r="H19" s="16"/>
      <c r="I19" s="8"/>
      <c r="J19" s="2" t="s">
        <v>201</v>
      </c>
      <c r="K19" s="8"/>
      <c r="L19" s="130">
        <v>35110.63987301648</v>
      </c>
      <c r="M19" s="8"/>
      <c r="N19" s="8"/>
      <c r="O19" s="8"/>
      <c r="P19" s="8"/>
      <c r="Q19" s="8"/>
      <c r="R19" s="8"/>
      <c r="S19" s="8"/>
      <c r="T19" s="8"/>
      <c r="U19" s="8"/>
      <c r="V19" s="8"/>
      <c r="W19" s="8"/>
      <c r="X19" s="8"/>
      <c r="Y19" s="8"/>
      <c r="Z19" s="8"/>
      <c r="AA19" s="8"/>
      <c r="AB19" s="8"/>
      <c r="AC19" s="8"/>
    </row>
    <row r="20" spans="1:29" ht="13">
      <c r="A20" s="58"/>
      <c r="B20" s="82">
        <v>17</v>
      </c>
      <c r="C20" s="73" t="s">
        <v>91</v>
      </c>
      <c r="D20" s="8">
        <v>0.90004485786135058</v>
      </c>
      <c r="E20" s="43">
        <f t="shared" si="3"/>
        <v>0.55943718694775635</v>
      </c>
      <c r="F20" s="76">
        <f t="shared" si="1"/>
        <v>55.943718694775633</v>
      </c>
      <c r="G20" s="77">
        <f t="shared" si="2"/>
        <v>572.30424224755473</v>
      </c>
      <c r="H20" s="73" t="s">
        <v>205</v>
      </c>
      <c r="I20" s="8"/>
      <c r="J20" s="8" t="s">
        <v>206</v>
      </c>
      <c r="K20" s="8"/>
      <c r="L20" s="130"/>
      <c r="M20" s="8"/>
      <c r="N20" s="8"/>
      <c r="O20" s="8"/>
      <c r="P20" s="8"/>
      <c r="Q20" s="8"/>
      <c r="R20" s="8"/>
      <c r="S20" s="8"/>
      <c r="T20" s="8"/>
      <c r="U20" s="8"/>
      <c r="V20" s="8"/>
      <c r="W20" s="8"/>
      <c r="X20" s="8"/>
      <c r="Y20" s="8"/>
      <c r="Z20" s="8"/>
      <c r="AA20" s="8"/>
      <c r="AB20" s="8"/>
      <c r="AC20" s="8"/>
    </row>
    <row r="21" spans="1:29" ht="13">
      <c r="A21" s="58"/>
      <c r="B21" s="50">
        <v>18</v>
      </c>
      <c r="C21" s="16" t="s">
        <v>92</v>
      </c>
      <c r="D21" s="17">
        <v>1.44</v>
      </c>
      <c r="E21" s="43">
        <f t="shared" si="3"/>
        <v>0.60947098688109358</v>
      </c>
      <c r="F21" s="18">
        <f t="shared" si="1"/>
        <v>60.947098688109357</v>
      </c>
      <c r="G21" s="33">
        <f t="shared" si="2"/>
        <v>623.48881957935873</v>
      </c>
      <c r="H21" s="16"/>
      <c r="I21" s="8"/>
      <c r="J21" s="8" t="s">
        <v>208</v>
      </c>
      <c r="K21" s="8"/>
      <c r="L21" s="130">
        <v>39941.681125252471</v>
      </c>
      <c r="M21" s="8"/>
      <c r="N21" s="8"/>
      <c r="O21" s="8"/>
      <c r="P21" s="8"/>
      <c r="Q21" s="8"/>
      <c r="R21" s="8"/>
      <c r="S21" s="8"/>
      <c r="T21" s="8"/>
      <c r="U21" s="8"/>
      <c r="V21" s="8"/>
      <c r="W21" s="8"/>
      <c r="X21" s="8"/>
      <c r="Y21" s="8"/>
      <c r="Z21" s="8"/>
      <c r="AA21" s="8"/>
      <c r="AB21" s="8"/>
      <c r="AC21" s="8"/>
    </row>
    <row r="22" spans="1:29" ht="13">
      <c r="A22" s="58"/>
      <c r="B22" s="50">
        <v>19</v>
      </c>
      <c r="C22" s="16" t="s">
        <v>93</v>
      </c>
      <c r="D22" s="17">
        <v>2.88</v>
      </c>
      <c r="E22" s="43">
        <f t="shared" si="3"/>
        <v>0.68353357848909568</v>
      </c>
      <c r="F22" s="18">
        <f t="shared" si="1"/>
        <v>68.353357848909567</v>
      </c>
      <c r="G22" s="33">
        <f t="shared" si="2"/>
        <v>699.25485079434486</v>
      </c>
      <c r="H22" s="16"/>
      <c r="I22" s="8"/>
      <c r="J22" s="8"/>
      <c r="K22" s="8"/>
      <c r="L22" s="130">
        <v>44795.373066282882</v>
      </c>
      <c r="M22" s="8"/>
      <c r="N22" s="8"/>
      <c r="O22" s="8"/>
      <c r="P22" s="8"/>
      <c r="Q22" s="8"/>
      <c r="R22" s="8"/>
      <c r="S22" s="8"/>
      <c r="T22" s="8"/>
      <c r="U22" s="8"/>
      <c r="V22" s="8"/>
      <c r="W22" s="8"/>
      <c r="X22" s="8"/>
      <c r="Y22" s="8"/>
      <c r="Z22" s="8"/>
      <c r="AA22" s="8"/>
      <c r="AB22" s="8"/>
      <c r="AC22" s="8"/>
    </row>
    <row r="23" spans="1:29" ht="13">
      <c r="A23" s="58"/>
      <c r="B23" s="50">
        <v>20</v>
      </c>
      <c r="C23" s="16" t="s">
        <v>94</v>
      </c>
      <c r="D23" s="17">
        <v>5.76</v>
      </c>
      <c r="E23" s="43">
        <f t="shared" si="3"/>
        <v>0.75777025018314315</v>
      </c>
      <c r="F23" s="18">
        <f t="shared" si="1"/>
        <v>75.777025018314319</v>
      </c>
      <c r="G23" s="33">
        <f t="shared" si="2"/>
        <v>775.19896593735541</v>
      </c>
      <c r="H23" s="16"/>
      <c r="I23" s="8"/>
      <c r="J23" s="8" t="s">
        <v>212</v>
      </c>
      <c r="K23" s="8"/>
      <c r="L23" s="130">
        <v>49660.473345752289</v>
      </c>
      <c r="M23" s="8"/>
      <c r="N23" s="8"/>
      <c r="O23" s="8"/>
      <c r="P23" s="8"/>
      <c r="Q23" s="8"/>
      <c r="R23" s="8"/>
      <c r="S23" s="8"/>
      <c r="T23" s="8"/>
      <c r="U23" s="8"/>
      <c r="V23" s="8"/>
      <c r="W23" s="8"/>
      <c r="X23" s="8"/>
      <c r="Y23" s="8"/>
      <c r="Z23" s="8"/>
      <c r="AA23" s="8"/>
      <c r="AB23" s="8"/>
      <c r="AC23" s="8"/>
    </row>
    <row r="24" spans="1:29" ht="13">
      <c r="A24" s="58"/>
      <c r="B24" s="50">
        <v>21</v>
      </c>
      <c r="C24" s="16" t="s">
        <v>95</v>
      </c>
      <c r="D24" s="17">
        <v>11.52</v>
      </c>
      <c r="E24" s="43">
        <f t="shared" si="3"/>
        <v>0.83209428133255159</v>
      </c>
      <c r="F24" s="18">
        <f t="shared" si="1"/>
        <v>83.209428133255159</v>
      </c>
      <c r="G24" s="33">
        <f t="shared" si="2"/>
        <v>851.23244980320032</v>
      </c>
      <c r="H24" s="16" t="s">
        <v>214</v>
      </c>
      <c r="I24" s="8"/>
      <c r="J24" s="8" t="s">
        <v>215</v>
      </c>
      <c r="K24" s="8"/>
      <c r="L24" s="130">
        <v>54531.298727128771</v>
      </c>
      <c r="M24" s="8"/>
      <c r="N24" s="8"/>
      <c r="O24" s="8"/>
      <c r="P24" s="8"/>
      <c r="Q24" s="8"/>
      <c r="R24" s="8"/>
      <c r="S24" s="8"/>
      <c r="T24" s="8"/>
      <c r="U24" s="8"/>
      <c r="V24" s="8"/>
      <c r="W24" s="8"/>
      <c r="X24" s="8"/>
      <c r="Y24" s="8"/>
      <c r="Z24" s="8"/>
      <c r="AA24" s="8"/>
      <c r="AB24" s="8"/>
      <c r="AC24" s="8"/>
    </row>
    <row r="25" spans="1:29" ht="13">
      <c r="A25" s="58"/>
      <c r="B25" s="50">
        <v>22</v>
      </c>
      <c r="C25" s="16" t="s">
        <v>96</v>
      </c>
      <c r="D25" s="17">
        <v>23.04</v>
      </c>
      <c r="E25" s="43">
        <f t="shared" si="3"/>
        <v>0.90646207241747478</v>
      </c>
      <c r="F25" s="18">
        <f t="shared" si="1"/>
        <v>90.646207241747476</v>
      </c>
      <c r="G25" s="33">
        <f t="shared" si="2"/>
        <v>927.31070008307665</v>
      </c>
      <c r="H25" s="16" t="s">
        <v>217</v>
      </c>
      <c r="I25" s="8"/>
      <c r="J25" s="8" t="s">
        <v>218</v>
      </c>
      <c r="K25" s="8"/>
      <c r="L25" s="130">
        <v>59404.991915879211</v>
      </c>
      <c r="M25" s="8"/>
      <c r="N25" s="8"/>
      <c r="O25" s="8"/>
      <c r="P25" s="8"/>
      <c r="Q25" s="8"/>
      <c r="R25" s="8"/>
      <c r="S25" s="8"/>
      <c r="T25" s="8"/>
      <c r="U25" s="8"/>
      <c r="V25" s="8"/>
      <c r="W25" s="8"/>
      <c r="X25" s="8"/>
      <c r="Y25" s="8"/>
      <c r="Z25" s="8"/>
      <c r="AA25" s="8"/>
      <c r="AB25" s="8"/>
      <c r="AC25" s="8"/>
    </row>
    <row r="26" spans="1:29" ht="13">
      <c r="A26" s="58"/>
      <c r="B26" s="50">
        <v>23</v>
      </c>
      <c r="C26" s="16" t="s">
        <v>97</v>
      </c>
      <c r="D26" s="17">
        <v>46.08</v>
      </c>
      <c r="E26" s="43">
        <f t="shared" si="3"/>
        <v>0.98085176356667592</v>
      </c>
      <c r="F26" s="18">
        <f t="shared" si="1"/>
        <v>98.085176356667588</v>
      </c>
      <c r="G26" s="33">
        <f t="shared" si="2"/>
        <v>1003.4113541287095</v>
      </c>
      <c r="H26" s="16"/>
      <c r="I26" s="8"/>
      <c r="J26" s="2" t="s">
        <v>176</v>
      </c>
      <c r="K26" s="8"/>
      <c r="L26" s="130">
        <v>64280.120325342097</v>
      </c>
      <c r="M26" s="8"/>
      <c r="N26" s="8"/>
      <c r="O26" s="8"/>
      <c r="P26" s="8"/>
      <c r="Q26" s="8"/>
      <c r="R26" s="8"/>
      <c r="S26" s="8"/>
      <c r="T26" s="8"/>
      <c r="U26" s="8"/>
      <c r="V26" s="8"/>
      <c r="W26" s="8"/>
      <c r="X26" s="8"/>
      <c r="Y26" s="8"/>
      <c r="Z26" s="8"/>
      <c r="AA26" s="8"/>
      <c r="AB26" s="8"/>
      <c r="AC26" s="8"/>
    </row>
    <row r="27" spans="1:29" ht="13">
      <c r="A27" s="58"/>
      <c r="B27" s="50">
        <v>24</v>
      </c>
      <c r="C27" s="16" t="s">
        <v>98</v>
      </c>
      <c r="D27" s="5">
        <f>0.18*2^9</f>
        <v>92.16</v>
      </c>
      <c r="E27" s="43">
        <f t="shared" si="3"/>
        <v>1.0552524097777298</v>
      </c>
      <c r="F27" s="18">
        <f t="shared" si="1"/>
        <v>105.52524097777298</v>
      </c>
      <c r="G27" s="33">
        <f t="shared" si="2"/>
        <v>1079.5232152026176</v>
      </c>
      <c r="H27" s="43"/>
      <c r="I27" s="8"/>
      <c r="J27" s="8" t="s">
        <v>222</v>
      </c>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row>
    <row r="29" spans="1:29" ht="13">
      <c r="A29" s="8"/>
      <c r="B29" s="43"/>
      <c r="C29" s="12" t="s">
        <v>107</v>
      </c>
      <c r="D29" s="173" t="s">
        <v>142</v>
      </c>
      <c r="E29" s="166"/>
      <c r="F29" s="166"/>
      <c r="G29" s="167"/>
      <c r="H29" s="41" t="s">
        <v>228</v>
      </c>
      <c r="I29" s="8"/>
      <c r="J29" s="8"/>
      <c r="K29" s="8"/>
      <c r="L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J30" s="127" t="s">
        <v>755</v>
      </c>
      <c r="K30" s="8"/>
      <c r="L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43">
        <f t="shared" ref="E31:E70" si="4">5.367655*D31+0.092809</f>
        <v>9.6583132421874995E-2</v>
      </c>
      <c r="F31" s="71">
        <f t="shared" ref="F31:F202" si="5">E31*100</f>
        <v>9.6583132421875</v>
      </c>
      <c r="G31" s="84">
        <f t="shared" ref="G31:G202" si="6">E31*1023</f>
        <v>98.804544467578125</v>
      </c>
      <c r="H31" s="43"/>
      <c r="I31" s="8"/>
      <c r="J31" s="129">
        <f>E31*(2^16-1)</f>
        <v>6329.5755832675777</v>
      </c>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43">
        <f t="shared" si="4"/>
        <v>9.685401497386345E-2</v>
      </c>
      <c r="F32" s="71">
        <f t="shared" si="5"/>
        <v>9.6854014973863443</v>
      </c>
      <c r="G32" s="84">
        <f t="shared" si="6"/>
        <v>99.081657318262316</v>
      </c>
      <c r="H32" s="43"/>
      <c r="I32" s="8"/>
      <c r="J32" s="129">
        <f t="shared" ref="J32:J95" si="7">E32*(2^16-1)</f>
        <v>6347.3278713121408</v>
      </c>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43">
        <f t="shared" si="4"/>
        <v>9.7144339704548791E-2</v>
      </c>
      <c r="F33" s="71">
        <f t="shared" si="5"/>
        <v>9.7144339704548788</v>
      </c>
      <c r="G33" s="84">
        <f t="shared" si="6"/>
        <v>99.37865951775342</v>
      </c>
      <c r="H33" s="43"/>
      <c r="I33" s="8"/>
      <c r="J33" s="129">
        <f t="shared" si="7"/>
        <v>6366.3543025376048</v>
      </c>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43">
        <f t="shared" si="4"/>
        <v>9.7455502046415329E-2</v>
      </c>
      <c r="F34" s="71">
        <f t="shared" si="5"/>
        <v>9.7455502046415337</v>
      </c>
      <c r="G34" s="84">
        <f t="shared" si="6"/>
        <v>99.696978593482882</v>
      </c>
      <c r="H34" s="43"/>
      <c r="I34" s="8"/>
      <c r="J34" s="129">
        <f t="shared" si="7"/>
        <v>6386.7463266118284</v>
      </c>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43">
        <f t="shared" si="4"/>
        <v>9.7788997586968532E-2</v>
      </c>
      <c r="F35" s="71">
        <f t="shared" si="5"/>
        <v>9.7788997586968538</v>
      </c>
      <c r="G35" s="84">
        <f t="shared" si="6"/>
        <v>100.0381445314688</v>
      </c>
      <c r="H35" s="43"/>
      <c r="I35" s="8"/>
      <c r="J35" s="129">
        <f t="shared" si="7"/>
        <v>6408.6019568619831</v>
      </c>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43">
        <f t="shared" si="4"/>
        <v>9.8146429257207637E-2</v>
      </c>
      <c r="F36" s="71">
        <f t="shared" si="5"/>
        <v>9.8146429257207632</v>
      </c>
      <c r="G36" s="84">
        <f t="shared" si="6"/>
        <v>100.40379713012341</v>
      </c>
      <c r="H36" s="43"/>
      <c r="I36" s="8"/>
      <c r="J36" s="129">
        <f t="shared" si="7"/>
        <v>6432.0262413711025</v>
      </c>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43">
        <f t="shared" si="4"/>
        <v>9.8529515036039933E-2</v>
      </c>
      <c r="F37" s="71">
        <f t="shared" si="5"/>
        <v>9.8529515036039932</v>
      </c>
      <c r="G37" s="84">
        <f t="shared" si="6"/>
        <v>100.79569388186886</v>
      </c>
      <c r="H37" s="43"/>
      <c r="I37" s="8"/>
      <c r="J37" s="129">
        <f t="shared" si="7"/>
        <v>6457.1317678868772</v>
      </c>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43">
        <f t="shared" si="4"/>
        <v>9.894009620766743E-2</v>
      </c>
      <c r="F38" s="71">
        <f t="shared" si="5"/>
        <v>9.8940096207667434</v>
      </c>
      <c r="G38" s="84">
        <f t="shared" si="6"/>
        <v>101.21571842044378</v>
      </c>
      <c r="H38" s="43"/>
      <c r="I38" s="8"/>
      <c r="J38" s="129">
        <f t="shared" si="7"/>
        <v>6484.0392049694847</v>
      </c>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43">
        <f t="shared" si="4"/>
        <v>9.9380146211634865E-2</v>
      </c>
      <c r="F39" s="71">
        <f t="shared" si="5"/>
        <v>9.9380146211634859</v>
      </c>
      <c r="G39" s="84">
        <f t="shared" si="6"/>
        <v>101.66588957450247</v>
      </c>
      <c r="H39" s="43"/>
      <c r="I39" s="8"/>
      <c r="J39" s="129">
        <f t="shared" si="7"/>
        <v>6512.8778819794907</v>
      </c>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43">
        <f t="shared" si="4"/>
        <v>9.9851780128076148E-2</v>
      </c>
      <c r="F40" s="71">
        <f t="shared" si="5"/>
        <v>9.985178012807614</v>
      </c>
      <c r="G40" s="84">
        <f t="shared" si="6"/>
        <v>102.1483710710219</v>
      </c>
      <c r="H40" s="43"/>
      <c r="I40" s="8"/>
      <c r="J40" s="129">
        <f t="shared" si="7"/>
        <v>6543.7864106934703</v>
      </c>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43">
        <f t="shared" si="4"/>
        <v>0.10035726484375</v>
      </c>
      <c r="F41" s="71">
        <f t="shared" si="5"/>
        <v>10.035726484375001</v>
      </c>
      <c r="G41" s="84">
        <f t="shared" si="6"/>
        <v>102.66548193515625</v>
      </c>
      <c r="H41" s="43"/>
      <c r="I41" s="8"/>
      <c r="J41" s="129">
        <f t="shared" si="7"/>
        <v>6576.9133515351568</v>
      </c>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43">
        <f t="shared" si="4"/>
        <v>0.1008990299477269</v>
      </c>
      <c r="F42" s="71">
        <f t="shared" si="5"/>
        <v>10.089902994772689</v>
      </c>
      <c r="G42" s="84">
        <f t="shared" si="6"/>
        <v>103.21970763652462</v>
      </c>
      <c r="H42" s="43"/>
      <c r="I42" s="8"/>
      <c r="J42" s="129">
        <f t="shared" si="7"/>
        <v>6612.4179276242821</v>
      </c>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43">
        <f t="shared" si="4"/>
        <v>0.10147967940909758</v>
      </c>
      <c r="F43" s="71">
        <f t="shared" si="5"/>
        <v>10.147967940909759</v>
      </c>
      <c r="G43" s="84">
        <f t="shared" si="6"/>
        <v>103.81371203550682</v>
      </c>
      <c r="H43" s="43"/>
      <c r="I43" s="8"/>
      <c r="J43" s="129">
        <f t="shared" si="7"/>
        <v>6650.4707900752101</v>
      </c>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43">
        <f t="shared" si="4"/>
        <v>0.1021020040928306</v>
      </c>
      <c r="F44" s="71">
        <f t="shared" si="5"/>
        <v>10.210200409283059</v>
      </c>
      <c r="G44" s="84">
        <f t="shared" si="6"/>
        <v>104.45035018696571</v>
      </c>
      <c r="H44" s="43"/>
      <c r="I44" s="8"/>
      <c r="J44" s="129">
        <f t="shared" si="7"/>
        <v>6691.2548382236537</v>
      </c>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43">
        <f t="shared" si="4"/>
        <v>0.10276899517393703</v>
      </c>
      <c r="F45" s="71">
        <f t="shared" si="5"/>
        <v>10.276899517393703</v>
      </c>
      <c r="G45" s="84">
        <f t="shared" si="6"/>
        <v>105.13268206293759</v>
      </c>
      <c r="H45" s="43"/>
      <c r="I45" s="8"/>
      <c r="J45" s="129">
        <f t="shared" si="7"/>
        <v>6734.9660987239631</v>
      </c>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43">
        <f t="shared" si="4"/>
        <v>0.10348385851441526</v>
      </c>
      <c r="F46" s="71">
        <f t="shared" si="5"/>
        <v>10.348385851441526</v>
      </c>
      <c r="G46" s="84">
        <f t="shared" si="6"/>
        <v>105.86398726024682</v>
      </c>
      <c r="H46" s="43"/>
      <c r="I46" s="8"/>
      <c r="J46" s="129">
        <f t="shared" si="7"/>
        <v>6781.8146677422037</v>
      </c>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43">
        <f t="shared" si="4"/>
        <v>0.10425003007207986</v>
      </c>
      <c r="F47" s="71">
        <f t="shared" si="5"/>
        <v>10.425003007207986</v>
      </c>
      <c r="G47" s="84">
        <f t="shared" si="6"/>
        <v>106.6477807637377</v>
      </c>
      <c r="H47" s="43"/>
      <c r="I47" s="8"/>
      <c r="J47" s="129">
        <f t="shared" si="7"/>
        <v>6832.0257207737541</v>
      </c>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43">
        <f t="shared" si="4"/>
        <v>0.10507119241533491</v>
      </c>
      <c r="F48" s="71">
        <f t="shared" si="5"/>
        <v>10.507119241533491</v>
      </c>
      <c r="G48" s="84">
        <f t="shared" si="6"/>
        <v>107.48782984088761</v>
      </c>
      <c r="H48" s="43"/>
      <c r="I48" s="8"/>
      <c r="J48" s="129">
        <f t="shared" si="7"/>
        <v>6885.8405949389735</v>
      </c>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43">
        <f t="shared" si="4"/>
        <v>0.10595129242326974</v>
      </c>
      <c r="F49" s="71">
        <f t="shared" si="5"/>
        <v>10.595129242326975</v>
      </c>
      <c r="G49" s="84">
        <f t="shared" si="6"/>
        <v>108.38817214900494</v>
      </c>
      <c r="H49" s="43"/>
      <c r="I49" s="8"/>
      <c r="J49" s="129">
        <f t="shared" si="7"/>
        <v>6943.5179489589827</v>
      </c>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43">
        <f t="shared" si="4"/>
        <v>0.10689456025615235</v>
      </c>
      <c r="F50" s="71">
        <f t="shared" si="5"/>
        <v>10.689456025615234</v>
      </c>
      <c r="G50" s="84">
        <f t="shared" si="6"/>
        <v>109.35313514204385</v>
      </c>
      <c r="H50" s="43"/>
      <c r="I50" s="8"/>
      <c r="J50" s="129">
        <f t="shared" si="7"/>
        <v>7005.3350063869439</v>
      </c>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43">
        <f t="shared" si="4"/>
        <v>0.1079055296875</v>
      </c>
      <c r="F51" s="71">
        <f t="shared" si="5"/>
        <v>10.790552968749999</v>
      </c>
      <c r="G51" s="84">
        <f t="shared" si="6"/>
        <v>110.3873568703125</v>
      </c>
      <c r="H51" s="43"/>
      <c r="I51" s="8"/>
      <c r="J51" s="129">
        <f t="shared" si="7"/>
        <v>7071.5888880703124</v>
      </c>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43">
        <f t="shared" si="4"/>
        <v>0.10898905989545379</v>
      </c>
      <c r="F52" s="71">
        <f t="shared" si="5"/>
        <v>10.89890598954538</v>
      </c>
      <c r="G52" s="84">
        <f t="shared" si="6"/>
        <v>111.49580827304924</v>
      </c>
      <c r="H52" s="43"/>
      <c r="I52" s="8"/>
      <c r="J52" s="129">
        <f t="shared" si="7"/>
        <v>7142.5980402485648</v>
      </c>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43">
        <f t="shared" si="4"/>
        <v>0.11015035881819515</v>
      </c>
      <c r="F53" s="71">
        <f t="shared" si="5"/>
        <v>11.015035881819516</v>
      </c>
      <c r="G53" s="84">
        <f t="shared" si="6"/>
        <v>112.68381707101365</v>
      </c>
      <c r="H53" s="43"/>
      <c r="I53" s="8"/>
      <c r="J53" s="129">
        <f t="shared" si="7"/>
        <v>7218.7037651504197</v>
      </c>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43">
        <f t="shared" si="4"/>
        <v>0.11139500818566127</v>
      </c>
      <c r="F54" s="71">
        <f t="shared" si="5"/>
        <v>11.139500818566127</v>
      </c>
      <c r="G54" s="84">
        <f t="shared" si="6"/>
        <v>113.95709337393147</v>
      </c>
      <c r="H54" s="43"/>
      <c r="I54" s="8"/>
      <c r="J54" s="129">
        <f t="shared" si="7"/>
        <v>7300.2718614473115</v>
      </c>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43">
        <f t="shared" si="4"/>
        <v>0.11272899034787408</v>
      </c>
      <c r="F55" s="71">
        <f t="shared" si="5"/>
        <v>11.272899034787407</v>
      </c>
      <c r="G55" s="84">
        <f t="shared" si="6"/>
        <v>115.32175712587518</v>
      </c>
      <c r="H55" s="43"/>
      <c r="I55" s="8"/>
      <c r="J55" s="129">
        <f t="shared" si="7"/>
        <v>7387.6943824479276</v>
      </c>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43">
        <f t="shared" si="4"/>
        <v>0.11415871702883057</v>
      </c>
      <c r="F56" s="71">
        <f t="shared" si="5"/>
        <v>11.415871702883058</v>
      </c>
      <c r="G56" s="84">
        <f t="shared" si="6"/>
        <v>116.78436752049367</v>
      </c>
      <c r="H56" s="43"/>
      <c r="I56" s="8"/>
      <c r="J56" s="129">
        <f t="shared" si="7"/>
        <v>7481.3915204844116</v>
      </c>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43">
        <f t="shared" si="4"/>
        <v>0.11569106014415978</v>
      </c>
      <c r="F57" s="71">
        <f t="shared" si="5"/>
        <v>11.569106014415977</v>
      </c>
      <c r="G57" s="84">
        <f t="shared" si="6"/>
        <v>118.35195452747546</v>
      </c>
      <c r="H57" s="43"/>
      <c r="I57" s="8"/>
      <c r="J57" s="129">
        <f t="shared" si="7"/>
        <v>7581.8136265475114</v>
      </c>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43">
        <f t="shared" si="4"/>
        <v>0.11733338483066982</v>
      </c>
      <c r="F58" s="71">
        <f t="shared" si="5"/>
        <v>11.733338483066982</v>
      </c>
      <c r="G58" s="84">
        <f t="shared" si="6"/>
        <v>120.03205268177523</v>
      </c>
      <c r="H58" s="43"/>
      <c r="I58" s="8"/>
      <c r="J58" s="129">
        <f t="shared" si="7"/>
        <v>7689.4433748779466</v>
      </c>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43">
        <f t="shared" si="4"/>
        <v>0.11909358484653954</v>
      </c>
      <c r="F59" s="71">
        <f t="shared" si="5"/>
        <v>11.909358484653954</v>
      </c>
      <c r="G59" s="84">
        <f t="shared" si="6"/>
        <v>121.83273729800995</v>
      </c>
      <c r="H59" s="43"/>
      <c r="I59" s="8"/>
      <c r="J59" s="129">
        <f t="shared" si="7"/>
        <v>7804.7980829179687</v>
      </c>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43">
        <f t="shared" si="4"/>
        <v>0.1209801205123047</v>
      </c>
      <c r="F60" s="71">
        <f t="shared" si="5"/>
        <v>12.098012051230469</v>
      </c>
      <c r="G60" s="84">
        <f t="shared" si="6"/>
        <v>123.76266328408771</v>
      </c>
      <c r="H60" s="43"/>
      <c r="I60" s="8"/>
      <c r="J60" s="129">
        <f t="shared" si="7"/>
        <v>7928.4321977738882</v>
      </c>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43">
        <f t="shared" si="4"/>
        <v>0.123002059375</v>
      </c>
      <c r="F61" s="71">
        <f t="shared" si="5"/>
        <v>12.300205937499999</v>
      </c>
      <c r="G61" s="84">
        <f t="shared" si="6"/>
        <v>125.831106740625</v>
      </c>
      <c r="H61" s="43"/>
      <c r="I61" s="8"/>
      <c r="J61" s="129">
        <f t="shared" si="7"/>
        <v>8060.9399611406252</v>
      </c>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43">
        <f t="shared" si="4"/>
        <v>0.12516911979090758</v>
      </c>
      <c r="F62" s="71">
        <f t="shared" si="5"/>
        <v>12.516911979090759</v>
      </c>
      <c r="G62" s="84">
        <f t="shared" si="6"/>
        <v>128.04800954609846</v>
      </c>
      <c r="H62" s="43"/>
      <c r="I62" s="8"/>
      <c r="J62" s="129">
        <f t="shared" si="7"/>
        <v>8202.9582654971291</v>
      </c>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43">
        <f t="shared" si="4"/>
        <v>0.12749171763639031</v>
      </c>
      <c r="F63" s="71">
        <f t="shared" si="5"/>
        <v>12.74917176363903</v>
      </c>
      <c r="G63" s="84">
        <f t="shared" si="6"/>
        <v>130.42402714202728</v>
      </c>
      <c r="H63" s="43"/>
      <c r="I63" s="8"/>
      <c r="J63" s="129">
        <f t="shared" si="7"/>
        <v>8355.169715300839</v>
      </c>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43">
        <f t="shared" si="4"/>
        <v>0.12998101637132259</v>
      </c>
      <c r="F64" s="71">
        <f t="shared" si="5"/>
        <v>12.998101637132258</v>
      </c>
      <c r="G64" s="84">
        <f t="shared" si="6"/>
        <v>132.97057974786301</v>
      </c>
      <c r="H64" s="43"/>
      <c r="I64" s="8"/>
      <c r="J64" s="129">
        <f t="shared" si="7"/>
        <v>8518.3059078946262</v>
      </c>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43">
        <f t="shared" si="4"/>
        <v>0.13264898069574821</v>
      </c>
      <c r="F65" s="71">
        <f t="shared" si="5"/>
        <v>13.264898069574821</v>
      </c>
      <c r="G65" s="84">
        <f t="shared" si="6"/>
        <v>135.69990725175043</v>
      </c>
      <c r="H65" s="43"/>
      <c r="I65" s="8"/>
      <c r="J65" s="129">
        <f t="shared" si="7"/>
        <v>8693.1509498958585</v>
      </c>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43">
        <f t="shared" si="4"/>
        <v>0.13550843405766111</v>
      </c>
      <c r="F66" s="71">
        <f t="shared" si="5"/>
        <v>13.550843405766111</v>
      </c>
      <c r="G66" s="84">
        <f t="shared" si="6"/>
        <v>138.62512804098731</v>
      </c>
      <c r="H66" s="43"/>
      <c r="I66" s="8"/>
      <c r="J66" s="129">
        <f t="shared" si="7"/>
        <v>8880.5452259688209</v>
      </c>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43">
        <f t="shared" si="4"/>
        <v>0.13857312028831953</v>
      </c>
      <c r="F67" s="71">
        <f t="shared" si="5"/>
        <v>13.857312028831952</v>
      </c>
      <c r="G67" s="84">
        <f t="shared" si="6"/>
        <v>141.76030205495087</v>
      </c>
      <c r="H67" s="43"/>
      <c r="I67" s="8"/>
      <c r="J67" s="129">
        <f t="shared" si="7"/>
        <v>9081.3894380950205</v>
      </c>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43">
        <f t="shared" si="4"/>
        <v>0.1418577696613397</v>
      </c>
      <c r="F68" s="71">
        <f t="shared" si="5"/>
        <v>14.18577696613397</v>
      </c>
      <c r="G68" s="84">
        <f t="shared" si="6"/>
        <v>145.12049836355052</v>
      </c>
      <c r="H68" s="43"/>
      <c r="I68" s="8"/>
      <c r="J68" s="129">
        <f t="shared" si="7"/>
        <v>9296.6489347558963</v>
      </c>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43">
        <f t="shared" si="4"/>
        <v>0.1453781696930791</v>
      </c>
      <c r="F69" s="71">
        <f t="shared" si="5"/>
        <v>14.53781696930791</v>
      </c>
      <c r="G69" s="84">
        <f t="shared" si="6"/>
        <v>148.72186759601991</v>
      </c>
      <c r="H69" s="43"/>
      <c r="I69" s="8"/>
      <c r="J69" s="129">
        <f t="shared" si="7"/>
        <v>9527.3583508359388</v>
      </c>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43">
        <f t="shared" si="4"/>
        <v>0.14915124102460897</v>
      </c>
      <c r="F70" s="71">
        <f t="shared" si="5"/>
        <v>14.915124102460897</v>
      </c>
      <c r="G70" s="84">
        <f t="shared" si="6"/>
        <v>152.58171956817498</v>
      </c>
      <c r="H70" s="43"/>
      <c r="I70" s="8"/>
      <c r="J70" s="129">
        <f t="shared" si="7"/>
        <v>9774.6265805477487</v>
      </c>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43">
        <f t="shared" ref="E71:E202" si="8">(0.24719*LOG10(5.555556*D71+0.052272))+0.385537</f>
        <v>0.15313785307294417</v>
      </c>
      <c r="F71" s="71">
        <f t="shared" si="5"/>
        <v>15.313785307294417</v>
      </c>
      <c r="G71" s="84">
        <f t="shared" si="6"/>
        <v>156.66002369362189</v>
      </c>
      <c r="H71" s="43"/>
      <c r="I71" s="8"/>
      <c r="J71" s="129">
        <f t="shared" si="7"/>
        <v>10035.889201135396</v>
      </c>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43">
        <f t="shared" si="8"/>
        <v>0.15725381257589011</v>
      </c>
      <c r="F72" s="71">
        <f t="shared" si="5"/>
        <v>15.72538125758901</v>
      </c>
      <c r="G72" s="84">
        <f t="shared" si="6"/>
        <v>160.87065026513557</v>
      </c>
      <c r="H72" s="43"/>
      <c r="I72" s="8"/>
      <c r="J72" s="129">
        <f t="shared" si="7"/>
        <v>10305.628607160957</v>
      </c>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43">
        <f t="shared" si="8"/>
        <v>0.16149673047234545</v>
      </c>
      <c r="F73" s="71">
        <f t="shared" si="5"/>
        <v>16.149673047234543</v>
      </c>
      <c r="G73" s="84">
        <f t="shared" si="6"/>
        <v>165.21115527320939</v>
      </c>
      <c r="H73" s="43"/>
      <c r="I73" s="8"/>
      <c r="J73" s="129">
        <f t="shared" si="7"/>
        <v>10583.688231505159</v>
      </c>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43">
        <f t="shared" si="8"/>
        <v>0.16586537801701481</v>
      </c>
      <c r="F74" s="71">
        <f t="shared" si="5"/>
        <v>16.586537801701482</v>
      </c>
      <c r="G74" s="84">
        <f t="shared" si="6"/>
        <v>169.68028171140617</v>
      </c>
      <c r="H74" s="43"/>
      <c r="I74" s="8"/>
      <c r="J74" s="129">
        <f t="shared" si="7"/>
        <v>10869.987548345065</v>
      </c>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43">
        <f t="shared" si="8"/>
        <v>0.17035824720670134</v>
      </c>
      <c r="F75" s="71">
        <f t="shared" si="5"/>
        <v>17.035824720670135</v>
      </c>
      <c r="G75" s="84">
        <f t="shared" si="6"/>
        <v>174.27648689245547</v>
      </c>
      <c r="H75" s="43"/>
      <c r="I75" s="8"/>
      <c r="J75" s="129">
        <f t="shared" si="7"/>
        <v>11164.427730691172</v>
      </c>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43">
        <f t="shared" si="8"/>
        <v>0.17497356457197966</v>
      </c>
      <c r="F76" s="71">
        <f t="shared" si="5"/>
        <v>17.497356457197967</v>
      </c>
      <c r="G76" s="84">
        <f t="shared" si="6"/>
        <v>178.99795655713518</v>
      </c>
      <c r="H76" s="43"/>
      <c r="I76" s="8"/>
      <c r="J76" s="129">
        <f t="shared" si="7"/>
        <v>11466.892554224687</v>
      </c>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43">
        <f t="shared" si="8"/>
        <v>0.17970930707318464</v>
      </c>
      <c r="F77" s="71">
        <f t="shared" si="5"/>
        <v>17.970930707318463</v>
      </c>
      <c r="G77" s="84">
        <f t="shared" si="6"/>
        <v>183.84262113586789</v>
      </c>
      <c r="H77" s="43"/>
      <c r="I77" s="8"/>
      <c r="J77" s="129">
        <f t="shared" si="7"/>
        <v>11777.249439041156</v>
      </c>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43">
        <f t="shared" si="8"/>
        <v>0.18456321980630874</v>
      </c>
      <c r="F78" s="71">
        <f t="shared" si="5"/>
        <v>18.456321980630875</v>
      </c>
      <c r="G78" s="84">
        <f t="shared" si="6"/>
        <v>188.80817386185385</v>
      </c>
      <c r="H78" s="43"/>
      <c r="I78" s="8"/>
      <c r="J78" s="129">
        <f t="shared" si="7"/>
        <v>12095.350610006444</v>
      </c>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43">
        <f t="shared" si="8"/>
        <v>0.18953283520177117</v>
      </c>
      <c r="F79" s="71">
        <f t="shared" si="5"/>
        <v>18.953283520177116</v>
      </c>
      <c r="G79" s="84">
        <f t="shared" si="6"/>
        <v>193.89209041141191</v>
      </c>
      <c r="H79" s="43"/>
      <c r="I79" s="8"/>
      <c r="J79" s="129">
        <f t="shared" si="7"/>
        <v>12421.034354948073</v>
      </c>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43">
        <f t="shared" si="8"/>
        <v>0.19461549338576895</v>
      </c>
      <c r="F80" s="71">
        <f t="shared" si="5"/>
        <v>19.461549338576894</v>
      </c>
      <c r="G80" s="84">
        <f t="shared" si="6"/>
        <v>199.09164973364162</v>
      </c>
      <c r="H80" s="43"/>
      <c r="I80" s="8"/>
      <c r="J80" s="129">
        <f t="shared" si="7"/>
        <v>12754.126359036367</v>
      </c>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43">
        <f t="shared" si="8"/>
        <v>0.199808363369783</v>
      </c>
      <c r="F81" s="71">
        <f t="shared" si="5"/>
        <v>19.9808363369783</v>
      </c>
      <c r="G81" s="84">
        <f t="shared" si="6"/>
        <v>204.40395572728801</v>
      </c>
      <c r="H81" s="43"/>
      <c r="I81" s="8"/>
      <c r="J81" s="129">
        <f t="shared" si="7"/>
        <v>13094.441093438729</v>
      </c>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43">
        <f t="shared" si="8"/>
        <v>0.20510846473841526</v>
      </c>
      <c r="F82" s="71">
        <f t="shared" si="5"/>
        <v>20.510846473841525</v>
      </c>
      <c r="G82" s="84">
        <f t="shared" si="6"/>
        <v>209.82595942739883</v>
      </c>
      <c r="H82" s="43"/>
      <c r="I82" s="8"/>
      <c r="J82" s="129">
        <f t="shared" si="7"/>
        <v>13441.783236632044</v>
      </c>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43">
        <f t="shared" si="8"/>
        <v>0.21051268951815452</v>
      </c>
      <c r="F83" s="71">
        <f t="shared" si="5"/>
        <v>21.051268951815452</v>
      </c>
      <c r="G83" s="84">
        <f t="shared" si="6"/>
        <v>215.35448137707206</v>
      </c>
      <c r="H83" s="43"/>
      <c r="I83" s="8"/>
      <c r="J83" s="129">
        <f t="shared" si="7"/>
        <v>13795.949107572256</v>
      </c>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43">
        <f t="shared" si="8"/>
        <v>0.21601782392892488</v>
      </c>
      <c r="F84" s="71">
        <f t="shared" si="5"/>
        <v>21.601782392892488</v>
      </c>
      <c r="G84" s="84">
        <f t="shared" si="6"/>
        <v>220.98623387929015</v>
      </c>
      <c r="H84" s="43"/>
      <c r="I84" s="8"/>
      <c r="J84" s="129">
        <f t="shared" si="7"/>
        <v>14156.728091182093</v>
      </c>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43">
        <f t="shared" si="8"/>
        <v>0.22162056974514555</v>
      </c>
      <c r="F85" s="71">
        <f t="shared" si="5"/>
        <v>22.162056974514556</v>
      </c>
      <c r="G85" s="84">
        <f t="shared" si="6"/>
        <v>226.7178428492839</v>
      </c>
      <c r="H85" s="43"/>
      <c r="I85" s="8"/>
      <c r="J85" s="129">
        <f t="shared" si="7"/>
        <v>14523.904038248113</v>
      </c>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43">
        <f t="shared" si="8"/>
        <v>0.22731756502218384</v>
      </c>
      <c r="F86" s="71">
        <f t="shared" si="5"/>
        <v>22.731756502218385</v>
      </c>
      <c r="G86" s="84">
        <f t="shared" si="6"/>
        <v>232.54586901769406</v>
      </c>
      <c r="H86" s="43"/>
      <c r="I86" s="8"/>
      <c r="J86" s="129">
        <f t="shared" si="7"/>
        <v>14897.256623728817</v>
      </c>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43">
        <f t="shared" si="8"/>
        <v>0.23310540397622712</v>
      </c>
      <c r="F87" s="71">
        <f t="shared" si="5"/>
        <v>23.310540397622713</v>
      </c>
      <c r="G87" s="84">
        <f t="shared" si="6"/>
        <v>238.46682826768034</v>
      </c>
      <c r="H87" s="43"/>
      <c r="I87" s="8"/>
      <c r="J87" s="129">
        <f t="shared" si="7"/>
        <v>15276.562649582043</v>
      </c>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43">
        <f t="shared" si="8"/>
        <v>0.23898065583944603</v>
      </c>
      <c r="F88" s="71">
        <f t="shared" si="5"/>
        <v>23.898065583944604</v>
      </c>
      <c r="G88" s="84">
        <f t="shared" si="6"/>
        <v>244.47721092375329</v>
      </c>
      <c r="H88" s="43"/>
      <c r="I88" s="8"/>
      <c r="J88" s="129">
        <f t="shared" si="7"/>
        <v>15661.597280438094</v>
      </c>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43">
        <f t="shared" si="8"/>
        <v>0.24493988254667393</v>
      </c>
      <c r="F89" s="71">
        <f t="shared" si="5"/>
        <v>24.493988254667393</v>
      </c>
      <c r="G89" s="84">
        <f t="shared" si="6"/>
        <v>250.57349984524743</v>
      </c>
      <c r="H89" s="43"/>
      <c r="I89" s="8"/>
      <c r="J89" s="129">
        <f t="shared" si="7"/>
        <v>16052.135202696276</v>
      </c>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43">
        <f t="shared" si="8"/>
        <v>0.25097965514365161</v>
      </c>
      <c r="F90" s="71">
        <f t="shared" si="5"/>
        <v>25.097965514365161</v>
      </c>
      <c r="G90" s="84">
        <f t="shared" si="6"/>
        <v>256.75218721195563</v>
      </c>
      <c r="H90" s="43"/>
      <c r="I90" s="8"/>
      <c r="J90" s="129">
        <f t="shared" si="7"/>
        <v>16447.95169983921</v>
      </c>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43">
        <f t="shared" si="8"/>
        <v>0.25709656883927079</v>
      </c>
      <c r="F91" s="71">
        <f t="shared" si="5"/>
        <v>25.709656883927078</v>
      </c>
      <c r="G91" s="84">
        <f t="shared" si="6"/>
        <v>263.00978992257404</v>
      </c>
      <c r="H91" s="43"/>
      <c r="I91" s="8"/>
      <c r="J91" s="129">
        <f t="shared" si="7"/>
        <v>16848.823638881611</v>
      </c>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43">
        <f t="shared" si="8"/>
        <v>0.26328725665450847</v>
      </c>
      <c r="F92" s="71">
        <f t="shared" si="5"/>
        <v>26.328725665450847</v>
      </c>
      <c r="G92" s="84">
        <f t="shared" si="6"/>
        <v>269.34286355756217</v>
      </c>
      <c r="H92" s="43"/>
      <c r="I92" s="8"/>
      <c r="J92" s="129">
        <f t="shared" si="7"/>
        <v>17254.530364853214</v>
      </c>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43">
        <f t="shared" si="8"/>
        <v>0.26954840164830057</v>
      </c>
      <c r="F93" s="71">
        <f t="shared" si="5"/>
        <v>26.954840164830056</v>
      </c>
      <c r="G93" s="84">
        <f t="shared" si="6"/>
        <v>275.74801488621148</v>
      </c>
      <c r="H93" s="43"/>
      <c r="I93" s="8"/>
      <c r="J93" s="129">
        <f t="shared" si="7"/>
        <v>17664.854502021379</v>
      </c>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43">
        <f t="shared" si="8"/>
        <v>0.27587674772511239</v>
      </c>
      <c r="F94" s="71">
        <f t="shared" si="5"/>
        <v>27.587674772511239</v>
      </c>
      <c r="G94" s="84">
        <f t="shared" si="6"/>
        <v>282.22191292278995</v>
      </c>
      <c r="H94" s="43"/>
      <c r="I94" s="8"/>
      <c r="J94" s="129">
        <f t="shared" si="7"/>
        <v>18079.582662165241</v>
      </c>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43">
        <f t="shared" si="8"/>
        <v>0.28226910905021624</v>
      </c>
      <c r="F95" s="71">
        <f t="shared" si="5"/>
        <v>28.226910905021622</v>
      </c>
      <c r="G95" s="84">
        <f t="shared" si="6"/>
        <v>288.76129855837121</v>
      </c>
      <c r="H95" s="43"/>
      <c r="I95" s="8"/>
      <c r="J95" s="129">
        <f t="shared" si="7"/>
        <v>18498.50606160592</v>
      </c>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43">
        <f t="shared" si="8"/>
        <v>0.28872237811658641</v>
      </c>
      <c r="F96" s="71">
        <f t="shared" si="5"/>
        <v>28.872237811658643</v>
      </c>
      <c r="G96" s="84">
        <f t="shared" si="6"/>
        <v>295.36299281326791</v>
      </c>
      <c r="H96" s="43"/>
      <c r="I96" s="8"/>
      <c r="J96" s="129">
        <f t="shared" ref="J96:J159" si="9">E96*(2^16-1)</f>
        <v>18921.421049870489</v>
      </c>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43">
        <f t="shared" si="8"/>
        <v>0.29523353252193812</v>
      </c>
      <c r="F97" s="71">
        <f t="shared" si="5"/>
        <v>29.523353252193811</v>
      </c>
      <c r="G97" s="84">
        <f t="shared" si="6"/>
        <v>302.02390376994271</v>
      </c>
      <c r="H97" s="43"/>
      <c r="I97" s="8"/>
      <c r="J97" s="129">
        <f t="shared" si="9"/>
        <v>19348.129553825216</v>
      </c>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43">
        <f t="shared" si="8"/>
        <v>0.30179964052589697</v>
      </c>
      <c r="F98" s="71">
        <f t="shared" si="5"/>
        <v>30.179964052589696</v>
      </c>
      <c r="G98" s="84">
        <f t="shared" si="6"/>
        <v>308.74103225799263</v>
      </c>
      <c r="H98" s="43"/>
      <c r="I98" s="8"/>
      <c r="J98" s="129">
        <f t="shared" si="9"/>
        <v>19778.439441864659</v>
      </c>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43">
        <f t="shared" si="8"/>
        <v>0.3084178654658058</v>
      </c>
      <c r="F99" s="71">
        <f t="shared" si="5"/>
        <v>30.841786546580579</v>
      </c>
      <c r="G99" s="84">
        <f t="shared" si="6"/>
        <v>315.51147637151934</v>
      </c>
      <c r="H99" s="43"/>
      <c r="I99" s="8"/>
      <c r="J99" s="129">
        <f t="shared" si="9"/>
        <v>20212.164813301584</v>
      </c>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43">
        <f t="shared" si="8"/>
        <v>0.31508546911550717</v>
      </c>
      <c r="F100" s="71">
        <f t="shared" si="5"/>
        <v>31.508546911550717</v>
      </c>
      <c r="G100" s="84">
        <f t="shared" si="6"/>
        <v>322.33243490516384</v>
      </c>
      <c r="H100" s="43"/>
      <c r="I100" s="8"/>
      <c r="J100" s="129">
        <f t="shared" si="9"/>
        <v>20649.126218484762</v>
      </c>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43">
        <f t="shared" si="8"/>
        <v>0.32179981407490377</v>
      </c>
      <c r="F101" s="71">
        <f t="shared" si="5"/>
        <v>32.179981407490374</v>
      </c>
      <c r="G101" s="84">
        <f t="shared" si="6"/>
        <v>329.20120979862656</v>
      </c>
      <c r="H101" s="43"/>
      <c r="I101" s="8"/>
      <c r="J101" s="129">
        <f t="shared" si="9"/>
        <v>21089.150815398818</v>
      </c>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43">
        <f t="shared" si="8"/>
        <v>0.32855836527947002</v>
      </c>
      <c r="F102" s="71">
        <f t="shared" si="5"/>
        <v>32.855836527947005</v>
      </c>
      <c r="G102" s="84">
        <f t="shared" si="6"/>
        <v>336.11520768089781</v>
      </c>
      <c r="H102" s="43"/>
      <c r="I102" s="8"/>
      <c r="J102" s="129">
        <f t="shared" si="9"/>
        <v>21532.072468590068</v>
      </c>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43">
        <f t="shared" si="8"/>
        <v>0.33535869071851443</v>
      </c>
      <c r="F103" s="71">
        <f t="shared" si="5"/>
        <v>33.535869071851444</v>
      </c>
      <c r="G103" s="84">
        <f t="shared" si="6"/>
        <v>343.07194060504025</v>
      </c>
      <c r="H103" s="43"/>
      <c r="I103" s="8"/>
      <c r="J103" s="129">
        <f t="shared" si="9"/>
        <v>21977.731796237844</v>
      </c>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43">
        <f t="shared" si="8"/>
        <v>0.34219846144914562</v>
      </c>
      <c r="F104" s="71">
        <f t="shared" si="5"/>
        <v>34.219846144914563</v>
      </c>
      <c r="G104" s="84">
        <f t="shared" si="6"/>
        <v>350.06902606247598</v>
      </c>
      <c r="H104" s="43"/>
      <c r="I104" s="8"/>
      <c r="J104" s="129">
        <f t="shared" si="9"/>
        <v>22425.976171069757</v>
      </c>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43">
        <f t="shared" si="8"/>
        <v>0.34907545098989295</v>
      </c>
      <c r="F105" s="71">
        <f t="shared" si="5"/>
        <v>34.907545098989296</v>
      </c>
      <c r="G105" s="84">
        <f t="shared" si="6"/>
        <v>357.10418636266047</v>
      </c>
      <c r="H105" s="43"/>
      <c r="I105" s="8"/>
      <c r="J105" s="129">
        <f t="shared" si="9"/>
        <v>22876.659680622633</v>
      </c>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43">
        <f t="shared" si="8"/>
        <v>0.35598753417400308</v>
      </c>
      <c r="F106" s="71">
        <f t="shared" si="5"/>
        <v>35.59875341740031</v>
      </c>
      <c r="G106" s="84">
        <f t="shared" si="6"/>
        <v>364.17524746000515</v>
      </c>
      <c r="H106" s="43"/>
      <c r="I106" s="8"/>
      <c r="J106" s="129">
        <f t="shared" si="9"/>
        <v>23329.643052093292</v>
      </c>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43">
        <f t="shared" si="8"/>
        <v>0.36293268553785613</v>
      </c>
      <c r="F107" s="71">
        <f t="shared" si="5"/>
        <v>36.293268553785616</v>
      </c>
      <c r="G107" s="84">
        <f t="shared" si="6"/>
        <v>371.28013730522684</v>
      </c>
      <c r="H107" s="43"/>
      <c r="I107" s="8"/>
      <c r="J107" s="129">
        <f t="shared" si="9"/>
        <v>23784.793546723402</v>
      </c>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43">
        <f t="shared" si="8"/>
        <v>0.36990897731488259</v>
      </c>
      <c r="F108" s="71">
        <f t="shared" si="5"/>
        <v>36.990897731488261</v>
      </c>
      <c r="G108" s="84">
        <f t="shared" si="6"/>
        <v>378.4168837931249</v>
      </c>
      <c r="H108" s="43"/>
      <c r="I108" s="8"/>
      <c r="J108" s="129">
        <f t="shared" si="9"/>
        <v>24241.984828330831</v>
      </c>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43">
        <f t="shared" si="8"/>
        <v>0.37691457710003323</v>
      </c>
      <c r="F109" s="71">
        <f t="shared" si="5"/>
        <v>37.69145771000332</v>
      </c>
      <c r="G109" s="84">
        <f t="shared" si="6"/>
        <v>385.58361237333401</v>
      </c>
      <c r="H109" s="43"/>
      <c r="I109" s="8"/>
      <c r="J109" s="129">
        <f t="shared" si="9"/>
        <v>24701.096810250678</v>
      </c>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43">
        <f t="shared" si="8"/>
        <v>0.38394774524439712</v>
      </c>
      <c r="F110" s="71">
        <f t="shared" si="5"/>
        <v>38.394774524439711</v>
      </c>
      <c r="G110" s="84">
        <f t="shared" si="6"/>
        <v>392.77854338501828</v>
      </c>
      <c r="H110" s="43"/>
      <c r="I110" s="8"/>
      <c r="J110" s="129">
        <f t="shared" si="9"/>
        <v>25162.015484591564</v>
      </c>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43">
        <f t="shared" si="8"/>
        <v>0.39100683203408376</v>
      </c>
      <c r="F111" s="71">
        <f t="shared" si="5"/>
        <v>39.100683203408373</v>
      </c>
      <c r="G111" s="84">
        <f t="shared" si="6"/>
        <v>399.99998917086771</v>
      </c>
      <c r="H111" s="43"/>
      <c r="I111" s="8"/>
      <c r="J111" s="129">
        <f t="shared" si="9"/>
        <v>25624.632737353681</v>
      </c>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43">
        <f t="shared" si="8"/>
        <v>0.39809027470212704</v>
      </c>
      <c r="F112" s="71">
        <f t="shared" si="5"/>
        <v>39.809027470212705</v>
      </c>
      <c r="G112" s="84">
        <f t="shared" si="6"/>
        <v>407.24635102027599</v>
      </c>
      <c r="H112" s="43"/>
      <c r="I112" s="8"/>
      <c r="J112" s="129">
        <f t="shared" si="9"/>
        <v>26088.846152603895</v>
      </c>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43">
        <f t="shared" si="8"/>
        <v>0.40519659431697863</v>
      </c>
      <c r="F113" s="71">
        <f t="shared" si="5"/>
        <v>40.51965943169786</v>
      </c>
      <c r="G113" s="84">
        <f t="shared" si="6"/>
        <v>414.51611598626914</v>
      </c>
      <c r="H113" s="43"/>
      <c r="I113" s="8"/>
      <c r="J113" s="129">
        <f t="shared" si="9"/>
        <v>26554.558808563193</v>
      </c>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43">
        <f t="shared" si="8"/>
        <v>0.41232439258618708</v>
      </c>
      <c r="F114" s="71">
        <f t="shared" si="5"/>
        <v>41.232439258618712</v>
      </c>
      <c r="G114" s="84">
        <f t="shared" si="6"/>
        <v>421.80785361566939</v>
      </c>
      <c r="H114" s="43"/>
      <c r="I114" s="8"/>
      <c r="J114" s="129">
        <f t="shared" si="9"/>
        <v>27021.679068135771</v>
      </c>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43">
        <f t="shared" si="8"/>
        <v>0.41947234860921462</v>
      </c>
      <c r="F115" s="71">
        <f t="shared" si="5"/>
        <v>41.947234860921462</v>
      </c>
      <c r="G115" s="84">
        <f t="shared" si="6"/>
        <v>429.12021262722658</v>
      </c>
      <c r="H115" s="43"/>
      <c r="I115" s="8"/>
      <c r="J115" s="129">
        <f t="shared" si="9"/>
        <v>27490.120366104878</v>
      </c>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43">
        <f t="shared" si="8"/>
        <v>0.4266392156089433</v>
      </c>
      <c r="F116" s="71">
        <f t="shared" si="5"/>
        <v>42.66392156089433</v>
      </c>
      <c r="G116" s="84">
        <f t="shared" si="6"/>
        <v>436.45191756794901</v>
      </c>
      <c r="H116" s="43"/>
      <c r="I116" s="8"/>
      <c r="J116" s="129">
        <f t="shared" si="9"/>
        <v>27959.800994932099</v>
      </c>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43">
        <f t="shared" si="8"/>
        <v>0.43382381766740963</v>
      </c>
      <c r="F117" s="71">
        <f t="shared" si="5"/>
        <v>43.382381766740963</v>
      </c>
      <c r="G117" s="84">
        <f t="shared" si="6"/>
        <v>443.80176547376004</v>
      </c>
      <c r="H117" s="43"/>
      <c r="I117" s="8"/>
      <c r="J117" s="129">
        <f t="shared" si="9"/>
        <v>28430.64389083369</v>
      </c>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43">
        <f t="shared" si="8"/>
        <v>0.44102504648758778</v>
      </c>
      <c r="F118" s="71">
        <f t="shared" si="5"/>
        <v>44.102504648758782</v>
      </c>
      <c r="G118" s="84">
        <f t="shared" si="6"/>
        <v>451.16862255680229</v>
      </c>
      <c r="H118" s="43"/>
      <c r="I118" s="8"/>
      <c r="J118" s="129">
        <f t="shared" si="9"/>
        <v>28902.576421564067</v>
      </c>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43">
        <f t="shared" si="8"/>
        <v>0.44824185819965745</v>
      </c>
      <c r="F119" s="71">
        <f t="shared" si="5"/>
        <v>44.824185819965749</v>
      </c>
      <c r="G119" s="84">
        <f t="shared" si="6"/>
        <v>458.55142093824958</v>
      </c>
      <c r="H119" s="43"/>
      <c r="I119" s="8"/>
      <c r="J119" s="129">
        <f t="shared" si="9"/>
        <v>29375.53017711455</v>
      </c>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43">
        <f t="shared" si="8"/>
        <v>0.45547327022715423</v>
      </c>
      <c r="F120" s="71">
        <f t="shared" si="5"/>
        <v>45.547327022715422</v>
      </c>
      <c r="G120" s="84">
        <f t="shared" si="6"/>
        <v>465.94915544237875</v>
      </c>
      <c r="H120" s="43"/>
      <c r="I120" s="8"/>
      <c r="J120" s="129">
        <f t="shared" si="9"/>
        <v>29849.440764336552</v>
      </c>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43">
        <f t="shared" si="8"/>
        <v>0.46271835822564766</v>
      </c>
      <c r="F121" s="71">
        <f t="shared" si="5"/>
        <v>46.271835822564768</v>
      </c>
      <c r="G121" s="84">
        <f t="shared" si="6"/>
        <v>473.36088046483758</v>
      </c>
      <c r="H121" s="43"/>
      <c r="I121" s="8"/>
      <c r="J121" s="129">
        <f t="shared" si="9"/>
        <v>30324.247606317818</v>
      </c>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43">
        <f t="shared" si="8"/>
        <v>0.46997625310414815</v>
      </c>
      <c r="F122" s="71">
        <f t="shared" si="5"/>
        <v>46.997625310414811</v>
      </c>
      <c r="G122" s="84">
        <f t="shared" si="6"/>
        <v>480.78570692554354</v>
      </c>
      <c r="H122" s="43"/>
      <c r="I122" s="8"/>
      <c r="J122" s="129">
        <f t="shared" si="9"/>
        <v>30799.893747180347</v>
      </c>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43">
        <f t="shared" si="8"/>
        <v>0.47724613813728511</v>
      </c>
      <c r="F123" s="71">
        <f t="shared" si="5"/>
        <v>47.72461381372851</v>
      </c>
      <c r="G123" s="84">
        <f t="shared" si="6"/>
        <v>488.22279931444268</v>
      </c>
      <c r="H123" s="43"/>
      <c r="I123" s="8"/>
      <c r="J123" s="129">
        <f t="shared" si="9"/>
        <v>31276.325662826981</v>
      </c>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43">
        <f t="shared" si="8"/>
        <v>0.4845272461743782</v>
      </c>
      <c r="F124" s="71">
        <f t="shared" si="5"/>
        <v>48.452724617437823</v>
      </c>
      <c r="G124" s="84">
        <f t="shared" si="6"/>
        <v>495.67137283638891</v>
      </c>
      <c r="H124" s="43"/>
      <c r="I124" s="8"/>
      <c r="J124" s="129">
        <f t="shared" si="9"/>
        <v>31753.493078037875</v>
      </c>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43">
        <f t="shared" si="8"/>
        <v>0.49181885694987115</v>
      </c>
      <c r="F125" s="71">
        <f t="shared" si="5"/>
        <v>49.181885694987116</v>
      </c>
      <c r="G125" s="84">
        <f t="shared" si="6"/>
        <v>503.1306906597182</v>
      </c>
      <c r="H125" s="43"/>
      <c r="I125" s="8"/>
      <c r="J125" s="129">
        <f t="shared" si="9"/>
        <v>32231.348790209806</v>
      </c>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43">
        <f t="shared" si="8"/>
        <v>0.49912029449813877</v>
      </c>
      <c r="F126" s="71">
        <f t="shared" si="5"/>
        <v>49.912029449813879</v>
      </c>
      <c r="G126" s="84">
        <f t="shared" si="6"/>
        <v>510.60006127159596</v>
      </c>
      <c r="H126" s="43"/>
      <c r="I126" s="8"/>
      <c r="J126" s="129">
        <f t="shared" si="9"/>
        <v>32709.848499935524</v>
      </c>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43">
        <f t="shared" si="8"/>
        <v>0.50643092467443418</v>
      </c>
      <c r="F127" s="71">
        <f t="shared" si="5"/>
        <v>50.643092467443417</v>
      </c>
      <c r="G127" s="84">
        <f t="shared" si="6"/>
        <v>518.07883594194618</v>
      </c>
      <c r="H127" s="43"/>
      <c r="I127" s="8"/>
      <c r="J127" s="129">
        <f t="shared" si="9"/>
        <v>33188.950648539045</v>
      </c>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43">
        <f t="shared" si="8"/>
        <v>0.51375015278267944</v>
      </c>
      <c r="F128" s="71">
        <f t="shared" si="5"/>
        <v>51.375015278267945</v>
      </c>
      <c r="G128" s="84">
        <f t="shared" si="6"/>
        <v>525.56640629668107</v>
      </c>
      <c r="H128" s="43"/>
      <c r="I128" s="8"/>
      <c r="J128" s="129">
        <f t="shared" si="9"/>
        <v>33668.616262612893</v>
      </c>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43">
        <f t="shared" si="8"/>
        <v>0.52107742130988943</v>
      </c>
      <c r="F129" s="71">
        <f t="shared" si="5"/>
        <v>52.107742130988946</v>
      </c>
      <c r="G129" s="84">
        <f t="shared" si="6"/>
        <v>533.0622020000169</v>
      </c>
      <c r="H129" s="43"/>
      <c r="I129" s="8"/>
      <c r="J129" s="129">
        <f t="shared" si="9"/>
        <v>34148.808805543602</v>
      </c>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43">
        <f t="shared" si="8"/>
        <v>0.52841220776626807</v>
      </c>
      <c r="F130" s="71">
        <f t="shared" si="5"/>
        <v>52.841220776626805</v>
      </c>
      <c r="G130" s="84">
        <f t="shared" si="6"/>
        <v>540.56568854489228</v>
      </c>
      <c r="H130" s="43"/>
      <c r="I130" s="8"/>
      <c r="J130" s="129">
        <f t="shared" si="9"/>
        <v>34629.49403596238</v>
      </c>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43">
        <f t="shared" si="8"/>
        <v>0.53575402262938099</v>
      </c>
      <c r="F131" s="71">
        <f t="shared" si="5"/>
        <v>53.575402262938098</v>
      </c>
      <c r="G131" s="84">
        <f t="shared" si="6"/>
        <v>548.07636514985677</v>
      </c>
      <c r="H131" s="43"/>
      <c r="I131" s="8"/>
      <c r="J131" s="129">
        <f t="shared" si="9"/>
        <v>35110.63987301648</v>
      </c>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43">
        <f t="shared" si="8"/>
        <v>0.54310240739029014</v>
      </c>
      <c r="F132" s="71">
        <f t="shared" si="5"/>
        <v>54.310240739029013</v>
      </c>
      <c r="G132" s="84">
        <f t="shared" si="6"/>
        <v>555.59376276026683</v>
      </c>
      <c r="H132" s="43"/>
      <c r="I132" s="8"/>
      <c r="J132" s="129">
        <f t="shared" si="9"/>
        <v>35592.216268322663</v>
      </c>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43">
        <f t="shared" si="8"/>
        <v>0.55045693269912555</v>
      </c>
      <c r="F133" s="71">
        <f t="shared" si="5"/>
        <v>55.045693269912555</v>
      </c>
      <c r="G133" s="84">
        <f t="shared" si="6"/>
        <v>563.11744215120541</v>
      </c>
      <c r="H133" s="43"/>
      <c r="I133" s="8"/>
      <c r="J133" s="129">
        <f t="shared" si="9"/>
        <v>36074.19508443719</v>
      </c>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43">
        <f t="shared" si="8"/>
        <v>0.55781719660723172</v>
      </c>
      <c r="F134" s="71">
        <f t="shared" si="5"/>
        <v>55.781719660723169</v>
      </c>
      <c r="G134" s="84">
        <f t="shared" si="6"/>
        <v>570.64699212919811</v>
      </c>
      <c r="H134" s="43"/>
      <c r="I134" s="8"/>
      <c r="J134" s="129">
        <f t="shared" si="9"/>
        <v>36556.549979654934</v>
      </c>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43">
        <f t="shared" si="8"/>
        <v>0.5651828229027831</v>
      </c>
      <c r="F135" s="71">
        <f t="shared" si="5"/>
        <v>56.518282290278307</v>
      </c>
      <c r="G135" s="84">
        <f t="shared" si="6"/>
        <v>578.18202782954711</v>
      </c>
      <c r="H135" s="43"/>
      <c r="I135" s="8"/>
      <c r="J135" s="129">
        <f t="shared" si="9"/>
        <v>37039.256298933891</v>
      </c>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f>0.18*(2^2.5)</f>
        <v>1.0182337649086284</v>
      </c>
      <c r="E136" s="43">
        <f t="shared" si="8"/>
        <v>0.57255345953656678</v>
      </c>
      <c r="F136" s="71">
        <f t="shared" si="5"/>
        <v>57.255345953656679</v>
      </c>
      <c r="G136" s="84">
        <f t="shared" si="6"/>
        <v>585.72218910590777</v>
      </c>
      <c r="H136" s="43"/>
      <c r="I136" s="8"/>
      <c r="J136" s="129">
        <f t="shared" si="9"/>
        <v>37522.290970728907</v>
      </c>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43">
        <f t="shared" si="8"/>
        <v>0.57992877713450608</v>
      </c>
      <c r="F137" s="71">
        <f t="shared" si="5"/>
        <v>57.992877713450611</v>
      </c>
      <c r="G137" s="84">
        <f t="shared" si="6"/>
        <v>593.26713900859977</v>
      </c>
      <c r="H137" s="43"/>
      <c r="I137" s="8"/>
      <c r="J137" s="129">
        <f t="shared" si="9"/>
        <v>38005.632409509853</v>
      </c>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43">
        <f t="shared" si="8"/>
        <v>0.5873084675934197</v>
      </c>
      <c r="F138" s="71">
        <f t="shared" si="5"/>
        <v>58.730846759341972</v>
      </c>
      <c r="G138" s="84">
        <f t="shared" si="6"/>
        <v>600.81656234806837</v>
      </c>
      <c r="H138" s="43"/>
      <c r="I138" s="8"/>
      <c r="J138" s="129">
        <f t="shared" si="9"/>
        <v>38489.260423734762</v>
      </c>
      <c r="L138" s="8"/>
      <c r="M138" s="8"/>
      <c r="N138" s="8"/>
      <c r="O138" s="43">
        <f>(0.24719*LOG10(5.555556*J138+0.052272))+0.385537</f>
        <v>1.7030763116512333</v>
      </c>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43">
        <f t="shared" si="8"/>
        <v>0.59469224275645549</v>
      </c>
      <c r="F139" s="71">
        <f t="shared" si="5"/>
        <v>59.469224275645551</v>
      </c>
      <c r="G139" s="84">
        <f t="shared" si="6"/>
        <v>608.370164339854</v>
      </c>
      <c r="H139" s="43"/>
      <c r="I139" s="8"/>
      <c r="J139" s="129">
        <f t="shared" si="9"/>
        <v>38973.156129044313</v>
      </c>
      <c r="L139" s="8"/>
      <c r="M139" s="8"/>
      <c r="N139" s="8"/>
      <c r="O139" s="43">
        <f>(0.24719*LOG10(5.555556*J139+0.052272))+0.385537</f>
        <v>1.7044175670237594</v>
      </c>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43">
        <f t="shared" si="8"/>
        <v>0.60207983316465319</v>
      </c>
      <c r="F140" s="71">
        <f t="shared" si="5"/>
        <v>60.207983316465317</v>
      </c>
      <c r="G140" s="84">
        <f t="shared" si="6"/>
        <v>615.92766932744019</v>
      </c>
      <c r="H140" s="43"/>
      <c r="I140" s="8"/>
      <c r="J140" s="129">
        <f t="shared" si="9"/>
        <v>39457.301866445545</v>
      </c>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43">
        <f t="shared" si="8"/>
        <v>0.60947098688109358</v>
      </c>
      <c r="F141" s="71">
        <f t="shared" si="5"/>
        <v>60.947098688109357</v>
      </c>
      <c r="G141" s="84">
        <f t="shared" si="6"/>
        <v>623.48881957935873</v>
      </c>
      <c r="H141" s="43"/>
      <c r="I141" s="8"/>
      <c r="J141" s="129">
        <f t="shared" si="9"/>
        <v>39941.681125252471</v>
      </c>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43">
        <f t="shared" si="8"/>
        <v>0.6168654683841519</v>
      </c>
      <c r="F142" s="71">
        <f t="shared" si="5"/>
        <v>61.68654683841519</v>
      </c>
      <c r="G142" s="84">
        <f t="shared" si="6"/>
        <v>631.05337415698739</v>
      </c>
      <c r="H142" s="43"/>
      <c r="I142" s="8"/>
      <c r="J142" s="129">
        <f t="shared" si="9"/>
        <v>40426.278470555393</v>
      </c>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43">
        <f t="shared" si="8"/>
        <v>0.6242630575264283</v>
      </c>
      <c r="F143" s="71">
        <f t="shared" si="5"/>
        <v>62.426305752642833</v>
      </c>
      <c r="G143" s="84">
        <f t="shared" si="6"/>
        <v>638.6211078495362</v>
      </c>
      <c r="H143" s="43"/>
      <c r="I143" s="8"/>
      <c r="J143" s="129">
        <f t="shared" si="9"/>
        <v>40911.079474994476</v>
      </c>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43">
        <f t="shared" si="8"/>
        <v>0.63166354855601314</v>
      </c>
      <c r="F144" s="71">
        <f t="shared" si="5"/>
        <v>63.166354855601313</v>
      </c>
      <c r="G144" s="84">
        <f t="shared" si="6"/>
        <v>646.19181017280141</v>
      </c>
      <c r="H144" s="43"/>
      <c r="I144" s="8"/>
      <c r="J144" s="129">
        <f t="shared" si="9"/>
        <v>41396.070654618321</v>
      </c>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43">
        <f t="shared" si="8"/>
        <v>0.63906674919684736</v>
      </c>
      <c r="F145" s="71">
        <f t="shared" si="5"/>
        <v>63.906674919684733</v>
      </c>
      <c r="G145" s="84">
        <f t="shared" si="6"/>
        <v>653.7652844283748</v>
      </c>
      <c r="H145" s="43"/>
      <c r="I145" s="8"/>
      <c r="J145" s="129">
        <f t="shared" si="9"/>
        <v>41881.239408615394</v>
      </c>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43">
        <f t="shared" si="8"/>
        <v>0.64647247978501887</v>
      </c>
      <c r="F146" s="71">
        <f t="shared" si="5"/>
        <v>64.647247978501881</v>
      </c>
      <c r="G146" s="84">
        <f t="shared" si="6"/>
        <v>661.34134682007425</v>
      </c>
      <c r="H146" s="43"/>
      <c r="I146" s="8"/>
      <c r="J146" s="129">
        <f t="shared" si="9"/>
        <v>42366.573962711213</v>
      </c>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43">
        <f t="shared" si="8"/>
        <v>0.6538805724579756</v>
      </c>
      <c r="F147" s="71">
        <f t="shared" si="5"/>
        <v>65.388057245797555</v>
      </c>
      <c r="G147" s="84">
        <f t="shared" si="6"/>
        <v>668.91982562450903</v>
      </c>
      <c r="H147" s="43"/>
      <c r="I147" s="8"/>
      <c r="J147" s="129">
        <f t="shared" si="9"/>
        <v>42852.063316033433</v>
      </c>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43">
        <f t="shared" si="8"/>
        <v>0.66129087039372114</v>
      </c>
      <c r="F148" s="71">
        <f t="shared" si="5"/>
        <v>66.129087039372109</v>
      </c>
      <c r="G148" s="84">
        <f t="shared" si="6"/>
        <v>676.50056041277674</v>
      </c>
      <c r="H148" s="43"/>
      <c r="I148" s="8"/>
      <c r="J148" s="129">
        <f t="shared" si="9"/>
        <v>43337.697191252511</v>
      </c>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43">
        <f t="shared" si="8"/>
        <v>0.66870322709720065</v>
      </c>
      <c r="F149" s="71">
        <f t="shared" si="5"/>
        <v>66.870322709720071</v>
      </c>
      <c r="G149" s="84">
        <f t="shared" si="6"/>
        <v>684.08340132043622</v>
      </c>
      <c r="H149" s="43"/>
      <c r="I149" s="8"/>
      <c r="J149" s="129">
        <f t="shared" si="9"/>
        <v>43823.465987815041</v>
      </c>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43">
        <f t="shared" si="8"/>
        <v>0.67611750573118456</v>
      </c>
      <c r="F150" s="71">
        <f t="shared" si="5"/>
        <v>67.611750573118456</v>
      </c>
      <c r="G150" s="84">
        <f t="shared" si="6"/>
        <v>691.66820836300178</v>
      </c>
      <c r="H150" s="43"/>
      <c r="I150" s="8"/>
      <c r="J150" s="129">
        <f t="shared" si="9"/>
        <v>44309.360738093179</v>
      </c>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43">
        <f t="shared" si="8"/>
        <v>0.68353357848909568</v>
      </c>
      <c r="F151" s="71">
        <f t="shared" si="5"/>
        <v>68.353357848909567</v>
      </c>
      <c r="G151" s="84">
        <f t="shared" si="6"/>
        <v>699.25485079434486</v>
      </c>
      <c r="H151" s="43"/>
      <c r="I151" s="8"/>
      <c r="J151" s="129">
        <f t="shared" si="9"/>
        <v>44795.373066282882</v>
      </c>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43">
        <f t="shared" si="8"/>
        <v>0.69095132600732856</v>
      </c>
      <c r="F152" s="71">
        <f t="shared" si="5"/>
        <v>69.095132600732853</v>
      </c>
      <c r="G152" s="84">
        <f t="shared" si="6"/>
        <v>706.84320650549716</v>
      </c>
      <c r="H152" s="43"/>
      <c r="I152" s="8"/>
      <c r="J152" s="129">
        <f t="shared" si="9"/>
        <v>45281.495149890274</v>
      </c>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43">
        <f t="shared" si="8"/>
        <v>0.6983706368147411</v>
      </c>
      <c r="F153" s="71">
        <f t="shared" si="5"/>
        <v>69.837063681474106</v>
      </c>
      <c r="G153" s="84">
        <f t="shared" si="6"/>
        <v>714.43316146148015</v>
      </c>
      <c r="H153" s="43"/>
      <c r="I153" s="8"/>
      <c r="J153" s="129">
        <f t="shared" si="9"/>
        <v>45767.719683654061</v>
      </c>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43">
        <f t="shared" si="8"/>
        <v>0.70579140681710073</v>
      </c>
      <c r="F154" s="71">
        <f t="shared" si="5"/>
        <v>70.579140681710072</v>
      </c>
      <c r="G154" s="84">
        <f t="shared" si="6"/>
        <v>722.02460917389408</v>
      </c>
      <c r="H154" s="43"/>
      <c r="I154" s="8"/>
      <c r="J154" s="129">
        <f t="shared" si="9"/>
        <v>46254.0398457587</v>
      </c>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43">
        <f t="shared" si="8"/>
        <v>0.71321353881439464</v>
      </c>
      <c r="F155" s="71">
        <f t="shared" si="5"/>
        <v>71.321353881439464</v>
      </c>
      <c r="G155" s="84">
        <f t="shared" si="6"/>
        <v>729.61745020712567</v>
      </c>
      <c r="H155" s="43"/>
      <c r="I155" s="8"/>
      <c r="J155" s="129">
        <f t="shared" si="9"/>
        <v>46740.449266201351</v>
      </c>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43">
        <f t="shared" si="8"/>
        <v>0.72063694204900974</v>
      </c>
      <c r="F156" s="71">
        <f t="shared" si="5"/>
        <v>72.063694204900969</v>
      </c>
      <c r="G156" s="84">
        <f t="shared" si="6"/>
        <v>737.21159171613692</v>
      </c>
      <c r="H156" s="43"/>
      <c r="I156" s="8"/>
      <c r="J156" s="129">
        <f t="shared" si="9"/>
        <v>47226.941997181857</v>
      </c>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43">
        <f t="shared" si="8"/>
        <v>0.72806153178290478</v>
      </c>
      <c r="F157" s="71">
        <f t="shared" si="5"/>
        <v>72.806153178290472</v>
      </c>
      <c r="G157" s="84">
        <f t="shared" si="6"/>
        <v>744.80694701391155</v>
      </c>
      <c r="H157" s="43"/>
      <c r="I157" s="8"/>
      <c r="J157" s="129">
        <f t="shared" si="9"/>
        <v>47713.512485392668</v>
      </c>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43">
        <f t="shared" si="8"/>
        <v>0.73548722890199303</v>
      </c>
      <c r="F158" s="71">
        <f t="shared" si="5"/>
        <v>73.548722890199301</v>
      </c>
      <c r="G158" s="84">
        <f t="shared" si="6"/>
        <v>752.40343516673886</v>
      </c>
      <c r="H158" s="43"/>
      <c r="I158" s="8"/>
      <c r="J158" s="129">
        <f t="shared" si="9"/>
        <v>48200.155546092115</v>
      </c>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43">
        <f t="shared" si="8"/>
        <v>0.74291395954605477</v>
      </c>
      <c r="F159" s="71">
        <f t="shared" si="5"/>
        <v>74.291395954605477</v>
      </c>
      <c r="G159" s="84">
        <f t="shared" si="6"/>
        <v>760.00098061561403</v>
      </c>
      <c r="H159" s="43"/>
      <c r="I159" s="8"/>
      <c r="J159" s="129">
        <f t="shared" si="9"/>
        <v>48686.866338850698</v>
      </c>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43">
        <f t="shared" si="8"/>
        <v>0.75034165476259418</v>
      </c>
      <c r="F160" s="71">
        <f t="shared" si="5"/>
        <v>75.034165476259417</v>
      </c>
      <c r="G160" s="84">
        <f t="shared" si="6"/>
        <v>767.59951282213387</v>
      </c>
      <c r="H160" s="43"/>
      <c r="I160" s="8"/>
      <c r="J160" s="129">
        <f t="shared" ref="J160:J202" si="10">E160*(2^16-1)</f>
        <v>49173.64034486661</v>
      </c>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43">
        <f t="shared" si="8"/>
        <v>0.75777025018314315</v>
      </c>
      <c r="F161" s="71">
        <f t="shared" si="5"/>
        <v>75.777025018314319</v>
      </c>
      <c r="G161" s="84">
        <f t="shared" si="6"/>
        <v>775.19896593735541</v>
      </c>
      <c r="H161" s="43"/>
      <c r="I161" s="8"/>
      <c r="J161" s="129">
        <f t="shared" si="10"/>
        <v>49660.473345752289</v>
      </c>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43">
        <f t="shared" si="8"/>
        <v>0.76519968572060515</v>
      </c>
      <c r="F162" s="71">
        <f t="shared" si="5"/>
        <v>76.51996857206052</v>
      </c>
      <c r="G162" s="84">
        <f t="shared" si="6"/>
        <v>782.79927849217904</v>
      </c>
      <c r="H162" s="43"/>
      <c r="I162" s="8"/>
      <c r="J162" s="129">
        <f t="shared" si="10"/>
        <v>50147.361403699855</v>
      </c>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43">
        <f t="shared" si="8"/>
        <v>0.77262990528631059</v>
      </c>
      <c r="F163" s="71">
        <f t="shared" si="5"/>
        <v>77.262990528631065</v>
      </c>
      <c r="G163" s="84">
        <f t="shared" si="6"/>
        <v>790.40039310789575</v>
      </c>
      <c r="H163" s="43"/>
      <c r="I163" s="8"/>
      <c r="J163" s="129">
        <f t="shared" si="10"/>
        <v>50634.300842938363</v>
      </c>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43">
        <f t="shared" si="8"/>
        <v>0.78006085652553314</v>
      </c>
      <c r="F164" s="71">
        <f t="shared" si="5"/>
        <v>78.00608565255331</v>
      </c>
      <c r="G164" s="84">
        <f t="shared" si="6"/>
        <v>798.00225622562039</v>
      </c>
      <c r="H164" s="43"/>
      <c r="I164" s="8"/>
      <c r="J164" s="129">
        <f t="shared" si="10"/>
        <v>51121.288232400817</v>
      </c>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43">
        <f t="shared" si="8"/>
        <v>0.78749249057029813</v>
      </c>
      <c r="F165" s="71">
        <f t="shared" si="5"/>
        <v>78.749249057029814</v>
      </c>
      <c r="G165" s="84">
        <f t="shared" si="6"/>
        <v>805.60481785341494</v>
      </c>
      <c r="H165" s="43"/>
      <c r="I165" s="8"/>
      <c r="J165" s="129">
        <f t="shared" si="10"/>
        <v>51608.320369524488</v>
      </c>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43">
        <f t="shared" si="8"/>
        <v>0.7949247618083739</v>
      </c>
      <c r="F166" s="71">
        <f t="shared" si="5"/>
        <v>79.492476180837386</v>
      </c>
      <c r="G166" s="84">
        <f t="shared" si="6"/>
        <v>813.2080313299665</v>
      </c>
      <c r="H166" s="43"/>
      <c r="I166" s="8"/>
      <c r="J166" s="129">
        <f t="shared" si="10"/>
        <v>52095.394265111783</v>
      </c>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43">
        <f t="shared" si="8"/>
        <v>0.80235762766741381</v>
      </c>
      <c r="F167" s="71">
        <f t="shared" si="5"/>
        <v>80.235762766741374</v>
      </c>
      <c r="G167" s="84">
        <f t="shared" si="6"/>
        <v>820.81185310376429</v>
      </c>
      <c r="H167" s="43"/>
      <c r="I167" s="8"/>
      <c r="J167" s="129">
        <f t="shared" si="10"/>
        <v>52582.507129183963</v>
      </c>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43">
        <f t="shared" si="8"/>
        <v>0.8097910484132731</v>
      </c>
      <c r="F168" s="71">
        <f t="shared" si="5"/>
        <v>80.979104841327313</v>
      </c>
      <c r="G168" s="84">
        <f t="shared" si="6"/>
        <v>828.41624252677843</v>
      </c>
      <c r="H168" s="43"/>
      <c r="I168" s="8"/>
      <c r="J168" s="129">
        <f t="shared" si="10"/>
        <v>53069.656357763852</v>
      </c>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43">
        <f t="shared" si="8"/>
        <v>0.81722498696158763</v>
      </c>
      <c r="F169" s="71">
        <f t="shared" si="5"/>
        <v>81.722498696158766</v>
      </c>
      <c r="G169" s="84">
        <f t="shared" si="6"/>
        <v>836.02116166170413</v>
      </c>
      <c r="H169" s="43"/>
      <c r="I169" s="8"/>
      <c r="J169" s="129">
        <f t="shared" si="10"/>
        <v>53556.839520527647</v>
      </c>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43">
        <f t="shared" si="8"/>
        <v>0.8246594087017618</v>
      </c>
      <c r="F170" s="71">
        <f t="shared" si="5"/>
        <v>82.465940870176183</v>
      </c>
      <c r="G170" s="84">
        <f t="shared" si="6"/>
        <v>843.62657510190229</v>
      </c>
      <c r="H170" s="43"/>
      <c r="I170" s="8"/>
      <c r="J170" s="129">
        <f t="shared" si="10"/>
        <v>54044.054349269958</v>
      </c>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43">
        <f t="shared" si="8"/>
        <v>0.83209428133255159</v>
      </c>
      <c r="F171" s="71">
        <f t="shared" si="5"/>
        <v>83.209428133255159</v>
      </c>
      <c r="G171" s="84">
        <f t="shared" si="6"/>
        <v>851.23244980320032</v>
      </c>
      <c r="H171" s="43"/>
      <c r="I171" s="8"/>
      <c r="J171" s="129">
        <f t="shared" si="10"/>
        <v>54531.298727128771</v>
      </c>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43">
        <f t="shared" si="8"/>
        <v>0.83952957470850409</v>
      </c>
      <c r="F172" s="71">
        <f t="shared" si="5"/>
        <v>83.952957470850407</v>
      </c>
      <c r="G172" s="84">
        <f t="shared" si="6"/>
        <v>858.83875492679965</v>
      </c>
      <c r="H172" s="43"/>
      <c r="I172" s="8"/>
      <c r="J172" s="129">
        <f t="shared" si="10"/>
        <v>55018.570678521814</v>
      </c>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43">
        <f t="shared" si="8"/>
        <v>0.84696526069653999</v>
      </c>
      <c r="F173" s="71">
        <f t="shared" si="5"/>
        <v>84.696526069653999</v>
      </c>
      <c r="G173" s="84">
        <f t="shared" si="6"/>
        <v>866.44546169256046</v>
      </c>
      <c r="H173" s="43"/>
      <c r="I173" s="8"/>
      <c r="J173" s="129">
        <f t="shared" si="10"/>
        <v>55505.86835974775</v>
      </c>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43">
        <f t="shared" si="8"/>
        <v>0.8544013130420085</v>
      </c>
      <c r="F174" s="71">
        <f t="shared" si="5"/>
        <v>85.440131304200847</v>
      </c>
      <c r="G174" s="84">
        <f t="shared" si="6"/>
        <v>874.05254324197472</v>
      </c>
      <c r="H174" s="43"/>
      <c r="I174" s="8"/>
      <c r="J174" s="129">
        <f t="shared" si="10"/>
        <v>55993.190050208024</v>
      </c>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43">
        <f t="shared" si="8"/>
        <v>0.86183770724361874</v>
      </c>
      <c r="F175" s="71">
        <f t="shared" si="5"/>
        <v>86.183770724361878</v>
      </c>
      <c r="G175" s="84">
        <f t="shared" si="6"/>
        <v>881.65997451022201</v>
      </c>
      <c r="H175" s="43"/>
      <c r="I175" s="8"/>
      <c r="J175" s="129">
        <f t="shared" si="10"/>
        <v>56480.534144210556</v>
      </c>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43">
        <f t="shared" si="8"/>
        <v>0.86927442043664549</v>
      </c>
      <c r="F176" s="71">
        <f t="shared" si="5"/>
        <v>86.927442043664556</v>
      </c>
      <c r="G176" s="84">
        <f t="shared" si="6"/>
        <v>889.2677321066883</v>
      </c>
      <c r="H176" s="43"/>
      <c r="I176" s="8"/>
      <c r="J176" s="129">
        <f t="shared" si="10"/>
        <v>56967.899143315561</v>
      </c>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43">
        <f t="shared" si="8"/>
        <v>0.87671143128387774</v>
      </c>
      <c r="F177" s="71">
        <f t="shared" si="5"/>
        <v>87.671143128387769</v>
      </c>
      <c r="G177" s="84">
        <f t="shared" si="6"/>
        <v>896.87579420340694</v>
      </c>
      <c r="H177" s="43"/>
      <c r="I177" s="8"/>
      <c r="J177" s="129">
        <f t="shared" si="10"/>
        <v>57455.283649188925</v>
      </c>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43">
        <f t="shared" si="8"/>
        <v>0.88414871987380095</v>
      </c>
      <c r="F178" s="71">
        <f t="shared" si="5"/>
        <v>88.414871987380096</v>
      </c>
      <c r="G178" s="84">
        <f t="shared" si="6"/>
        <v>904.48414043089838</v>
      </c>
      <c r="H178" s="43"/>
      <c r="I178" s="8"/>
      <c r="J178" s="129">
        <f t="shared" si="10"/>
        <v>57942.686356929546</v>
      </c>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43">
        <f t="shared" si="8"/>
        <v>0.89158626762553317</v>
      </c>
      <c r="F179" s="71">
        <f t="shared" si="5"/>
        <v>89.158626762553311</v>
      </c>
      <c r="G179" s="84">
        <f t="shared" si="6"/>
        <v>912.09275178092048</v>
      </c>
      <c r="H179" s="43"/>
      <c r="I179" s="8"/>
      <c r="J179" s="129">
        <f t="shared" si="10"/>
        <v>58430.10604883932</v>
      </c>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43">
        <f t="shared" si="8"/>
        <v>0.89902405720007927</v>
      </c>
      <c r="F180" s="71">
        <f t="shared" si="5"/>
        <v>89.902405720007934</v>
      </c>
      <c r="G180" s="84">
        <f t="shared" si="6"/>
        <v>919.70161051568107</v>
      </c>
      <c r="H180" s="43"/>
      <c r="I180" s="8"/>
      <c r="J180" s="129">
        <f t="shared" si="10"/>
        <v>58917.541588607193</v>
      </c>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43">
        <f t="shared" si="8"/>
        <v>0.90646207241747478</v>
      </c>
      <c r="F181" s="71">
        <f t="shared" si="5"/>
        <v>90.646207241747476</v>
      </c>
      <c r="G181" s="84">
        <f t="shared" si="6"/>
        <v>927.31070008307665</v>
      </c>
      <c r="H181" s="43"/>
      <c r="I181" s="8"/>
      <c r="J181" s="129">
        <f t="shared" si="10"/>
        <v>59404.991915879211</v>
      </c>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43">
        <f t="shared" si="8"/>
        <v>0.91390029817944463</v>
      </c>
      <c r="F182" s="71">
        <f t="shared" si="5"/>
        <v>91.390029817944466</v>
      </c>
      <c r="G182" s="84">
        <f t="shared" si="6"/>
        <v>934.92000503757185</v>
      </c>
      <c r="H182" s="43"/>
      <c r="I182" s="8"/>
      <c r="J182" s="129">
        <f t="shared" si="10"/>
        <v>59892.4560411899</v>
      </c>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43">
        <f t="shared" si="8"/>
        <v>0.92133872039720255</v>
      </c>
      <c r="F183" s="71">
        <f t="shared" si="5"/>
        <v>92.133872039720259</v>
      </c>
      <c r="G183" s="84">
        <f t="shared" si="6"/>
        <v>942.52951096633819</v>
      </c>
      <c r="H183" s="43"/>
      <c r="I183" s="8"/>
      <c r="J183" s="129">
        <f t="shared" si="10"/>
        <v>60379.933041230666</v>
      </c>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43">
        <f t="shared" si="8"/>
        <v>0.92877732592405449</v>
      </c>
      <c r="F184" s="71">
        <f t="shared" si="5"/>
        <v>92.877732592405451</v>
      </c>
      <c r="G184" s="84">
        <f t="shared" si="6"/>
        <v>950.13920442030769</v>
      </c>
      <c r="H184" s="43"/>
      <c r="I184" s="8"/>
      <c r="J184" s="129">
        <f t="shared" si="10"/>
        <v>60867.422054432907</v>
      </c>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43">
        <f t="shared" si="8"/>
        <v>0.93621610249248932</v>
      </c>
      <c r="F185" s="71">
        <f t="shared" si="5"/>
        <v>93.621610249248931</v>
      </c>
      <c r="G185" s="84">
        <f t="shared" si="6"/>
        <v>957.74907284981657</v>
      </c>
      <c r="H185" s="43"/>
      <c r="I185" s="8"/>
      <c r="J185" s="129">
        <f t="shared" si="10"/>
        <v>61354.922276845289</v>
      </c>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43">
        <f t="shared" si="8"/>
        <v>0.94365503865546063</v>
      </c>
      <c r="F186" s="71">
        <f t="shared" si="5"/>
        <v>94.36550386554606</v>
      </c>
      <c r="G186" s="84">
        <f t="shared" si="6"/>
        <v>965.35910454453619</v>
      </c>
      <c r="H186" s="43"/>
      <c r="I186" s="8"/>
      <c r="J186" s="129">
        <f t="shared" si="10"/>
        <v>61842.432958285615</v>
      </c>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43">
        <f t="shared" si="8"/>
        <v>0.9510941237315772</v>
      </c>
      <c r="F187" s="71">
        <f t="shared" si="5"/>
        <v>95.109412373157724</v>
      </c>
      <c r="G187" s="84">
        <f t="shared" si="6"/>
        <v>972.96928857740352</v>
      </c>
      <c r="H187" s="43"/>
      <c r="I187" s="8"/>
      <c r="J187" s="129">
        <f t="shared" si="10"/>
        <v>62329.953398748912</v>
      </c>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43">
        <f t="shared" si="8"/>
        <v>0.95853334775395038</v>
      </c>
      <c r="F188" s="71">
        <f t="shared" si="5"/>
        <v>95.853334775395041</v>
      </c>
      <c r="G188" s="84">
        <f t="shared" si="6"/>
        <v>980.57961475229126</v>
      </c>
      <c r="H188" s="43"/>
      <c r="I188" s="8"/>
      <c r="J188" s="129">
        <f t="shared" si="10"/>
        <v>62817.482945055141</v>
      </c>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43">
        <f t="shared" si="8"/>
        <v>0.9659727014224474</v>
      </c>
      <c r="F189" s="71">
        <f t="shared" si="5"/>
        <v>96.597270142244739</v>
      </c>
      <c r="G189" s="84">
        <f t="shared" si="6"/>
        <v>988.19007355516374</v>
      </c>
      <c r="H189" s="43"/>
      <c r="I189" s="8"/>
      <c r="J189" s="129">
        <f t="shared" si="10"/>
        <v>63305.02098772009</v>
      </c>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43">
        <f t="shared" si="8"/>
        <v>0.97341217605913199</v>
      </c>
      <c r="F190" s="71">
        <f t="shared" si="5"/>
        <v>97.341217605913201</v>
      </c>
      <c r="G190" s="84">
        <f t="shared" si="6"/>
        <v>995.80065610849203</v>
      </c>
      <c r="H190" s="43"/>
      <c r="I190" s="8"/>
      <c r="J190" s="129">
        <f t="shared" si="10"/>
        <v>63792.566958035219</v>
      </c>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43">
        <f t="shared" si="8"/>
        <v>0.98085176356667592</v>
      </c>
      <c r="F191" s="71">
        <f t="shared" si="5"/>
        <v>98.085176356667588</v>
      </c>
      <c r="G191" s="84">
        <f t="shared" si="6"/>
        <v>1003.4113541287095</v>
      </c>
      <c r="H191" s="43"/>
      <c r="I191" s="8"/>
      <c r="J191" s="129">
        <f t="shared" si="10"/>
        <v>64280.120325342104</v>
      </c>
      <c r="K191" s="8"/>
      <c r="L191" s="8"/>
      <c r="M191" s="8"/>
      <c r="N191" s="8"/>
      <c r="O191" s="8"/>
      <c r="P191" s="8"/>
      <c r="Q191" s="8"/>
      <c r="R191" s="8"/>
      <c r="S191" s="8"/>
      <c r="T191" s="8"/>
      <c r="U191" s="8"/>
      <c r="V191" s="8"/>
      <c r="W191" s="8"/>
      <c r="X191" s="8"/>
      <c r="Y191" s="8"/>
      <c r="Z191" s="8"/>
      <c r="AA191" s="8"/>
      <c r="AB191" s="8"/>
      <c r="AC191" s="8"/>
    </row>
    <row r="192" spans="1:29" ht="15">
      <c r="A192" s="8"/>
      <c r="B192" s="69">
        <v>162</v>
      </c>
      <c r="C192" s="43" t="s">
        <v>388</v>
      </c>
      <c r="D192" s="43">
        <f>0.18*2^8.1</f>
        <v>49.387321153672374</v>
      </c>
      <c r="E192" s="43">
        <f t="shared" si="8"/>
        <v>0.98829145638954463</v>
      </c>
      <c r="F192" s="71">
        <f t="shared" si="5"/>
        <v>98.829145638954458</v>
      </c>
      <c r="G192" s="84">
        <f t="shared" si="6"/>
        <v>1011.0221598865041</v>
      </c>
      <c r="H192" s="43"/>
      <c r="I192" s="8"/>
      <c r="J192" s="129">
        <f t="shared" si="10"/>
        <v>64767.680594488811</v>
      </c>
      <c r="K192" s="8"/>
      <c r="L192" s="8"/>
      <c r="M192" s="8"/>
      <c r="N192" s="8"/>
      <c r="O192" s="8"/>
      <c r="P192" s="8"/>
      <c r="Q192" s="8"/>
      <c r="R192" s="8"/>
      <c r="S192" s="8"/>
      <c r="T192" s="8"/>
      <c r="U192" s="8"/>
      <c r="V192" s="8"/>
      <c r="W192" s="8"/>
      <c r="X192" s="8"/>
      <c r="Y192" s="8"/>
      <c r="Z192" s="8"/>
      <c r="AA192" s="8"/>
      <c r="AB192" s="8"/>
      <c r="AC192" s="8"/>
    </row>
    <row r="193" spans="1:29" ht="15">
      <c r="A193" s="8"/>
      <c r="B193" s="69">
        <v>163</v>
      </c>
      <c r="C193" s="43" t="s">
        <v>389</v>
      </c>
      <c r="D193" s="43">
        <f>0.18*2^8.2</f>
        <v>52.932020198263317</v>
      </c>
      <c r="E193" s="43">
        <f t="shared" si="8"/>
        <v>0.99573124747777619</v>
      </c>
      <c r="F193" s="71">
        <f t="shared" si="5"/>
        <v>99.573124747777626</v>
      </c>
      <c r="G193" s="84">
        <f t="shared" si="6"/>
        <v>1018.633066169765</v>
      </c>
      <c r="H193" s="43"/>
      <c r="I193" s="8"/>
      <c r="J193" s="129">
        <f t="shared" si="10"/>
        <v>65255.247303456061</v>
      </c>
      <c r="K193" s="8"/>
      <c r="L193" s="8"/>
      <c r="M193" s="8"/>
      <c r="N193" s="8"/>
      <c r="O193" s="8"/>
      <c r="P193" s="8"/>
      <c r="Q193" s="8"/>
      <c r="R193" s="8"/>
      <c r="S193" s="8"/>
      <c r="T193" s="8"/>
      <c r="U193" s="8"/>
      <c r="V193" s="8"/>
      <c r="W193" s="8"/>
      <c r="X193" s="8"/>
      <c r="Y193" s="8"/>
      <c r="Z193" s="8"/>
      <c r="AA193" s="8"/>
      <c r="AB193" s="8"/>
      <c r="AC193" s="8"/>
    </row>
    <row r="194" spans="1:29" ht="15">
      <c r="A194" s="8"/>
      <c r="B194" s="69">
        <v>164</v>
      </c>
      <c r="C194" s="43" t="s">
        <v>390</v>
      </c>
      <c r="D194" s="43">
        <f>0.18*2^8.3</f>
        <v>56.731134566933783</v>
      </c>
      <c r="E194" s="43">
        <f t="shared" si="8"/>
        <v>1.0031711302531754</v>
      </c>
      <c r="F194" s="71">
        <f t="shared" si="5"/>
        <v>100.31711302531754</v>
      </c>
      <c r="G194" s="84">
        <f t="shared" si="6"/>
        <v>1026.2440662489985</v>
      </c>
      <c r="H194" s="43"/>
      <c r="I194" s="8"/>
      <c r="J194" s="129">
        <f t="shared" si="10"/>
        <v>65742.820021141844</v>
      </c>
      <c r="K194" s="8"/>
      <c r="L194" s="8"/>
      <c r="M194" s="8"/>
      <c r="N194" s="8"/>
      <c r="O194" s="8"/>
      <c r="P194" s="8"/>
      <c r="Q194" s="8"/>
      <c r="R194" s="8"/>
      <c r="S194" s="8"/>
      <c r="T194" s="8"/>
      <c r="U194" s="8"/>
      <c r="V194" s="8"/>
      <c r="W194" s="8"/>
      <c r="X194" s="8"/>
      <c r="Y194" s="8"/>
      <c r="Z194" s="8"/>
      <c r="AA194" s="8"/>
      <c r="AB194" s="8"/>
      <c r="AC194" s="8"/>
    </row>
    <row r="195" spans="1:29" ht="15">
      <c r="A195" s="8"/>
      <c r="B195" s="69">
        <v>165</v>
      </c>
      <c r="C195" s="43" t="s">
        <v>391</v>
      </c>
      <c r="D195" s="43">
        <f>0.18*2^8.4</f>
        <v>60.802924528414955</v>
      </c>
      <c r="E195" s="43">
        <f t="shared" si="8"/>
        <v>1.010611098577765</v>
      </c>
      <c r="F195" s="71">
        <f t="shared" si="5"/>
        <v>101.0611098577765</v>
      </c>
      <c r="G195" s="84">
        <f t="shared" si="6"/>
        <v>1033.8551538450536</v>
      </c>
      <c r="H195" s="43"/>
      <c r="I195" s="8"/>
      <c r="J195" s="129">
        <f t="shared" si="10"/>
        <v>66230.398345293826</v>
      </c>
      <c r="K195" s="8"/>
      <c r="L195" s="8"/>
      <c r="M195" s="8"/>
      <c r="N195" s="8"/>
      <c r="O195" s="8"/>
      <c r="P195" s="8"/>
      <c r="Q195" s="8"/>
      <c r="R195" s="8"/>
      <c r="S195" s="8"/>
      <c r="T195" s="8"/>
      <c r="U195" s="8"/>
      <c r="V195" s="8"/>
      <c r="W195" s="8"/>
      <c r="X195" s="8"/>
      <c r="Y195" s="8"/>
      <c r="Z195" s="8"/>
      <c r="AA195" s="8"/>
      <c r="AB195" s="8"/>
      <c r="AC195" s="8"/>
    </row>
    <row r="196" spans="1:29" ht="15">
      <c r="A196" s="8"/>
      <c r="B196" s="69">
        <v>166</v>
      </c>
      <c r="C196" s="43" t="s">
        <v>392</v>
      </c>
      <c r="D196" s="43">
        <f>0.18*2^8.5</f>
        <v>65.166960954152216</v>
      </c>
      <c r="E196" s="43">
        <f t="shared" si="8"/>
        <v>1.0180511467243472</v>
      </c>
      <c r="F196" s="71">
        <f t="shared" si="5"/>
        <v>101.80511467243471</v>
      </c>
      <c r="G196" s="84">
        <f t="shared" si="6"/>
        <v>1041.4663230990072</v>
      </c>
      <c r="H196" s="43"/>
      <c r="I196" s="8"/>
      <c r="J196" s="129">
        <f t="shared" si="10"/>
        <v>66717.981900580096</v>
      </c>
      <c r="K196" s="8"/>
      <c r="L196" s="8"/>
      <c r="M196" s="8"/>
      <c r="N196" s="8"/>
      <c r="O196" s="8"/>
      <c r="P196" s="8"/>
      <c r="Q196" s="8"/>
      <c r="R196" s="8"/>
      <c r="S196" s="8"/>
      <c r="T196" s="8"/>
      <c r="U196" s="8"/>
      <c r="V196" s="8"/>
      <c r="W196" s="8"/>
      <c r="X196" s="8"/>
      <c r="Y196" s="8"/>
      <c r="Z196" s="8"/>
      <c r="AA196" s="8"/>
      <c r="AB196" s="8"/>
      <c r="AC196" s="8"/>
    </row>
    <row r="197" spans="1:29" ht="15">
      <c r="A197" s="8"/>
      <c r="B197" s="69">
        <v>167</v>
      </c>
      <c r="C197" s="43" t="s">
        <v>393</v>
      </c>
      <c r="D197" s="43">
        <f>0.18*2^8.6</f>
        <v>69.844219384799132</v>
      </c>
      <c r="E197" s="43">
        <f t="shared" si="8"/>
        <v>1.0254912693490268</v>
      </c>
      <c r="F197" s="71">
        <f t="shared" si="5"/>
        <v>102.54912693490267</v>
      </c>
      <c r="G197" s="84">
        <f t="shared" si="6"/>
        <v>1049.0775685440544</v>
      </c>
      <c r="H197" s="43"/>
      <c r="I197" s="8"/>
      <c r="J197" s="129">
        <f t="shared" si="10"/>
        <v>67205.570336788471</v>
      </c>
      <c r="K197" s="8"/>
      <c r="L197" s="8"/>
      <c r="M197" s="8"/>
      <c r="N197" s="8"/>
      <c r="O197" s="8"/>
      <c r="P197" s="8"/>
      <c r="Q197" s="8"/>
      <c r="R197" s="8"/>
      <c r="S197" s="8"/>
      <c r="T197" s="8"/>
      <c r="U197" s="8"/>
      <c r="V197" s="8"/>
      <c r="W197" s="8"/>
      <c r="X197" s="8"/>
      <c r="Y197" s="8"/>
      <c r="Z197" s="8"/>
      <c r="AA197" s="8"/>
      <c r="AB197" s="8"/>
      <c r="AC197" s="8"/>
    </row>
    <row r="198" spans="1:29" ht="15">
      <c r="A198" s="8"/>
      <c r="B198" s="69">
        <v>168</v>
      </c>
      <c r="C198" s="43" t="s">
        <v>394</v>
      </c>
      <c r="D198" s="43">
        <f>0.18*2^8.7</f>
        <v>74.85718084819058</v>
      </c>
      <c r="E198" s="43">
        <f t="shared" si="8"/>
        <v>1.0329314614655736</v>
      </c>
      <c r="F198" s="71">
        <f t="shared" si="5"/>
        <v>103.29314614655736</v>
      </c>
      <c r="G198" s="84">
        <f t="shared" si="6"/>
        <v>1056.6888850792818</v>
      </c>
      <c r="H198" s="43"/>
      <c r="I198" s="8"/>
      <c r="J198" s="129">
        <f t="shared" si="10"/>
        <v>67693.163327146365</v>
      </c>
      <c r="K198" s="8"/>
      <c r="L198" s="8"/>
      <c r="M198" s="8"/>
      <c r="N198" s="8"/>
      <c r="O198" s="8"/>
      <c r="P198" s="8"/>
      <c r="Q198" s="8"/>
      <c r="R198" s="8"/>
      <c r="S198" s="8"/>
      <c r="T198" s="8"/>
      <c r="U198" s="8"/>
      <c r="V198" s="8"/>
      <c r="W198" s="8"/>
      <c r="X198" s="8"/>
      <c r="Y198" s="8"/>
      <c r="Z198" s="8"/>
      <c r="AA198" s="8"/>
      <c r="AB198" s="8"/>
      <c r="AC198" s="8"/>
    </row>
    <row r="199" spans="1:29" ht="15">
      <c r="A199" s="8"/>
      <c r="B199" s="69">
        <v>169</v>
      </c>
      <c r="C199" s="43" t="s">
        <v>395</v>
      </c>
      <c r="D199" s="43">
        <f>0.18*2^8.8</f>
        <v>80.229939913370785</v>
      </c>
      <c r="E199" s="43">
        <f t="shared" si="8"/>
        <v>1.0403717184214964</v>
      </c>
      <c r="F199" s="71">
        <f t="shared" si="5"/>
        <v>104.03717184214965</v>
      </c>
      <c r="G199" s="84">
        <f t="shared" si="6"/>
        <v>1064.3002679451909</v>
      </c>
      <c r="H199" s="43"/>
      <c r="I199" s="8"/>
      <c r="J199" s="129">
        <f t="shared" si="10"/>
        <v>68180.760566752768</v>
      </c>
      <c r="K199" s="8"/>
      <c r="L199" s="8"/>
      <c r="M199" s="8"/>
      <c r="N199" s="8"/>
      <c r="O199" s="8"/>
      <c r="P199" s="8"/>
      <c r="Q199" s="8"/>
      <c r="R199" s="8"/>
      <c r="S199" s="8"/>
      <c r="T199" s="8"/>
      <c r="U199" s="8"/>
      <c r="V199" s="8"/>
      <c r="W199" s="8"/>
      <c r="X199" s="8"/>
      <c r="Y199" s="8"/>
      <c r="Z199" s="8"/>
      <c r="AA199" s="8"/>
      <c r="AB199" s="8"/>
      <c r="AC199" s="8"/>
    </row>
    <row r="200" spans="1:29" ht="15">
      <c r="A200" s="8"/>
      <c r="B200" s="69">
        <v>170</v>
      </c>
      <c r="C200" s="43" t="s">
        <v>396</v>
      </c>
      <c r="D200" s="43">
        <f>0.18*2^8.9</f>
        <v>85.98832050003216</v>
      </c>
      <c r="E200" s="43">
        <f t="shared" si="8"/>
        <v>1.0478120358757161</v>
      </c>
      <c r="F200" s="71">
        <f t="shared" si="5"/>
        <v>104.78120358757161</v>
      </c>
      <c r="G200" s="84">
        <f t="shared" si="6"/>
        <v>1071.9117127008576</v>
      </c>
      <c r="H200" s="43"/>
      <c r="I200" s="8"/>
      <c r="J200" s="129">
        <f t="shared" si="10"/>
        <v>68668.361771115058</v>
      </c>
      <c r="K200" s="8"/>
      <c r="L200" s="8"/>
      <c r="M200" s="8"/>
      <c r="N200" s="8"/>
      <c r="O200" s="8"/>
      <c r="P200" s="8"/>
      <c r="Q200" s="8"/>
      <c r="R200" s="8"/>
      <c r="S200" s="8"/>
      <c r="T200" s="8"/>
      <c r="U200" s="8"/>
      <c r="V200" s="8"/>
      <c r="W200" s="8"/>
      <c r="X200" s="8"/>
      <c r="Y200" s="8"/>
      <c r="Z200" s="8"/>
      <c r="AA200" s="8"/>
      <c r="AB200" s="8"/>
      <c r="AC200" s="8"/>
    </row>
    <row r="201" spans="1:29" ht="15">
      <c r="A201" s="8"/>
      <c r="B201" s="69">
        <v>171</v>
      </c>
      <c r="C201" s="43" t="s">
        <v>397</v>
      </c>
      <c r="D201" s="43">
        <f>0.18*2^9</f>
        <v>92.16</v>
      </c>
      <c r="E201" s="43">
        <f t="shared" si="8"/>
        <v>1.0552524097777298</v>
      </c>
      <c r="F201" s="71">
        <f t="shared" si="5"/>
        <v>105.52524097777298</v>
      </c>
      <c r="G201" s="84">
        <f t="shared" si="6"/>
        <v>1079.5232152026176</v>
      </c>
      <c r="H201" s="43"/>
      <c r="I201" s="8"/>
      <c r="J201" s="129">
        <f t="shared" si="10"/>
        <v>69155.966674783529</v>
      </c>
      <c r="K201" s="8"/>
      <c r="L201" s="8"/>
      <c r="M201" s="8"/>
      <c r="N201" s="8"/>
      <c r="O201" s="8"/>
      <c r="P201" s="8"/>
      <c r="Q201" s="8"/>
      <c r="R201" s="8"/>
      <c r="S201" s="8"/>
      <c r="T201" s="8"/>
      <c r="U201" s="8"/>
      <c r="V201" s="8"/>
      <c r="W201" s="8"/>
      <c r="X201" s="8"/>
      <c r="Y201" s="8"/>
      <c r="Z201" s="8"/>
      <c r="AA201" s="8"/>
      <c r="AB201" s="8"/>
      <c r="AC201" s="8"/>
    </row>
    <row r="202" spans="1:29" ht="15">
      <c r="A202" s="8"/>
      <c r="B202" s="69">
        <v>172</v>
      </c>
      <c r="C202" s="43" t="s">
        <v>398</v>
      </c>
      <c r="D202" s="43">
        <f>0.18*2^8.25735</f>
        <v>55.078555239939668</v>
      </c>
      <c r="E202" s="43">
        <f t="shared" si="8"/>
        <v>0.99999800943966954</v>
      </c>
      <c r="F202" s="71">
        <f t="shared" si="5"/>
        <v>99.99980094396696</v>
      </c>
      <c r="G202" s="84">
        <f t="shared" si="6"/>
        <v>1022.997963656782</v>
      </c>
      <c r="H202" s="43" t="s">
        <v>399</v>
      </c>
      <c r="I202" s="8"/>
      <c r="J202" s="129">
        <f t="shared" si="10"/>
        <v>65534.869548628747</v>
      </c>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1006"/>
  <sheetViews>
    <sheetView tabSelected="1" topLeftCell="A23" zoomScale="115" workbookViewId="0">
      <selection activeCell="H53" sqref="H53"/>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 min="13" max="13" width="15.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3" t="s">
        <v>400</v>
      </c>
      <c r="D2" s="174" t="s">
        <v>142</v>
      </c>
      <c r="E2" s="170"/>
      <c r="F2" s="170"/>
      <c r="G2" s="171"/>
      <c r="H2" s="16"/>
      <c r="I2" s="8"/>
      <c r="J2" s="8"/>
      <c r="K2" s="8"/>
      <c r="L2" s="8"/>
      <c r="M2" s="8" t="s">
        <v>401</v>
      </c>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M3" s="8" t="s">
        <v>168</v>
      </c>
      <c r="N3" s="8"/>
      <c r="O3" s="8"/>
      <c r="P3" s="8"/>
      <c r="Q3" s="8"/>
      <c r="R3" s="8"/>
      <c r="S3" s="8"/>
      <c r="T3" s="8"/>
      <c r="U3" s="8"/>
      <c r="V3" s="8"/>
      <c r="W3" s="8"/>
      <c r="X3" s="8"/>
      <c r="Y3" s="8"/>
      <c r="Z3" s="8"/>
      <c r="AA3" s="8"/>
      <c r="AB3" s="8"/>
      <c r="AC3" s="8"/>
    </row>
    <row r="4" spans="1:29" ht="13">
      <c r="A4" s="58"/>
      <c r="B4" s="50">
        <v>1</v>
      </c>
      <c r="C4" s="16" t="s">
        <v>75</v>
      </c>
      <c r="D4" s="17">
        <v>1.4247000000000001E-6</v>
      </c>
      <c r="E4" s="8">
        <v>9.2868769332739604E-2</v>
      </c>
      <c r="F4" s="18">
        <f t="shared" ref="F4:F27" si="0">E4*100</f>
        <v>9.2868769332739607</v>
      </c>
      <c r="G4" s="33">
        <f t="shared" ref="G4:G27" si="1">E4*1023</f>
        <v>95.004751027392615</v>
      </c>
      <c r="H4" s="16" t="s">
        <v>161</v>
      </c>
      <c r="I4" s="8"/>
      <c r="M4" s="8" t="s">
        <v>402</v>
      </c>
      <c r="N4" s="8"/>
      <c r="O4" s="8"/>
      <c r="P4" s="8"/>
      <c r="Q4" s="8"/>
      <c r="R4" s="8"/>
      <c r="S4" s="8"/>
      <c r="T4" s="8"/>
      <c r="U4" s="8"/>
      <c r="V4" s="8"/>
      <c r="W4" s="8"/>
      <c r="X4" s="8"/>
      <c r="Y4" s="8"/>
      <c r="Z4" s="8"/>
      <c r="AA4" s="8"/>
      <c r="AB4" s="8"/>
      <c r="AC4" s="8"/>
    </row>
    <row r="5" spans="1:29" ht="13">
      <c r="A5" s="58"/>
      <c r="B5" s="50">
        <v>2</v>
      </c>
      <c r="C5" s="16" t="s">
        <v>76</v>
      </c>
      <c r="D5" s="17">
        <v>7.0312499999999997E-4</v>
      </c>
      <c r="E5" s="8">
        <v>9.51285663613822E-2</v>
      </c>
      <c r="F5" s="18">
        <f t="shared" si="0"/>
        <v>9.5128566361382205</v>
      </c>
      <c r="G5" s="33">
        <f t="shared" si="1"/>
        <v>97.316523387693991</v>
      </c>
      <c r="H5" s="16" t="s">
        <v>164</v>
      </c>
      <c r="I5" s="8"/>
      <c r="J5" s="130">
        <v>6234.3457250595438</v>
      </c>
      <c r="L5" s="8"/>
      <c r="M5" s="8" t="s">
        <v>403</v>
      </c>
      <c r="N5" s="8"/>
      <c r="O5" s="8"/>
      <c r="P5" s="8"/>
      <c r="Q5" s="132"/>
      <c r="R5" s="8"/>
      <c r="S5" s="8"/>
      <c r="T5" s="8"/>
      <c r="U5" s="8"/>
      <c r="V5" s="8"/>
      <c r="W5" s="8"/>
      <c r="X5" s="8"/>
      <c r="Y5" s="8"/>
      <c r="Z5" s="8"/>
      <c r="AA5" s="8"/>
      <c r="AB5" s="8"/>
      <c r="AC5" s="8"/>
    </row>
    <row r="6" spans="1:29" ht="13">
      <c r="A6" s="58"/>
      <c r="B6" s="50">
        <v>3</v>
      </c>
      <c r="C6" s="16" t="s">
        <v>77</v>
      </c>
      <c r="D6" s="17">
        <v>1.4062499999999999E-3</v>
      </c>
      <c r="E6" s="8">
        <v>9.7339449070738396E-2</v>
      </c>
      <c r="F6" s="18">
        <f t="shared" si="0"/>
        <v>9.7339449070738393</v>
      </c>
      <c r="G6" s="33">
        <f t="shared" si="1"/>
        <v>99.578256399365372</v>
      </c>
      <c r="H6" s="16" t="s">
        <v>404</v>
      </c>
      <c r="I6" s="8"/>
      <c r="J6" s="130">
        <v>6379.2381342999115</v>
      </c>
      <c r="L6" s="8"/>
      <c r="M6" s="8" t="s">
        <v>405</v>
      </c>
      <c r="N6" s="132" t="s">
        <v>1025</v>
      </c>
      <c r="O6" s="8"/>
      <c r="P6" s="8"/>
      <c r="Q6" s="132"/>
      <c r="R6" s="8"/>
      <c r="S6" s="8"/>
      <c r="T6" s="8"/>
      <c r="U6" s="8"/>
      <c r="V6" s="8"/>
      <c r="W6" s="8"/>
      <c r="X6" s="8"/>
      <c r="Y6" s="8"/>
      <c r="Z6" s="8"/>
      <c r="AA6" s="8"/>
      <c r="AB6" s="8"/>
      <c r="AC6" s="8"/>
    </row>
    <row r="7" spans="1:29" ht="13">
      <c r="A7" s="58"/>
      <c r="B7" s="50">
        <v>4</v>
      </c>
      <c r="C7" s="16" t="s">
        <v>78</v>
      </c>
      <c r="D7" s="17">
        <v>2.8124999999999999E-3</v>
      </c>
      <c r="E7" s="8">
        <v>0.101610271605416</v>
      </c>
      <c r="F7" s="18">
        <f t="shared" si="0"/>
        <v>10.1610271605416</v>
      </c>
      <c r="G7" s="33">
        <f t="shared" si="1"/>
        <v>103.94730785234057</v>
      </c>
      <c r="H7" s="16"/>
      <c r="I7" s="8"/>
      <c r="J7" s="130">
        <v>6659.1307599325428</v>
      </c>
      <c r="L7" s="8"/>
      <c r="M7" s="8" t="s">
        <v>406</v>
      </c>
      <c r="N7" s="8"/>
      <c r="O7" s="8"/>
      <c r="P7" s="8"/>
      <c r="Q7" s="8"/>
      <c r="R7" s="8"/>
      <c r="S7" s="8"/>
      <c r="T7" s="8"/>
      <c r="U7" s="8"/>
      <c r="V7" s="8"/>
      <c r="W7" s="8"/>
      <c r="X7" s="8"/>
      <c r="Y7" s="8"/>
      <c r="Z7" s="8"/>
      <c r="AA7" s="8"/>
      <c r="AB7" s="8"/>
      <c r="AC7" s="8"/>
    </row>
    <row r="8" spans="1:29" ht="13">
      <c r="A8" s="58"/>
      <c r="B8" s="50">
        <v>5</v>
      </c>
      <c r="C8" s="16" t="s">
        <v>79</v>
      </c>
      <c r="D8" s="17">
        <v>5.6249999999999998E-3</v>
      </c>
      <c r="E8" s="8">
        <v>0.109607669095174</v>
      </c>
      <c r="F8" s="18">
        <f t="shared" si="0"/>
        <v>10.9607669095174</v>
      </c>
      <c r="G8" s="33">
        <f t="shared" si="1"/>
        <v>112.12864548436301</v>
      </c>
      <c r="H8" s="16"/>
      <c r="I8" s="8"/>
      <c r="J8" s="130">
        <v>7183.2482018213232</v>
      </c>
      <c r="L8" s="8"/>
      <c r="M8" s="132" t="s">
        <v>1024</v>
      </c>
      <c r="N8" s="8"/>
      <c r="O8" s="8"/>
      <c r="P8" s="8"/>
      <c r="Q8" s="8"/>
      <c r="R8" s="8"/>
      <c r="S8" s="8"/>
      <c r="T8" s="8"/>
      <c r="U8" s="8"/>
      <c r="V8" s="8"/>
      <c r="W8" s="8"/>
      <c r="X8" s="8"/>
      <c r="Y8" s="8"/>
      <c r="Z8" s="8"/>
      <c r="AA8" s="8"/>
      <c r="AB8" s="8"/>
      <c r="AC8" s="8"/>
    </row>
    <row r="9" spans="1:29" ht="13">
      <c r="A9" s="58"/>
      <c r="B9" s="50">
        <v>6</v>
      </c>
      <c r="C9" s="16" t="s">
        <v>80</v>
      </c>
      <c r="D9" s="17">
        <v>1.125E-2</v>
      </c>
      <c r="E9" s="8">
        <v>0.1238028883191</v>
      </c>
      <c r="F9" s="18">
        <f t="shared" si="0"/>
        <v>12.380288831909999</v>
      </c>
      <c r="G9" s="33">
        <f t="shared" si="1"/>
        <v>126.65035475043929</v>
      </c>
      <c r="H9" s="16"/>
      <c r="I9" s="8"/>
      <c r="J9" s="130">
        <v>8113.5460888805374</v>
      </c>
      <c r="L9" s="8"/>
      <c r="M9" s="8" t="s">
        <v>408</v>
      </c>
      <c r="N9" s="8"/>
      <c r="O9" s="8"/>
      <c r="P9" s="8"/>
      <c r="Q9" s="196" t="s">
        <v>1023</v>
      </c>
      <c r="R9" s="8">
        <f>(2^(14*((-95/1023)/(928/1023))+6)-64)/((2^18-16)/117.45)</f>
        <v>-1.8056996119911312E-2</v>
      </c>
      <c r="S9" s="8"/>
      <c r="T9" s="8"/>
      <c r="U9" s="8"/>
      <c r="V9" s="8"/>
      <c r="W9" s="8"/>
      <c r="X9" s="8"/>
      <c r="Y9" s="8"/>
      <c r="Z9" s="8"/>
      <c r="AA9" s="8"/>
      <c r="AB9" s="8"/>
      <c r="AC9" s="8"/>
    </row>
    <row r="10" spans="1:29" ht="13">
      <c r="A10" s="58"/>
      <c r="B10" s="50">
        <v>7</v>
      </c>
      <c r="C10" s="16" t="s">
        <v>81</v>
      </c>
      <c r="D10" s="17">
        <v>2.2499999999999999E-2</v>
      </c>
      <c r="E10" s="8">
        <v>0.147008610830409</v>
      </c>
      <c r="F10" s="18">
        <f t="shared" si="0"/>
        <v>14.7008610830409</v>
      </c>
      <c r="G10" s="33">
        <f t="shared" si="1"/>
        <v>150.38980887950842</v>
      </c>
      <c r="H10" s="16"/>
      <c r="I10" s="8"/>
      <c r="J10" s="130">
        <v>9634.3563193816844</v>
      </c>
      <c r="L10" s="8"/>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8">
        <v>0.18107329782147999</v>
      </c>
      <c r="F11" s="18">
        <f t="shared" si="0"/>
        <v>18.107329782148</v>
      </c>
      <c r="G11" s="33">
        <f t="shared" si="1"/>
        <v>185.23798367137402</v>
      </c>
      <c r="H11" s="16"/>
      <c r="I11" s="8"/>
      <c r="J11" s="130">
        <v>11866.819646028513</v>
      </c>
      <c r="L11" s="8"/>
      <c r="M11" s="85" t="s">
        <v>409</v>
      </c>
      <c r="N11" s="8"/>
      <c r="O11" s="8"/>
      <c r="P11" s="8"/>
      <c r="Q11" s="8"/>
      <c r="R11" s="8"/>
      <c r="S11" s="8"/>
      <c r="T11" s="8"/>
      <c r="U11" s="8"/>
      <c r="V11" s="8"/>
      <c r="W11" s="8"/>
      <c r="X11" s="8"/>
      <c r="Y11" s="8"/>
      <c r="Z11" s="8"/>
      <c r="AA11" s="8"/>
      <c r="AB11" s="8"/>
      <c r="AC11" s="8"/>
    </row>
    <row r="12" spans="1:29" ht="13">
      <c r="A12" s="58"/>
      <c r="B12" s="50">
        <v>9</v>
      </c>
      <c r="C12" s="16" t="s">
        <v>83</v>
      </c>
      <c r="D12" s="17">
        <v>0.09</v>
      </c>
      <c r="E12" s="8">
        <v>0.22563706491379101</v>
      </c>
      <c r="F12" s="18">
        <f t="shared" si="0"/>
        <v>22.563706491379101</v>
      </c>
      <c r="G12" s="33">
        <f t="shared" si="1"/>
        <v>230.8267174068082</v>
      </c>
      <c r="H12" s="16"/>
      <c r="I12" s="8"/>
      <c r="J12" s="130">
        <v>14787.350686190208</v>
      </c>
      <c r="L12" s="8"/>
      <c r="M12" s="8" t="s">
        <v>410</v>
      </c>
      <c r="N12" s="8"/>
      <c r="O12" s="8"/>
      <c r="P12" s="8"/>
      <c r="Q12" s="43"/>
      <c r="R12" s="8"/>
      <c r="S12" s="8"/>
      <c r="T12" s="8"/>
      <c r="U12" s="8"/>
      <c r="V12" s="8"/>
      <c r="W12" s="8"/>
      <c r="X12" s="8"/>
      <c r="Y12" s="8"/>
      <c r="Z12" s="8"/>
      <c r="AA12" s="8"/>
      <c r="AB12" s="8"/>
      <c r="AC12" s="8"/>
    </row>
    <row r="13" spans="1:29" ht="13">
      <c r="A13" s="58"/>
      <c r="B13" s="50">
        <v>10</v>
      </c>
      <c r="C13" s="16" t="s">
        <v>84</v>
      </c>
      <c r="D13" s="17">
        <v>0.13500000000000001</v>
      </c>
      <c r="E13" s="8">
        <v>0.25569011126845798</v>
      </c>
      <c r="F13" s="18">
        <f t="shared" si="0"/>
        <v>25.569011126845798</v>
      </c>
      <c r="G13" s="33">
        <f t="shared" si="1"/>
        <v>261.57098382763252</v>
      </c>
      <c r="H13" s="16"/>
      <c r="I13" s="8"/>
      <c r="J13" s="130">
        <v>16460.884422321571</v>
      </c>
      <c r="L13" s="8"/>
      <c r="M13" s="8" t="s">
        <v>411</v>
      </c>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58">
        <v>0.27283377479663001</v>
      </c>
      <c r="F14" s="71">
        <f t="shared" si="0"/>
        <v>27.283377479663002</v>
      </c>
      <c r="G14" s="72">
        <f t="shared" si="1"/>
        <v>279.10895161695248</v>
      </c>
      <c r="H14" s="16"/>
      <c r="I14" s="8"/>
      <c r="J14" s="136"/>
      <c r="L14" s="58"/>
      <c r="M14" s="8"/>
      <c r="N14" s="58"/>
      <c r="O14" s="8"/>
      <c r="P14" s="8"/>
      <c r="Q14" s="8"/>
      <c r="R14" s="8"/>
      <c r="S14" s="8"/>
      <c r="T14" s="8"/>
      <c r="U14" s="8"/>
      <c r="V14" s="8"/>
      <c r="W14" s="8"/>
      <c r="X14" s="8"/>
      <c r="Y14" s="8"/>
      <c r="Z14" s="8"/>
      <c r="AA14" s="8"/>
      <c r="AB14" s="8"/>
      <c r="AC14" s="8"/>
    </row>
    <row r="15" spans="1:29" ht="13">
      <c r="A15" s="58"/>
      <c r="B15" s="50">
        <v>12</v>
      </c>
      <c r="C15" s="16" t="s">
        <v>86</v>
      </c>
      <c r="D15" s="17">
        <v>0.18</v>
      </c>
      <c r="E15" s="8">
        <v>0.278395836548265</v>
      </c>
      <c r="F15" s="18">
        <f t="shared" si="0"/>
        <v>27.839583654826498</v>
      </c>
      <c r="G15" s="33">
        <f t="shared" si="1"/>
        <v>284.79894078887509</v>
      </c>
      <c r="H15" s="16"/>
      <c r="I15" s="8"/>
      <c r="J15" s="130">
        <v>18612.954192227466</v>
      </c>
      <c r="L15" s="8"/>
      <c r="M15" s="8" t="s">
        <v>412</v>
      </c>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8">
        <v>0.289677052893207</v>
      </c>
      <c r="F16" s="71">
        <f t="shared" si="0"/>
        <v>28.967705289320701</v>
      </c>
      <c r="G16" s="72">
        <f t="shared" si="1"/>
        <v>296.33962510975078</v>
      </c>
      <c r="H16" s="16"/>
      <c r="I16" s="8"/>
      <c r="J16" s="136"/>
      <c r="L16" s="8"/>
      <c r="M16" s="8" t="s">
        <v>413</v>
      </c>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8">
        <v>0.30695324504979798</v>
      </c>
      <c r="F17" s="18">
        <f t="shared" si="0"/>
        <v>30.695324504979798</v>
      </c>
      <c r="G17" s="33">
        <f t="shared" si="1"/>
        <v>314.01316968594335</v>
      </c>
      <c r="H17" s="16"/>
      <c r="I17" s="8"/>
      <c r="J17" s="136">
        <v>20116.487867583561</v>
      </c>
      <c r="L17" s="8"/>
      <c r="M17" s="8" t="s">
        <v>414</v>
      </c>
      <c r="N17" s="8"/>
      <c r="O17" s="8"/>
      <c r="P17" s="8"/>
      <c r="Q17" s="8"/>
      <c r="R17" s="8"/>
      <c r="S17" s="8"/>
      <c r="T17" s="8"/>
      <c r="U17" s="8"/>
      <c r="V17" s="8"/>
      <c r="W17" s="8"/>
      <c r="X17" s="8"/>
      <c r="Y17" s="8"/>
      <c r="Z17" s="8"/>
      <c r="AA17" s="8"/>
      <c r="AB17" s="8"/>
      <c r="AC17" s="8"/>
    </row>
    <row r="18" spans="1:29" ht="13">
      <c r="A18" s="58"/>
      <c r="B18" s="50">
        <v>15</v>
      </c>
      <c r="C18" s="16" t="s">
        <v>89</v>
      </c>
      <c r="D18" s="17">
        <v>0.36</v>
      </c>
      <c r="E18" s="8">
        <v>0.33653696932251997</v>
      </c>
      <c r="F18" s="18">
        <f t="shared" si="0"/>
        <v>33.653696932251997</v>
      </c>
      <c r="G18" s="33">
        <f t="shared" si="1"/>
        <v>344.27731961693792</v>
      </c>
      <c r="H18" s="16"/>
      <c r="I18" s="8"/>
      <c r="J18" s="130">
        <v>22055.286821520669</v>
      </c>
      <c r="L18" s="8"/>
      <c r="M18" s="8" t="s">
        <v>415</v>
      </c>
      <c r="N18" s="8"/>
      <c r="O18" s="8"/>
      <c r="P18" s="8"/>
      <c r="Q18" s="8"/>
      <c r="R18" s="8"/>
      <c r="S18" s="8"/>
      <c r="T18" s="8"/>
      <c r="U18" s="8"/>
      <c r="V18" s="8"/>
      <c r="W18" s="8"/>
      <c r="X18" s="8"/>
      <c r="Y18" s="8"/>
      <c r="Z18" s="8"/>
      <c r="AA18" s="8"/>
      <c r="AB18" s="8"/>
      <c r="AC18" s="8"/>
    </row>
    <row r="19" spans="1:29" ht="13">
      <c r="A19" s="58"/>
      <c r="B19" s="50">
        <v>16</v>
      </c>
      <c r="C19" s="16" t="s">
        <v>90</v>
      </c>
      <c r="D19" s="17">
        <v>0.72</v>
      </c>
      <c r="E19" s="8">
        <v>0.39781875116437199</v>
      </c>
      <c r="F19" s="18">
        <f t="shared" si="0"/>
        <v>39.781875116437199</v>
      </c>
      <c r="G19" s="33">
        <f t="shared" si="1"/>
        <v>406.96858244115253</v>
      </c>
      <c r="H19" s="16"/>
      <c r="I19" s="8"/>
      <c r="J19" s="130">
        <v>26071.449676308283</v>
      </c>
      <c r="L19" s="8"/>
      <c r="M19" s="8" t="s">
        <v>416</v>
      </c>
      <c r="N19" s="8"/>
      <c r="O19" s="8"/>
      <c r="P19" s="8"/>
      <c r="Q19" s="8"/>
      <c r="R19" s="8"/>
      <c r="S19" s="8"/>
      <c r="T19" s="8"/>
      <c r="U19" s="8"/>
      <c r="V19" s="8"/>
      <c r="W19" s="8"/>
      <c r="X19" s="8"/>
      <c r="Y19" s="8"/>
      <c r="Z19" s="8"/>
      <c r="AA19" s="8"/>
      <c r="AB19" s="8"/>
      <c r="AC19" s="8"/>
    </row>
    <row r="20" spans="1:29" ht="13">
      <c r="A20" s="58"/>
      <c r="B20" s="82">
        <v>17</v>
      </c>
      <c r="C20" s="73" t="s">
        <v>91</v>
      </c>
      <c r="D20" s="8">
        <v>0.90004485786135058</v>
      </c>
      <c r="E20" s="86">
        <v>0.417959358921077</v>
      </c>
      <c r="F20" s="76">
        <f t="shared" si="0"/>
        <v>41.7959358921077</v>
      </c>
      <c r="G20" s="77">
        <f t="shared" si="1"/>
        <v>427.57242417626179</v>
      </c>
      <c r="H20" s="73" t="s">
        <v>205</v>
      </c>
      <c r="I20" s="8"/>
      <c r="J20" s="130"/>
      <c r="L20" s="8"/>
      <c r="N20" s="8"/>
      <c r="O20" s="8"/>
      <c r="P20" s="8"/>
      <c r="Q20" s="8"/>
      <c r="R20" s="8"/>
      <c r="S20" s="8"/>
      <c r="T20" s="8"/>
      <c r="U20" s="8"/>
      <c r="V20" s="8"/>
      <c r="W20" s="8"/>
      <c r="X20" s="8"/>
      <c r="Y20" s="8"/>
      <c r="Z20" s="8"/>
      <c r="AA20" s="8"/>
      <c r="AB20" s="8"/>
      <c r="AC20" s="8"/>
    </row>
    <row r="21" spans="1:29" ht="13">
      <c r="A21" s="58"/>
      <c r="B21" s="50">
        <v>18</v>
      </c>
      <c r="C21" s="16" t="s">
        <v>92</v>
      </c>
      <c r="D21" s="17">
        <v>1.44</v>
      </c>
      <c r="E21" s="8">
        <v>0.46080655270816101</v>
      </c>
      <c r="F21" s="18">
        <f t="shared" si="0"/>
        <v>46.080655270816102</v>
      </c>
      <c r="G21" s="33">
        <f t="shared" si="1"/>
        <v>471.40510342044871</v>
      </c>
      <c r="H21" s="16"/>
      <c r="I21" s="8"/>
      <c r="J21" s="130">
        <v>30199.41823828204</v>
      </c>
      <c r="L21" s="8"/>
      <c r="M21" s="2" t="s">
        <v>417</v>
      </c>
      <c r="N21" s="8"/>
      <c r="O21" s="8"/>
      <c r="P21" s="8"/>
      <c r="Q21" s="8"/>
      <c r="R21" s="8"/>
      <c r="S21" s="8"/>
      <c r="T21" s="8"/>
      <c r="U21" s="8"/>
      <c r="V21" s="8"/>
      <c r="W21" s="8"/>
      <c r="X21" s="8"/>
      <c r="Y21" s="8"/>
      <c r="Z21" s="8"/>
      <c r="AA21" s="8"/>
      <c r="AB21" s="8"/>
      <c r="AC21" s="8"/>
    </row>
    <row r="22" spans="1:29" ht="13">
      <c r="A22" s="58"/>
      <c r="B22" s="50">
        <v>19</v>
      </c>
      <c r="C22" s="16" t="s">
        <v>93</v>
      </c>
      <c r="D22" s="17">
        <v>2.88</v>
      </c>
      <c r="E22" s="8">
        <v>0.52468488436523897</v>
      </c>
      <c r="F22" s="18">
        <f t="shared" si="0"/>
        <v>52.468488436523899</v>
      </c>
      <c r="G22" s="33">
        <f t="shared" si="1"/>
        <v>536.75263670563947</v>
      </c>
      <c r="H22" s="73" t="s">
        <v>418</v>
      </c>
      <c r="I22" s="8"/>
      <c r="J22" s="130">
        <v>34385.748581760301</v>
      </c>
      <c r="L22" s="8"/>
      <c r="M22" s="2" t="s">
        <v>419</v>
      </c>
      <c r="N22" s="8"/>
      <c r="O22" s="8"/>
      <c r="P22" s="8"/>
      <c r="Q22" s="8"/>
      <c r="R22" s="8"/>
      <c r="S22" s="8"/>
      <c r="T22" s="8"/>
      <c r="U22" s="8"/>
      <c r="V22" s="8"/>
      <c r="W22" s="8"/>
      <c r="X22" s="8"/>
      <c r="Y22" s="8"/>
      <c r="Z22" s="8"/>
      <c r="AA22" s="8"/>
      <c r="AB22" s="8"/>
      <c r="AC22" s="8"/>
    </row>
    <row r="23" spans="1:29" ht="13">
      <c r="A23" s="58"/>
      <c r="B23" s="50">
        <v>20</v>
      </c>
      <c r="C23" s="16" t="s">
        <v>94</v>
      </c>
      <c r="D23" s="17">
        <v>5.76</v>
      </c>
      <c r="E23" s="8">
        <v>0.58901836387713302</v>
      </c>
      <c r="F23" s="18">
        <f t="shared" si="0"/>
        <v>58.901836387713303</v>
      </c>
      <c r="G23" s="33">
        <f t="shared" si="1"/>
        <v>602.56578624630708</v>
      </c>
      <c r="H23" s="16"/>
      <c r="I23" s="8"/>
      <c r="J23" s="130">
        <v>38601.90749505179</v>
      </c>
      <c r="L23" s="8"/>
      <c r="M23" s="8"/>
      <c r="N23" s="8"/>
      <c r="O23" s="8"/>
      <c r="P23" s="8"/>
      <c r="Q23" s="8"/>
      <c r="R23" s="8"/>
      <c r="S23" s="8"/>
      <c r="T23" s="8"/>
      <c r="U23" s="8"/>
      <c r="V23" s="8"/>
      <c r="W23" s="8"/>
      <c r="X23" s="8"/>
      <c r="Y23" s="8"/>
      <c r="Z23" s="8"/>
      <c r="AA23" s="8"/>
      <c r="AB23" s="8"/>
      <c r="AC23" s="8"/>
    </row>
    <row r="24" spans="1:29" ht="13">
      <c r="A24" s="58"/>
      <c r="B24" s="50">
        <v>21</v>
      </c>
      <c r="C24" s="16" t="s">
        <v>95</v>
      </c>
      <c r="D24" s="17">
        <v>11.52</v>
      </c>
      <c r="E24" s="8">
        <v>0.65358195460069901</v>
      </c>
      <c r="F24" s="18">
        <f t="shared" si="0"/>
        <v>65.358195460069908</v>
      </c>
      <c r="G24" s="33">
        <f t="shared" si="1"/>
        <v>668.61433955651512</v>
      </c>
      <c r="H24" s="73" t="s">
        <v>214</v>
      </c>
      <c r="I24" s="8"/>
      <c r="J24" s="130">
        <v>42833.14697671141</v>
      </c>
      <c r="L24" s="8"/>
      <c r="M24" s="8" t="s">
        <v>420</v>
      </c>
      <c r="N24" s="8"/>
      <c r="O24" s="8"/>
      <c r="P24" s="8"/>
      <c r="Q24" s="8"/>
      <c r="R24" s="8"/>
      <c r="S24" s="8"/>
      <c r="T24" s="8"/>
      <c r="U24" s="8"/>
      <c r="V24" s="8"/>
      <c r="W24" s="8"/>
      <c r="X24" s="8"/>
      <c r="Y24" s="8"/>
      <c r="Z24" s="8"/>
      <c r="AA24" s="8"/>
      <c r="AB24" s="8"/>
      <c r="AC24" s="8"/>
    </row>
    <row r="25" spans="1:29" ht="13">
      <c r="A25" s="58"/>
      <c r="B25" s="50">
        <v>22</v>
      </c>
      <c r="C25" s="16" t="s">
        <v>96</v>
      </c>
      <c r="D25" s="17">
        <v>23.04</v>
      </c>
      <c r="E25" s="8">
        <v>0.71826124382305101</v>
      </c>
      <c r="F25" s="18">
        <f t="shared" si="0"/>
        <v>71.826124382305096</v>
      </c>
      <c r="G25" s="33">
        <f t="shared" si="1"/>
        <v>734.78125243098123</v>
      </c>
      <c r="H25" s="16"/>
      <c r="I25" s="8"/>
      <c r="J25" s="130">
        <v>47071.968875187471</v>
      </c>
      <c r="L25" s="8"/>
      <c r="M25" s="8" t="s">
        <v>421</v>
      </c>
      <c r="N25" s="8"/>
      <c r="O25" s="8"/>
      <c r="P25" s="8"/>
      <c r="Q25" s="8"/>
      <c r="R25" s="8"/>
      <c r="S25" s="8"/>
      <c r="T25" s="8"/>
      <c r="U25" s="8"/>
      <c r="V25" s="8"/>
      <c r="W25" s="8"/>
      <c r="X25" s="8"/>
      <c r="Y25" s="8"/>
      <c r="Z25" s="8"/>
      <c r="AA25" s="8"/>
      <c r="AB25" s="8"/>
      <c r="AC25" s="8"/>
    </row>
    <row r="26" spans="1:29" ht="13">
      <c r="A26" s="58"/>
      <c r="B26" s="50">
        <v>23</v>
      </c>
      <c r="C26" s="16" t="s">
        <v>97</v>
      </c>
      <c r="D26" s="138">
        <v>46.08</v>
      </c>
      <c r="E26" s="8">
        <v>0.78299854410556502</v>
      </c>
      <c r="F26" s="139">
        <f t="shared" si="0"/>
        <v>78.299854410556506</v>
      </c>
      <c r="G26" s="140">
        <f t="shared" si="1"/>
        <v>801.00751061999301</v>
      </c>
      <c r="H26" s="73" t="s">
        <v>422</v>
      </c>
      <c r="I26" s="8"/>
      <c r="J26" s="130">
        <v>51314.592586502309</v>
      </c>
      <c r="L26" s="8"/>
      <c r="M26" s="8" t="s">
        <v>423</v>
      </c>
      <c r="N26" s="8"/>
      <c r="O26" s="8"/>
      <c r="P26" s="8"/>
      <c r="Q26" s="8"/>
      <c r="R26" s="8"/>
      <c r="S26" s="8"/>
      <c r="T26" s="8"/>
      <c r="U26" s="8"/>
      <c r="V26" s="8"/>
      <c r="W26" s="8"/>
      <c r="X26" s="8"/>
      <c r="Y26" s="8"/>
      <c r="Z26" s="8"/>
      <c r="AA26" s="8"/>
      <c r="AB26" s="8"/>
      <c r="AC26" s="8"/>
    </row>
    <row r="27" spans="1:29" ht="13">
      <c r="A27" s="58"/>
      <c r="B27" s="50">
        <v>24</v>
      </c>
      <c r="C27" s="9" t="s">
        <v>98</v>
      </c>
      <c r="D27" s="141">
        <f>0.18*2^9</f>
        <v>92.16</v>
      </c>
      <c r="E27" s="142">
        <v>0.84776489050781001</v>
      </c>
      <c r="F27" s="143">
        <f t="shared" si="0"/>
        <v>84.776489050780995</v>
      </c>
      <c r="G27" s="144">
        <f t="shared" si="1"/>
        <v>867.2634829894896</v>
      </c>
      <c r="H27" s="137" t="s">
        <v>424</v>
      </c>
      <c r="I27" s="8"/>
      <c r="J27" s="130">
        <v>55686.473625645813</v>
      </c>
      <c r="L27" s="8"/>
      <c r="M27" s="8" t="s">
        <v>425</v>
      </c>
      <c r="N27" s="8"/>
      <c r="O27" s="8"/>
      <c r="P27" s="8"/>
      <c r="Q27" s="8"/>
      <c r="R27" s="8"/>
      <c r="S27" s="8"/>
      <c r="T27" s="8"/>
      <c r="U27" s="8"/>
      <c r="V27" s="8"/>
      <c r="W27" s="8"/>
      <c r="X27" s="8"/>
      <c r="Y27" s="8"/>
      <c r="Z27" s="8"/>
      <c r="AA27" s="8"/>
      <c r="AB27" s="8"/>
      <c r="AC27" s="8"/>
    </row>
    <row r="28" spans="1:29" ht="13">
      <c r="A28" s="58"/>
      <c r="B28" s="50">
        <v>25</v>
      </c>
      <c r="C28" s="9" t="s">
        <v>587</v>
      </c>
      <c r="D28" s="142">
        <f>0.18*2^10</f>
        <v>184.32</v>
      </c>
      <c r="E28" s="145">
        <v>0.91254577000000003</v>
      </c>
      <c r="F28" s="143">
        <f>E28*100</f>
        <v>91.254576999999998</v>
      </c>
      <c r="G28" s="144"/>
      <c r="H28" s="8"/>
      <c r="I28" s="8"/>
      <c r="J28" s="130">
        <v>59804.599582720002</v>
      </c>
      <c r="L28" s="8"/>
      <c r="M28" s="8"/>
      <c r="N28" s="8"/>
      <c r="O28" s="8"/>
      <c r="P28" s="8"/>
      <c r="Q28" s="8"/>
      <c r="R28" s="8"/>
      <c r="S28" s="8"/>
      <c r="T28" s="8"/>
      <c r="U28" s="8"/>
      <c r="V28" s="8"/>
      <c r="W28" s="8"/>
      <c r="X28" s="8"/>
      <c r="Y28" s="8"/>
      <c r="Z28" s="8"/>
      <c r="AA28" s="8"/>
      <c r="AB28" s="8"/>
      <c r="AC28" s="8"/>
    </row>
    <row r="29" spans="1:29" ht="13">
      <c r="A29" s="58"/>
      <c r="B29" s="50">
        <v>26</v>
      </c>
      <c r="C29" s="9" t="s">
        <v>757</v>
      </c>
      <c r="D29" s="142">
        <f>0.18*2^11</f>
        <v>368.64</v>
      </c>
      <c r="E29" s="142">
        <v>0.97733391999999997</v>
      </c>
      <c r="F29" s="143">
        <f>E29*100</f>
        <v>97.733391999999995</v>
      </c>
      <c r="G29" s="144"/>
      <c r="H29" s="8"/>
      <c r="I29" s="8"/>
      <c r="J29" s="130">
        <v>64050.555781119998</v>
      </c>
      <c r="L29" s="8"/>
      <c r="M29" s="8"/>
      <c r="N29" s="8"/>
      <c r="O29" s="8"/>
      <c r="P29" s="8"/>
      <c r="Q29" s="8"/>
      <c r="R29" s="8"/>
      <c r="S29" s="8"/>
      <c r="T29" s="8"/>
      <c r="U29" s="8"/>
      <c r="V29" s="8"/>
      <c r="W29" s="8"/>
      <c r="X29" s="8"/>
      <c r="Y29" s="8"/>
      <c r="Z29" s="8"/>
      <c r="AA29" s="8"/>
      <c r="AB29" s="8"/>
      <c r="AC29" s="8"/>
    </row>
    <row r="30" spans="1:29" ht="13">
      <c r="A30" s="81"/>
      <c r="B30" s="81"/>
      <c r="C30" s="81"/>
      <c r="D30" s="81"/>
      <c r="E30" s="81"/>
      <c r="F30" s="81"/>
      <c r="G30" s="81"/>
      <c r="H30" s="81"/>
      <c r="I30" s="81"/>
      <c r="J30" s="81"/>
      <c r="K30" s="81"/>
      <c r="L30" s="81"/>
      <c r="M30" s="81"/>
      <c r="N30" s="81"/>
      <c r="O30" s="81"/>
      <c r="P30" s="81"/>
      <c r="Q30" s="81"/>
      <c r="R30" s="81"/>
      <c r="S30" s="81"/>
      <c r="T30" s="81"/>
      <c r="U30" s="81"/>
      <c r="V30" s="81"/>
      <c r="W30" s="81"/>
      <c r="X30" s="81"/>
      <c r="Y30" s="81"/>
      <c r="Z30" s="81"/>
      <c r="AA30" s="81"/>
      <c r="AB30" s="81"/>
      <c r="AC30" s="81"/>
    </row>
    <row r="31" spans="1:29" ht="29">
      <c r="A31" s="8"/>
      <c r="B31" s="43"/>
      <c r="C31" s="13" t="s">
        <v>426</v>
      </c>
      <c r="D31" s="173" t="s">
        <v>142</v>
      </c>
      <c r="E31" s="166"/>
      <c r="F31" s="166"/>
      <c r="G31" s="167"/>
      <c r="H31" s="41" t="s">
        <v>228</v>
      </c>
      <c r="I31" s="8"/>
      <c r="J31" s="8"/>
      <c r="K31" s="87" t="s">
        <v>427</v>
      </c>
      <c r="L31" s="175" t="s">
        <v>428</v>
      </c>
      <c r="M31" s="176"/>
      <c r="N31" s="176"/>
      <c r="O31" s="176"/>
      <c r="P31" s="176"/>
      <c r="Q31" s="8"/>
      <c r="R31" s="8"/>
      <c r="S31" s="8"/>
      <c r="T31" s="8"/>
      <c r="U31" s="8"/>
      <c r="V31" s="8"/>
      <c r="W31" s="8"/>
      <c r="X31" s="8"/>
      <c r="Y31" s="8"/>
      <c r="Z31" s="8"/>
      <c r="AA31" s="8"/>
      <c r="AB31" s="8"/>
      <c r="AC31" s="8"/>
    </row>
    <row r="32" spans="1:29" ht="43">
      <c r="A32" s="8"/>
      <c r="B32" s="41" t="s">
        <v>58</v>
      </c>
      <c r="C32" s="41" t="s">
        <v>59</v>
      </c>
      <c r="D32" s="41" t="s">
        <v>143</v>
      </c>
      <c r="E32" s="83" t="s">
        <v>144</v>
      </c>
      <c r="F32" s="83" t="s">
        <v>145</v>
      </c>
      <c r="G32" s="83" t="s">
        <v>146</v>
      </c>
      <c r="H32" s="43"/>
      <c r="I32" s="8"/>
      <c r="J32" s="127" t="s">
        <v>756</v>
      </c>
      <c r="K32" s="87" t="s">
        <v>429</v>
      </c>
      <c r="L32" s="87" t="s">
        <v>430</v>
      </c>
      <c r="M32" s="87" t="s">
        <v>431</v>
      </c>
      <c r="N32" s="87" t="s">
        <v>432</v>
      </c>
      <c r="O32" s="87" t="s">
        <v>433</v>
      </c>
      <c r="P32" s="87" t="s">
        <v>434</v>
      </c>
      <c r="Q32" s="8"/>
      <c r="R32" s="87"/>
      <c r="S32" s="87" t="s">
        <v>429</v>
      </c>
      <c r="T32" s="87" t="s">
        <v>430</v>
      </c>
      <c r="U32" s="87" t="s">
        <v>431</v>
      </c>
      <c r="V32" s="87" t="s">
        <v>432</v>
      </c>
      <c r="W32" s="87" t="s">
        <v>433</v>
      </c>
      <c r="X32" s="87" t="s">
        <v>434</v>
      </c>
      <c r="Y32" s="8"/>
      <c r="Z32" s="8"/>
      <c r="AA32" s="8"/>
      <c r="AB32" s="8"/>
      <c r="AC32" s="8"/>
    </row>
    <row r="33" spans="1:29" ht="15">
      <c r="A33" s="58"/>
      <c r="B33" s="69">
        <v>1</v>
      </c>
      <c r="C33" s="43" t="s">
        <v>229</v>
      </c>
      <c r="D33" s="69">
        <v>7.0312499999999997E-4</v>
      </c>
      <c r="E33" s="43">
        <f t="shared" ref="E33:E39" si="2">(LOG(((2^18-16)/117.45)*D33+64,2)-6)/14*(928/1023)+(95/1023)</f>
        <v>9.5128566361382227E-2</v>
      </c>
      <c r="F33" s="71">
        <f t="shared" ref="F33:F203" si="3">E33*100</f>
        <v>9.5128566361382223</v>
      </c>
      <c r="G33" s="84">
        <f t="shared" ref="G33:G203" si="4">E33*1023</f>
        <v>97.316523387694019</v>
      </c>
      <c r="H33" s="43"/>
      <c r="I33" s="8"/>
      <c r="J33" s="8">
        <f>E33*(2^16-1)</f>
        <v>6234.2505964931843</v>
      </c>
      <c r="K33" s="88" t="s">
        <v>435</v>
      </c>
      <c r="L33" s="87">
        <v>151</v>
      </c>
      <c r="M33" s="87">
        <v>606</v>
      </c>
      <c r="N33" s="87">
        <v>102</v>
      </c>
      <c r="O33" s="87">
        <v>409</v>
      </c>
      <c r="P33" s="89">
        <v>9.9900000000000003E-2</v>
      </c>
      <c r="Q33" s="8"/>
      <c r="R33" s="87"/>
      <c r="S33" s="88" t="s">
        <v>436</v>
      </c>
      <c r="T33" s="87">
        <v>145</v>
      </c>
      <c r="U33" s="87">
        <v>581</v>
      </c>
      <c r="V33" s="87">
        <v>95</v>
      </c>
      <c r="W33" s="87">
        <v>380</v>
      </c>
      <c r="X33" s="89">
        <v>9.2899999999999996E-2</v>
      </c>
      <c r="Y33" s="8"/>
      <c r="Z33" s="8"/>
      <c r="AA33" s="8"/>
      <c r="AB33" s="8"/>
      <c r="AC33" s="8"/>
    </row>
    <row r="34" spans="1:29" ht="15">
      <c r="A34" s="58"/>
      <c r="B34" s="69">
        <v>2</v>
      </c>
      <c r="C34" s="43" t="s">
        <v>230</v>
      </c>
      <c r="D34" s="69">
        <v>7.5359071584583004E-4</v>
      </c>
      <c r="E34" s="43">
        <f t="shared" si="2"/>
        <v>9.528900268675318E-2</v>
      </c>
      <c r="F34" s="71">
        <f t="shared" si="3"/>
        <v>9.5289002686753186</v>
      </c>
      <c r="G34" s="84">
        <f t="shared" si="4"/>
        <v>97.480649748548501</v>
      </c>
      <c r="H34" s="43"/>
      <c r="I34" s="8"/>
      <c r="J34" s="8">
        <f t="shared" ref="J34:J97" si="5">E34*(2^16-1)</f>
        <v>6244.7647910763699</v>
      </c>
      <c r="K34" s="88">
        <v>-6</v>
      </c>
      <c r="L34" s="87">
        <v>153</v>
      </c>
      <c r="M34" s="87">
        <v>612</v>
      </c>
      <c r="N34" s="87">
        <v>104</v>
      </c>
      <c r="O34" s="87">
        <v>416</v>
      </c>
      <c r="P34" s="89">
        <v>0.1016</v>
      </c>
      <c r="Q34" s="8"/>
      <c r="R34" s="87"/>
      <c r="S34" s="88">
        <v>-6.31</v>
      </c>
      <c r="T34" s="87">
        <v>152</v>
      </c>
      <c r="U34" s="87">
        <v>606</v>
      </c>
      <c r="V34" s="87">
        <v>102</v>
      </c>
      <c r="W34" s="87">
        <v>410</v>
      </c>
      <c r="X34" s="89">
        <v>0.1</v>
      </c>
      <c r="Y34" s="8"/>
      <c r="Z34" s="8"/>
      <c r="AA34" s="8"/>
      <c r="AB34" s="8"/>
      <c r="AC34" s="8"/>
    </row>
    <row r="35" spans="1:29" ht="15">
      <c r="A35" s="58"/>
      <c r="B35" s="69">
        <v>3</v>
      </c>
      <c r="C35" s="43" t="s">
        <v>231</v>
      </c>
      <c r="D35" s="69">
        <v>8.0767853085729003E-4</v>
      </c>
      <c r="E35" s="43">
        <f t="shared" si="2"/>
        <v>9.5460648926910724E-2</v>
      </c>
      <c r="F35" s="71">
        <f t="shared" si="3"/>
        <v>9.5460648926910725</v>
      </c>
      <c r="G35" s="84">
        <f t="shared" si="4"/>
        <v>97.656243852229665</v>
      </c>
      <c r="H35" s="43"/>
      <c r="I35" s="8"/>
      <c r="J35" s="8">
        <f t="shared" si="5"/>
        <v>6256.0136274250945</v>
      </c>
      <c r="K35" s="88" t="s">
        <v>437</v>
      </c>
      <c r="L35" s="87">
        <v>155</v>
      </c>
      <c r="M35" s="87">
        <v>620</v>
      </c>
      <c r="N35" s="87">
        <v>106</v>
      </c>
      <c r="O35" s="87">
        <v>425</v>
      </c>
      <c r="P35" s="89">
        <v>0.1038</v>
      </c>
      <c r="Q35" s="8"/>
      <c r="R35" s="87"/>
      <c r="S35" s="88">
        <v>-4.96</v>
      </c>
      <c r="T35" s="87">
        <v>160</v>
      </c>
      <c r="U35" s="87">
        <v>641</v>
      </c>
      <c r="V35" s="87">
        <v>113</v>
      </c>
      <c r="W35" s="87">
        <v>450</v>
      </c>
      <c r="X35" s="89">
        <v>0.11</v>
      </c>
      <c r="Y35" s="8"/>
      <c r="Z35" s="8"/>
      <c r="AA35" s="8"/>
      <c r="AB35" s="8"/>
      <c r="AC35" s="8"/>
    </row>
    <row r="36" spans="1:29" ht="15">
      <c r="A36" s="58"/>
      <c r="B36" s="69">
        <v>4</v>
      </c>
      <c r="C36" s="43" t="s">
        <v>232</v>
      </c>
      <c r="D36" s="69">
        <v>8.6564841563314401E-4</v>
      </c>
      <c r="E36" s="43">
        <f t="shared" si="2"/>
        <v>9.5644265566928233E-2</v>
      </c>
      <c r="F36" s="71">
        <f t="shared" si="3"/>
        <v>9.5644265566928226</v>
      </c>
      <c r="G36" s="84">
        <f t="shared" si="4"/>
        <v>97.844083674967578</v>
      </c>
      <c r="H36" s="43"/>
      <c r="I36" s="8"/>
      <c r="J36" s="8">
        <f t="shared" si="5"/>
        <v>6268.0469439286417</v>
      </c>
      <c r="K36" s="88" t="s">
        <v>438</v>
      </c>
      <c r="L36" s="87">
        <v>157</v>
      </c>
      <c r="M36" s="87">
        <v>629</v>
      </c>
      <c r="N36" s="87">
        <v>109</v>
      </c>
      <c r="O36" s="87">
        <v>436</v>
      </c>
      <c r="P36" s="89">
        <v>0.10639999999999999</v>
      </c>
      <c r="Q36" s="8"/>
      <c r="R36" s="87"/>
      <c r="S36" s="88">
        <v>-4.22</v>
      </c>
      <c r="T36" s="87">
        <v>169</v>
      </c>
      <c r="U36" s="87">
        <v>676</v>
      </c>
      <c r="V36" s="87">
        <v>123</v>
      </c>
      <c r="W36" s="87">
        <v>491</v>
      </c>
      <c r="X36" s="89">
        <v>0.12</v>
      </c>
      <c r="Y36" s="8"/>
      <c r="Z36" s="8"/>
      <c r="AA36" s="8"/>
      <c r="AB36" s="8"/>
      <c r="AC36" s="8"/>
    </row>
    <row r="37" spans="1:29" ht="15">
      <c r="A37" s="58"/>
      <c r="B37" s="69">
        <v>5</v>
      </c>
      <c r="C37" s="43" t="s">
        <v>233</v>
      </c>
      <c r="D37" s="69">
        <v>9.2777899976219098E-4</v>
      </c>
      <c r="E37" s="43">
        <f t="shared" si="2"/>
        <v>9.5840661406935604E-2</v>
      </c>
      <c r="F37" s="71">
        <f t="shared" si="3"/>
        <v>9.5840661406935599</v>
      </c>
      <c r="G37" s="84">
        <f t="shared" si="4"/>
        <v>98.044996619295119</v>
      </c>
      <c r="H37" s="43"/>
      <c r="I37" s="8"/>
      <c r="J37" s="8">
        <f t="shared" si="5"/>
        <v>6280.9177453035245</v>
      </c>
      <c r="K37" s="88">
        <v>-5</v>
      </c>
      <c r="L37" s="87">
        <v>160</v>
      </c>
      <c r="M37" s="87">
        <v>640</v>
      </c>
      <c r="N37" s="87">
        <v>112</v>
      </c>
      <c r="O37" s="87">
        <v>449</v>
      </c>
      <c r="P37" s="89">
        <v>0.1096</v>
      </c>
      <c r="Q37" s="8"/>
      <c r="R37" s="87"/>
      <c r="S37" s="88">
        <v>-3.69</v>
      </c>
      <c r="T37" s="87">
        <v>178</v>
      </c>
      <c r="U37" s="87">
        <v>712</v>
      </c>
      <c r="V37" s="87">
        <v>133</v>
      </c>
      <c r="W37" s="87">
        <v>532</v>
      </c>
      <c r="X37" s="89">
        <v>0.13</v>
      </c>
      <c r="Y37" s="8"/>
      <c r="Z37" s="8"/>
      <c r="AA37" s="8"/>
      <c r="AB37" s="8"/>
      <c r="AC37" s="8"/>
    </row>
    <row r="38" spans="1:29" ht="15">
      <c r="A38" s="58"/>
      <c r="B38" s="69">
        <v>6</v>
      </c>
      <c r="C38" s="43" t="s">
        <v>234</v>
      </c>
      <c r="D38" s="69">
        <v>9.9436891104358197E-4</v>
      </c>
      <c r="E38" s="43">
        <f t="shared" si="2"/>
        <v>9.6050696161754698E-2</v>
      </c>
      <c r="F38" s="71">
        <f t="shared" si="3"/>
        <v>9.6050696161754701</v>
      </c>
      <c r="G38" s="84">
        <f t="shared" si="4"/>
        <v>98.259862173475057</v>
      </c>
      <c r="H38" s="43"/>
      <c r="I38" s="8"/>
      <c r="J38" s="8">
        <f t="shared" si="5"/>
        <v>6294.682372960594</v>
      </c>
      <c r="K38" s="88" t="s">
        <v>439</v>
      </c>
      <c r="L38" s="87">
        <v>163</v>
      </c>
      <c r="M38" s="87">
        <v>654</v>
      </c>
      <c r="N38" s="87">
        <v>116</v>
      </c>
      <c r="O38" s="87">
        <v>465</v>
      </c>
      <c r="P38" s="89">
        <v>0.1135</v>
      </c>
      <c r="Q38" s="8"/>
      <c r="R38" s="87"/>
      <c r="S38" s="88">
        <v>-3.26</v>
      </c>
      <c r="T38" s="87">
        <v>187</v>
      </c>
      <c r="U38" s="87">
        <v>747</v>
      </c>
      <c r="V38" s="87">
        <v>143</v>
      </c>
      <c r="W38" s="87">
        <v>573</v>
      </c>
      <c r="X38" s="89">
        <v>0.14000000000000001</v>
      </c>
      <c r="Y38" s="8"/>
      <c r="Z38" s="8"/>
      <c r="AA38" s="8"/>
      <c r="AB38" s="8"/>
      <c r="AC38" s="8"/>
    </row>
    <row r="39" spans="1:29" ht="15">
      <c r="A39" s="58"/>
      <c r="B39" s="69">
        <v>7</v>
      </c>
      <c r="C39" s="43" t="s">
        <v>235</v>
      </c>
      <c r="D39" s="69">
        <v>1.06573821082762E-3</v>
      </c>
      <c r="E39" s="43">
        <f t="shared" si="2"/>
        <v>9.627528313194407E-2</v>
      </c>
      <c r="F39" s="71">
        <f t="shared" si="3"/>
        <v>9.6275283131944072</v>
      </c>
      <c r="G39" s="84">
        <f t="shared" si="4"/>
        <v>98.489614643978783</v>
      </c>
      <c r="H39" s="43"/>
      <c r="I39" s="8"/>
      <c r="J39" s="8">
        <f t="shared" si="5"/>
        <v>6309.4006800519546</v>
      </c>
      <c r="K39" s="88" t="s">
        <v>440</v>
      </c>
      <c r="L39" s="87">
        <v>168</v>
      </c>
      <c r="M39" s="87">
        <v>670</v>
      </c>
      <c r="N39" s="87">
        <v>121</v>
      </c>
      <c r="O39" s="87">
        <v>484</v>
      </c>
      <c r="P39" s="89">
        <v>0.1182</v>
      </c>
      <c r="Q39" s="8"/>
      <c r="R39" s="87"/>
      <c r="S39" s="88">
        <v>-2.9</v>
      </c>
      <c r="T39" s="87">
        <v>195</v>
      </c>
      <c r="U39" s="87">
        <v>782</v>
      </c>
      <c r="V39" s="87">
        <v>153</v>
      </c>
      <c r="W39" s="87">
        <v>614</v>
      </c>
      <c r="X39" s="89">
        <v>0.15</v>
      </c>
      <c r="Y39" s="8"/>
      <c r="Z39" s="8"/>
      <c r="AA39" s="8"/>
      <c r="AB39" s="8"/>
      <c r="AC39" s="8"/>
    </row>
    <row r="40" spans="1:29" ht="15">
      <c r="A40" s="58"/>
      <c r="B40" s="69">
        <v>8</v>
      </c>
      <c r="C40" s="43" t="s">
        <v>236</v>
      </c>
      <c r="D40" s="69">
        <v>1.1422299323759499E-3</v>
      </c>
      <c r="E40" s="43">
        <f t="shared" ref="E40:E49" si="6">(LOG(((2^18-16)/117.45)*D40+64,2)-6)/14*(928/1023)+(95/1023)</f>
        <v>9.6515391937209788E-2</v>
      </c>
      <c r="F40" s="71">
        <f t="shared" si="3"/>
        <v>9.6515391937209785</v>
      </c>
      <c r="G40" s="84">
        <f t="shared" si="4"/>
        <v>98.73524595176562</v>
      </c>
      <c r="H40" s="43"/>
      <c r="I40" s="8"/>
      <c r="J40" s="8">
        <f t="shared" si="5"/>
        <v>6325.1362106050437</v>
      </c>
      <c r="K40" s="88">
        <v>-4</v>
      </c>
      <c r="L40" s="87">
        <v>172</v>
      </c>
      <c r="M40" s="87">
        <v>690</v>
      </c>
      <c r="N40" s="87">
        <v>127</v>
      </c>
      <c r="O40" s="87">
        <v>507</v>
      </c>
      <c r="P40" s="89">
        <v>0.12379999999999999</v>
      </c>
      <c r="Q40" s="8"/>
      <c r="R40" s="87"/>
      <c r="S40" s="88">
        <v>-2.58</v>
      </c>
      <c r="T40" s="87">
        <v>204</v>
      </c>
      <c r="U40" s="87">
        <v>817</v>
      </c>
      <c r="V40" s="87">
        <v>164</v>
      </c>
      <c r="W40" s="87">
        <v>655</v>
      </c>
      <c r="X40" s="89">
        <v>0.16</v>
      </c>
      <c r="Y40" s="8"/>
      <c r="Z40" s="8"/>
      <c r="AA40" s="8"/>
      <c r="AB40" s="8"/>
      <c r="AC40" s="8"/>
    </row>
    <row r="41" spans="1:29" ht="15">
      <c r="A41" s="58"/>
      <c r="B41" s="69">
        <v>9</v>
      </c>
      <c r="C41" s="43" t="s">
        <v>237</v>
      </c>
      <c r="D41" s="69">
        <v>1.22421172963517E-3</v>
      </c>
      <c r="E41" s="43">
        <f t="shared" si="6"/>
        <v>9.6772051300990092E-2</v>
      </c>
      <c r="F41" s="71">
        <f t="shared" si="3"/>
        <v>9.6772051300990096</v>
      </c>
      <c r="G41" s="84">
        <f t="shared" si="4"/>
        <v>98.997808480912866</v>
      </c>
      <c r="H41" s="43"/>
      <c r="I41" s="8"/>
      <c r="J41" s="8">
        <f t="shared" si="5"/>
        <v>6341.9563820103858</v>
      </c>
      <c r="K41" s="88" t="s">
        <v>441</v>
      </c>
      <c r="L41" s="87">
        <v>178</v>
      </c>
      <c r="M41" s="87">
        <v>713</v>
      </c>
      <c r="N41" s="87">
        <v>133</v>
      </c>
      <c r="O41" s="87">
        <v>534</v>
      </c>
      <c r="P41" s="89">
        <v>0.13039999999999999</v>
      </c>
      <c r="Q41" s="8"/>
      <c r="R41" s="87"/>
      <c r="S41" s="88">
        <v>-2.29</v>
      </c>
      <c r="T41" s="87">
        <v>213</v>
      </c>
      <c r="U41" s="87">
        <v>852</v>
      </c>
      <c r="V41" s="87">
        <v>174</v>
      </c>
      <c r="W41" s="87">
        <v>696</v>
      </c>
      <c r="X41" s="89">
        <v>0.17</v>
      </c>
      <c r="Y41" s="8"/>
      <c r="Z41" s="8"/>
      <c r="AA41" s="8"/>
      <c r="AB41" s="8"/>
      <c r="AC41" s="8"/>
    </row>
    <row r="42" spans="1:29" ht="15">
      <c r="A42" s="58"/>
      <c r="B42" s="69">
        <v>10</v>
      </c>
      <c r="C42" s="43" t="s">
        <v>238</v>
      </c>
      <c r="D42" s="69">
        <v>1.31207764434863E-3</v>
      </c>
      <c r="E42" s="43">
        <f t="shared" si="6"/>
        <v>9.7046351872611916E-2</v>
      </c>
      <c r="F42" s="71">
        <f t="shared" si="3"/>
        <v>9.7046351872611911</v>
      </c>
      <c r="G42" s="84">
        <f t="shared" si="4"/>
        <v>99.278417965681996</v>
      </c>
      <c r="H42" s="43"/>
      <c r="I42" s="8"/>
      <c r="J42" s="8">
        <f t="shared" si="5"/>
        <v>6359.9326699716221</v>
      </c>
      <c r="K42" s="88" t="s">
        <v>442</v>
      </c>
      <c r="L42" s="87">
        <v>185</v>
      </c>
      <c r="M42" s="87">
        <v>740</v>
      </c>
      <c r="N42" s="87">
        <v>141</v>
      </c>
      <c r="O42" s="87">
        <v>566</v>
      </c>
      <c r="P42" s="89">
        <v>0.1381</v>
      </c>
      <c r="Q42" s="8"/>
      <c r="R42" s="87"/>
      <c r="S42" s="88">
        <v>-2.0299999999999998</v>
      </c>
      <c r="T42" s="87">
        <v>222</v>
      </c>
      <c r="U42" s="87">
        <v>887</v>
      </c>
      <c r="V42" s="87">
        <v>184</v>
      </c>
      <c r="W42" s="87">
        <v>737</v>
      </c>
      <c r="X42" s="89">
        <v>0.18</v>
      </c>
      <c r="Y42" s="8"/>
      <c r="Z42" s="8"/>
      <c r="AA42" s="8"/>
      <c r="AB42" s="8"/>
      <c r="AC42" s="8"/>
    </row>
    <row r="43" spans="1:29" ht="15">
      <c r="A43" s="58"/>
      <c r="B43" s="69">
        <v>11</v>
      </c>
      <c r="C43" s="43" t="s">
        <v>239</v>
      </c>
      <c r="D43" s="69">
        <v>1.4062499999999999E-3</v>
      </c>
      <c r="E43" s="43">
        <f t="shared" si="6"/>
        <v>9.7339449070738493E-2</v>
      </c>
      <c r="F43" s="71">
        <f t="shared" si="3"/>
        <v>9.73394490707385</v>
      </c>
      <c r="G43" s="84">
        <f t="shared" si="4"/>
        <v>99.578256399365472</v>
      </c>
      <c r="H43" s="43"/>
      <c r="I43" s="8"/>
      <c r="J43" s="8">
        <f t="shared" si="5"/>
        <v>6379.1407948508468</v>
      </c>
      <c r="K43" s="88">
        <v>-3</v>
      </c>
      <c r="L43" s="87">
        <v>193</v>
      </c>
      <c r="M43" s="87">
        <v>771</v>
      </c>
      <c r="N43" s="87">
        <v>150</v>
      </c>
      <c r="O43" s="87">
        <v>602</v>
      </c>
      <c r="P43" s="89">
        <v>0.14699999999999999</v>
      </c>
      <c r="Q43" s="8"/>
      <c r="R43" s="87"/>
      <c r="S43" s="88">
        <v>-1.78</v>
      </c>
      <c r="T43" s="87">
        <v>230</v>
      </c>
      <c r="U43" s="87">
        <v>922</v>
      </c>
      <c r="V43" s="87">
        <v>194</v>
      </c>
      <c r="W43" s="87">
        <v>778</v>
      </c>
      <c r="X43" s="89">
        <v>0.19</v>
      </c>
      <c r="Y43" s="8"/>
      <c r="Z43" s="8"/>
      <c r="AA43" s="8"/>
      <c r="AB43" s="8"/>
      <c r="AC43" s="8"/>
    </row>
    <row r="44" spans="1:29" ht="15">
      <c r="A44" s="58"/>
      <c r="B44" s="69">
        <v>12</v>
      </c>
      <c r="C44" s="43" t="s">
        <v>240</v>
      </c>
      <c r="D44" s="69">
        <v>1.5071814316916601E-3</v>
      </c>
      <c r="E44" s="43">
        <f t="shared" si="6"/>
        <v>9.7652565928861637E-2</v>
      </c>
      <c r="F44" s="71">
        <f t="shared" si="3"/>
        <v>9.7652565928861641</v>
      </c>
      <c r="G44" s="84">
        <f t="shared" si="4"/>
        <v>99.898574945225448</v>
      </c>
      <c r="H44" s="43"/>
      <c r="I44" s="8"/>
      <c r="J44" s="8">
        <f t="shared" si="5"/>
        <v>6399.6609081479473</v>
      </c>
      <c r="K44" s="88" t="s">
        <v>443</v>
      </c>
      <c r="L44" s="87">
        <v>202</v>
      </c>
      <c r="M44" s="87">
        <v>807</v>
      </c>
      <c r="N44" s="87">
        <v>161</v>
      </c>
      <c r="O44" s="87">
        <v>643</v>
      </c>
      <c r="P44" s="89">
        <v>0.15709999999999999</v>
      </c>
      <c r="Q44" s="8"/>
      <c r="R44" s="87"/>
      <c r="S44" s="88">
        <v>-1.55</v>
      </c>
      <c r="T44" s="87">
        <v>239</v>
      </c>
      <c r="U44" s="87">
        <v>957</v>
      </c>
      <c r="V44" s="87">
        <v>205</v>
      </c>
      <c r="W44" s="87">
        <v>819</v>
      </c>
      <c r="X44" s="89">
        <v>0.2</v>
      </c>
      <c r="Y44" s="8"/>
      <c r="Z44" s="8"/>
      <c r="AA44" s="8"/>
      <c r="AB44" s="8"/>
      <c r="AC44" s="8"/>
    </row>
    <row r="45" spans="1:29" ht="15">
      <c r="A45" s="58"/>
      <c r="B45" s="69">
        <v>13</v>
      </c>
      <c r="C45" s="43" t="s">
        <v>241</v>
      </c>
      <c r="D45" s="69">
        <v>1.6153570617145801E-3</v>
      </c>
      <c r="E45" s="43">
        <f t="shared" si="6"/>
        <v>9.7986995920344003E-2</v>
      </c>
      <c r="F45" s="71">
        <f t="shared" si="3"/>
        <v>9.7986995920344011</v>
      </c>
      <c r="G45" s="84">
        <f t="shared" si="4"/>
        <v>100.24069682651192</v>
      </c>
      <c r="H45" s="43"/>
      <c r="I45" s="8"/>
      <c r="J45" s="8">
        <f t="shared" si="5"/>
        <v>6421.5777776397445</v>
      </c>
      <c r="K45" s="88" t="s">
        <v>444</v>
      </c>
      <c r="L45" s="87">
        <v>212</v>
      </c>
      <c r="M45" s="87">
        <v>846</v>
      </c>
      <c r="N45" s="87">
        <v>172</v>
      </c>
      <c r="O45" s="87">
        <v>690</v>
      </c>
      <c r="P45" s="89">
        <v>0.16850000000000001</v>
      </c>
      <c r="Q45" s="8"/>
      <c r="R45" s="87"/>
      <c r="S45" s="88">
        <v>-1.33</v>
      </c>
      <c r="T45" s="87">
        <v>248</v>
      </c>
      <c r="U45" s="87">
        <v>992</v>
      </c>
      <c r="V45" s="87">
        <v>215</v>
      </c>
      <c r="W45" s="87">
        <v>860</v>
      </c>
      <c r="X45" s="89">
        <v>0.21</v>
      </c>
      <c r="Y45" s="8"/>
      <c r="Z45" s="8"/>
      <c r="AA45" s="8"/>
      <c r="AB45" s="8"/>
      <c r="AC45" s="8"/>
    </row>
    <row r="46" spans="1:29" ht="15">
      <c r="A46" s="58"/>
      <c r="B46" s="69">
        <v>14</v>
      </c>
      <c r="C46" s="43" t="s">
        <v>242</v>
      </c>
      <c r="D46" s="69">
        <v>1.73129683126628E-3</v>
      </c>
      <c r="E46" s="43">
        <f t="shared" si="6"/>
        <v>9.8344105736970888E-2</v>
      </c>
      <c r="F46" s="71">
        <f t="shared" si="3"/>
        <v>9.8344105736970882</v>
      </c>
      <c r="G46" s="84">
        <f t="shared" si="4"/>
        <v>100.60602016892122</v>
      </c>
      <c r="H46" s="43"/>
      <c r="I46" s="8"/>
      <c r="J46" s="8">
        <f t="shared" si="5"/>
        <v>6444.9809694723872</v>
      </c>
      <c r="K46" s="88">
        <v>-2</v>
      </c>
      <c r="L46" s="87">
        <v>223</v>
      </c>
      <c r="M46" s="87">
        <v>891</v>
      </c>
      <c r="N46" s="87">
        <v>185</v>
      </c>
      <c r="O46" s="87">
        <v>742</v>
      </c>
      <c r="P46" s="89">
        <v>0.18110000000000001</v>
      </c>
      <c r="Q46" s="8"/>
      <c r="R46" s="87"/>
      <c r="S46" s="88">
        <v>-1.1200000000000001</v>
      </c>
      <c r="T46" s="87">
        <v>257</v>
      </c>
      <c r="U46" s="87">
        <v>1027</v>
      </c>
      <c r="V46" s="87">
        <v>225</v>
      </c>
      <c r="W46" s="87">
        <v>901</v>
      </c>
      <c r="X46" s="89">
        <v>0.22</v>
      </c>
      <c r="Y46" s="8"/>
      <c r="Z46" s="8"/>
      <c r="AA46" s="8"/>
      <c r="AB46" s="8"/>
      <c r="AC46" s="8"/>
    </row>
    <row r="47" spans="1:29" ht="15">
      <c r="A47" s="58"/>
      <c r="B47" s="69">
        <v>15</v>
      </c>
      <c r="C47" s="43" t="s">
        <v>243</v>
      </c>
      <c r="D47" s="69">
        <v>1.85555799952438E-3</v>
      </c>
      <c r="E47" s="43">
        <f t="shared" si="6"/>
        <v>9.8725337991153808E-2</v>
      </c>
      <c r="F47" s="71">
        <f t="shared" si="3"/>
        <v>9.8725337991153808</v>
      </c>
      <c r="G47" s="84">
        <f t="shared" si="4"/>
        <v>100.99602076495034</v>
      </c>
      <c r="H47" s="43"/>
      <c r="I47" s="8"/>
      <c r="J47" s="8">
        <f t="shared" si="5"/>
        <v>6469.9650252502652</v>
      </c>
      <c r="K47" s="88" t="s">
        <v>445</v>
      </c>
      <c r="L47" s="87">
        <v>235</v>
      </c>
      <c r="M47" s="87">
        <v>939</v>
      </c>
      <c r="N47" s="87">
        <v>199</v>
      </c>
      <c r="O47" s="87">
        <v>798</v>
      </c>
      <c r="P47" s="89">
        <v>0.19489999999999999</v>
      </c>
      <c r="Q47" s="8"/>
      <c r="R47" s="87"/>
      <c r="S47" s="88">
        <v>-0.91</v>
      </c>
      <c r="T47" s="87">
        <v>265</v>
      </c>
      <c r="U47" s="87">
        <v>1062</v>
      </c>
      <c r="V47" s="87">
        <v>235</v>
      </c>
      <c r="W47" s="87">
        <v>942</v>
      </c>
      <c r="X47" s="89">
        <v>0.23</v>
      </c>
      <c r="Y47" s="8"/>
      <c r="Z47" s="8"/>
      <c r="AA47" s="8"/>
      <c r="AB47" s="8"/>
      <c r="AC47" s="8"/>
    </row>
    <row r="48" spans="1:29" ht="15">
      <c r="A48" s="58"/>
      <c r="B48" s="69">
        <v>16</v>
      </c>
      <c r="C48" s="43" t="s">
        <v>244</v>
      </c>
      <c r="D48" s="69">
        <v>1.98873782208716E-3</v>
      </c>
      <c r="E48" s="43">
        <f t="shared" si="6"/>
        <v>9.9132213807830924E-2</v>
      </c>
      <c r="F48" s="71">
        <f t="shared" si="3"/>
        <v>9.9132213807830922</v>
      </c>
      <c r="G48" s="84">
        <f t="shared" si="4"/>
        <v>101.41225472541103</v>
      </c>
      <c r="H48" s="43"/>
      <c r="I48" s="8"/>
      <c r="J48" s="8">
        <f t="shared" si="5"/>
        <v>6496.6296318961995</v>
      </c>
      <c r="K48" s="88" t="s">
        <v>446</v>
      </c>
      <c r="L48" s="87">
        <v>248</v>
      </c>
      <c r="M48" s="87">
        <v>991</v>
      </c>
      <c r="N48" s="87">
        <v>215</v>
      </c>
      <c r="O48" s="87">
        <v>859</v>
      </c>
      <c r="P48" s="89">
        <v>0.2097</v>
      </c>
      <c r="Q48" s="8"/>
      <c r="R48" s="87"/>
      <c r="S48" s="88">
        <v>-0.71</v>
      </c>
      <c r="T48" s="87">
        <v>274</v>
      </c>
      <c r="U48" s="87">
        <v>1097</v>
      </c>
      <c r="V48" s="87">
        <v>246</v>
      </c>
      <c r="W48" s="87">
        <v>983</v>
      </c>
      <c r="X48" s="89">
        <v>0.24</v>
      </c>
      <c r="Y48" s="8"/>
      <c r="Z48" s="8"/>
      <c r="AA48" s="8"/>
      <c r="AB48" s="8"/>
      <c r="AC48" s="8"/>
    </row>
    <row r="49" spans="1:29" ht="15">
      <c r="A49" s="58"/>
      <c r="B49" s="69">
        <v>17</v>
      </c>
      <c r="C49" s="43" t="s">
        <v>245</v>
      </c>
      <c r="D49" s="69">
        <v>2.13147642165524E-3</v>
      </c>
      <c r="E49" s="43">
        <f t="shared" si="6"/>
        <v>9.9566335267784065E-2</v>
      </c>
      <c r="F49" s="71">
        <f t="shared" si="3"/>
        <v>9.9566335267784059</v>
      </c>
      <c r="G49" s="84">
        <f t="shared" si="4"/>
        <v>101.8563609789431</v>
      </c>
      <c r="H49" s="43"/>
      <c r="I49" s="8"/>
      <c r="J49" s="8">
        <f t="shared" si="5"/>
        <v>6525.0797817742286</v>
      </c>
      <c r="K49" s="88">
        <v>-1</v>
      </c>
      <c r="L49" s="87">
        <v>262</v>
      </c>
      <c r="M49" s="87">
        <v>1047</v>
      </c>
      <c r="N49" s="87">
        <v>231</v>
      </c>
      <c r="O49" s="87">
        <v>924</v>
      </c>
      <c r="P49" s="89">
        <v>0.22559999999999999</v>
      </c>
      <c r="Q49" s="8"/>
      <c r="R49" s="87"/>
      <c r="S49" s="88">
        <v>-0.52</v>
      </c>
      <c r="T49" s="87">
        <v>283</v>
      </c>
      <c r="U49" s="87">
        <v>1132</v>
      </c>
      <c r="V49" s="87">
        <v>256</v>
      </c>
      <c r="W49" s="87">
        <v>1024</v>
      </c>
      <c r="X49" s="89">
        <v>0.25</v>
      </c>
      <c r="Y49" s="8"/>
      <c r="Z49" s="8"/>
      <c r="AA49" s="8"/>
      <c r="AB49" s="8"/>
      <c r="AC49" s="8"/>
    </row>
    <row r="50" spans="1:29" ht="15">
      <c r="A50" s="58"/>
      <c r="B50" s="69">
        <v>18</v>
      </c>
      <c r="C50" s="43" t="s">
        <v>246</v>
      </c>
      <c r="D50" s="69">
        <v>2.2844598647519098E-3</v>
      </c>
      <c r="E50" s="43">
        <f t="shared" ref="E50:E60" si="7">(LOG(((2^18-16)/117.45)*D50+64,2)-6)/14*(928/1023)+(95/1023)</f>
        <v>0.10002938765955195</v>
      </c>
      <c r="F50" s="71">
        <f t="shared" si="3"/>
        <v>10.002938765955195</v>
      </c>
      <c r="G50" s="84">
        <f t="shared" si="4"/>
        <v>102.33006357572165</v>
      </c>
      <c r="H50" s="43"/>
      <c r="I50" s="8"/>
      <c r="J50" s="8">
        <f t="shared" si="5"/>
        <v>6555.4259202687372</v>
      </c>
      <c r="K50" s="90">
        <v>45353</v>
      </c>
      <c r="L50" s="87">
        <v>276</v>
      </c>
      <c r="M50" s="87">
        <v>1106</v>
      </c>
      <c r="N50" s="87">
        <v>248</v>
      </c>
      <c r="O50" s="87">
        <v>993</v>
      </c>
      <c r="P50" s="89">
        <v>0.24249999999999999</v>
      </c>
      <c r="Q50" s="8"/>
      <c r="R50" s="87"/>
      <c r="S50" s="88">
        <v>-0.33</v>
      </c>
      <c r="T50" s="87">
        <v>292</v>
      </c>
      <c r="U50" s="87">
        <v>1167</v>
      </c>
      <c r="V50" s="87">
        <v>266</v>
      </c>
      <c r="W50" s="87">
        <v>1065</v>
      </c>
      <c r="X50" s="89">
        <v>0.26</v>
      </c>
      <c r="Y50" s="8"/>
      <c r="Z50" s="8"/>
      <c r="AA50" s="8"/>
      <c r="AB50" s="8"/>
      <c r="AC50" s="8"/>
    </row>
    <row r="51" spans="1:29" ht="15">
      <c r="A51" s="58"/>
      <c r="B51" s="69">
        <v>19</v>
      </c>
      <c r="C51" s="43" t="s">
        <v>247</v>
      </c>
      <c r="D51" s="69">
        <v>2.44842345927034E-3</v>
      </c>
      <c r="E51" s="43">
        <f t="shared" si="7"/>
        <v>0.10052314149243714</v>
      </c>
      <c r="F51" s="71">
        <f t="shared" si="3"/>
        <v>10.052314149243715</v>
      </c>
      <c r="G51" s="84">
        <f t="shared" si="4"/>
        <v>102.8351737467632</v>
      </c>
      <c r="H51" s="43"/>
      <c r="I51" s="8"/>
      <c r="J51" s="8">
        <f t="shared" si="5"/>
        <v>6587.7840777068677</v>
      </c>
      <c r="K51" s="90">
        <v>45352</v>
      </c>
      <c r="L51" s="87">
        <v>292</v>
      </c>
      <c r="M51" s="87">
        <v>1167</v>
      </c>
      <c r="N51" s="87">
        <v>266</v>
      </c>
      <c r="O51" s="87">
        <v>1065</v>
      </c>
      <c r="P51" s="89">
        <v>0.2601</v>
      </c>
      <c r="Q51" s="8"/>
      <c r="R51" s="87"/>
      <c r="S51" s="88">
        <v>-0.15</v>
      </c>
      <c r="T51" s="87">
        <v>301</v>
      </c>
      <c r="U51" s="87">
        <v>1202</v>
      </c>
      <c r="V51" s="87">
        <v>276</v>
      </c>
      <c r="W51" s="87">
        <v>1106</v>
      </c>
      <c r="X51" s="89">
        <v>0.27</v>
      </c>
      <c r="Y51" s="8"/>
      <c r="Z51" s="8"/>
      <c r="AA51" s="8"/>
      <c r="AB51" s="8"/>
      <c r="AC51" s="8"/>
    </row>
    <row r="52" spans="1:29" ht="15">
      <c r="A52" s="58"/>
      <c r="B52" s="69">
        <v>20</v>
      </c>
      <c r="C52" s="43" t="s">
        <v>248</v>
      </c>
      <c r="D52" s="69">
        <v>2.6241552886972701E-3</v>
      </c>
      <c r="E52" s="43">
        <f t="shared" si="7"/>
        <v>0.10104945421834251</v>
      </c>
      <c r="F52" s="71">
        <f t="shared" si="3"/>
        <v>10.10494542183425</v>
      </c>
      <c r="G52" s="84">
        <f t="shared" si="4"/>
        <v>103.37359166536439</v>
      </c>
      <c r="H52" s="43"/>
      <c r="I52" s="8"/>
      <c r="J52" s="8">
        <f t="shared" si="5"/>
        <v>6622.2759821990767</v>
      </c>
      <c r="K52" s="88">
        <v>0</v>
      </c>
      <c r="L52" s="87">
        <v>308</v>
      </c>
      <c r="M52" s="87">
        <v>1232</v>
      </c>
      <c r="N52" s="87">
        <v>285</v>
      </c>
      <c r="O52" s="87">
        <v>1140</v>
      </c>
      <c r="P52" s="89">
        <v>0.27839999999999998</v>
      </c>
      <c r="Q52" s="8"/>
      <c r="R52" s="87"/>
      <c r="S52" s="88">
        <v>0</v>
      </c>
      <c r="T52" s="87">
        <v>308</v>
      </c>
      <c r="U52" s="87">
        <v>1232</v>
      </c>
      <c r="V52" s="87">
        <v>285</v>
      </c>
      <c r="W52" s="87">
        <v>1140</v>
      </c>
      <c r="X52" s="89">
        <v>0.27839999999999998</v>
      </c>
      <c r="Y52" s="8"/>
      <c r="Z52" s="8"/>
      <c r="AA52" s="8"/>
      <c r="AB52" s="8"/>
      <c r="AC52" s="8"/>
    </row>
    <row r="53" spans="1:29" ht="15">
      <c r="A53" s="58"/>
      <c r="B53" s="69">
        <v>21</v>
      </c>
      <c r="C53" s="43" t="s">
        <v>249</v>
      </c>
      <c r="D53" s="69">
        <v>2.8124999999999999E-3</v>
      </c>
      <c r="E53" s="43">
        <f t="shared" si="7"/>
        <v>0.10161027160541632</v>
      </c>
      <c r="F53" s="71">
        <f t="shared" si="3"/>
        <v>10.161027160541632</v>
      </c>
      <c r="G53" s="84">
        <f t="shared" si="4"/>
        <v>103.9473078523409</v>
      </c>
      <c r="H53" s="43"/>
      <c r="I53" s="8"/>
      <c r="J53" s="8">
        <f t="shared" si="5"/>
        <v>6659.029149660958</v>
      </c>
      <c r="K53" s="90">
        <v>45352</v>
      </c>
      <c r="L53" s="87">
        <v>324</v>
      </c>
      <c r="M53" s="87">
        <v>1298</v>
      </c>
      <c r="N53" s="87">
        <v>304</v>
      </c>
      <c r="O53" s="87">
        <v>1217</v>
      </c>
      <c r="P53" s="89">
        <v>0.29730000000000001</v>
      </c>
      <c r="Q53" s="8"/>
      <c r="R53" s="87"/>
      <c r="S53" s="88">
        <v>0.03</v>
      </c>
      <c r="T53" s="87">
        <v>309</v>
      </c>
      <c r="U53" s="87">
        <v>1237</v>
      </c>
      <c r="V53" s="87">
        <v>286</v>
      </c>
      <c r="W53" s="87">
        <v>1147</v>
      </c>
      <c r="X53" s="89">
        <v>0.28000000000000003</v>
      </c>
      <c r="Y53" s="8"/>
      <c r="Z53" s="8"/>
      <c r="AA53" s="8"/>
      <c r="AB53" s="8"/>
      <c r="AC53" s="8"/>
    </row>
    <row r="54" spans="1:29" ht="15">
      <c r="A54" s="58"/>
      <c r="B54" s="69">
        <v>22</v>
      </c>
      <c r="C54" s="43" t="s">
        <v>250</v>
      </c>
      <c r="D54" s="69">
        <v>3.0143628633833202E-3</v>
      </c>
      <c r="E54" s="43">
        <f t="shared" si="7"/>
        <v>0.10220762870186138</v>
      </c>
      <c r="F54" s="71">
        <f t="shared" si="3"/>
        <v>10.220762870186139</v>
      </c>
      <c r="G54" s="84">
        <f t="shared" si="4"/>
        <v>104.55840416200419</v>
      </c>
      <c r="H54" s="43"/>
      <c r="I54" s="8"/>
      <c r="J54" s="8">
        <f t="shared" si="5"/>
        <v>6698.1769469764859</v>
      </c>
      <c r="K54" s="90">
        <v>45353</v>
      </c>
      <c r="L54" s="87">
        <v>341</v>
      </c>
      <c r="M54" s="87">
        <v>1366</v>
      </c>
      <c r="N54" s="87">
        <v>324</v>
      </c>
      <c r="O54" s="87">
        <v>1297</v>
      </c>
      <c r="P54" s="89">
        <v>0.31669999999999998</v>
      </c>
      <c r="Q54" s="8"/>
      <c r="R54" s="87"/>
      <c r="S54" s="88">
        <v>0.21</v>
      </c>
      <c r="T54" s="87">
        <v>318</v>
      </c>
      <c r="U54" s="87">
        <v>1272</v>
      </c>
      <c r="V54" s="87">
        <v>297</v>
      </c>
      <c r="W54" s="87">
        <v>1188</v>
      </c>
      <c r="X54" s="89">
        <v>0.28999999999999998</v>
      </c>
      <c r="Y54" s="8"/>
      <c r="Z54" s="8"/>
      <c r="AA54" s="8"/>
      <c r="AB54" s="8"/>
      <c r="AC54" s="8"/>
    </row>
    <row r="55" spans="1:29" ht="15">
      <c r="A55" s="58"/>
      <c r="B55" s="69">
        <v>23</v>
      </c>
      <c r="C55" s="43" t="s">
        <v>251</v>
      </c>
      <c r="D55" s="69">
        <v>3.2307141234291601E-3</v>
      </c>
      <c r="E55" s="43">
        <f t="shared" si="7"/>
        <v>0.10284365032388416</v>
      </c>
      <c r="F55" s="71">
        <f t="shared" si="3"/>
        <v>10.284365032388417</v>
      </c>
      <c r="G55" s="84">
        <f t="shared" si="4"/>
        <v>105.20905428133349</v>
      </c>
      <c r="H55" s="43"/>
      <c r="I55" s="8"/>
      <c r="J55" s="8">
        <f t="shared" si="5"/>
        <v>6739.8586239757487</v>
      </c>
      <c r="K55" s="88">
        <v>1</v>
      </c>
      <c r="L55" s="87">
        <v>359</v>
      </c>
      <c r="M55" s="87">
        <v>1435</v>
      </c>
      <c r="N55" s="87">
        <v>344</v>
      </c>
      <c r="O55" s="87">
        <v>1378</v>
      </c>
      <c r="P55" s="89">
        <v>0.33650000000000002</v>
      </c>
      <c r="Q55" s="8"/>
      <c r="R55" s="87"/>
      <c r="S55" s="88">
        <v>0.38</v>
      </c>
      <c r="T55" s="87">
        <v>327</v>
      </c>
      <c r="U55" s="87">
        <v>1307</v>
      </c>
      <c r="V55" s="87">
        <v>307</v>
      </c>
      <c r="W55" s="87">
        <v>1229</v>
      </c>
      <c r="X55" s="89">
        <v>0.3</v>
      </c>
      <c r="Y55" s="8"/>
      <c r="Z55" s="8"/>
      <c r="AA55" s="8"/>
      <c r="AB55" s="8"/>
      <c r="AC55" s="8"/>
    </row>
    <row r="56" spans="1:29" ht="15">
      <c r="A56" s="58"/>
      <c r="B56" s="69">
        <v>24</v>
      </c>
      <c r="C56" s="43" t="s">
        <v>252</v>
      </c>
      <c r="D56" s="69">
        <v>3.46259366253257E-3</v>
      </c>
      <c r="E56" s="43">
        <f t="shared" si="7"/>
        <v>0.1035205509978069</v>
      </c>
      <c r="F56" s="71">
        <f t="shared" si="3"/>
        <v>10.35205509978069</v>
      </c>
      <c r="G56" s="84">
        <f t="shared" si="4"/>
        <v>105.90152367075646</v>
      </c>
      <c r="H56" s="43"/>
      <c r="I56" s="8"/>
      <c r="J56" s="8">
        <f t="shared" si="5"/>
        <v>6784.2193096412748</v>
      </c>
      <c r="K56" s="88" t="s">
        <v>447</v>
      </c>
      <c r="L56" s="87">
        <v>376</v>
      </c>
      <c r="M56" s="87">
        <v>1506</v>
      </c>
      <c r="N56" s="87">
        <v>365</v>
      </c>
      <c r="O56" s="87">
        <v>1461</v>
      </c>
      <c r="P56" s="89">
        <v>0.35670000000000002</v>
      </c>
      <c r="Q56" s="8"/>
      <c r="R56" s="87"/>
      <c r="S56" s="88">
        <v>0.55000000000000004</v>
      </c>
      <c r="T56" s="87">
        <v>336</v>
      </c>
      <c r="U56" s="87">
        <v>1342</v>
      </c>
      <c r="V56" s="87">
        <v>317</v>
      </c>
      <c r="W56" s="87">
        <v>1269</v>
      </c>
      <c r="X56" s="89">
        <v>0.31</v>
      </c>
      <c r="Y56" s="8"/>
      <c r="Z56" s="8"/>
      <c r="AA56" s="8"/>
      <c r="AB56" s="8"/>
      <c r="AC56" s="8"/>
    </row>
    <row r="57" spans="1:29" ht="15">
      <c r="A57" s="58"/>
      <c r="B57" s="69">
        <v>25</v>
      </c>
      <c r="C57" s="43" t="s">
        <v>253</v>
      </c>
      <c r="D57" s="69">
        <v>3.71111599904876E-3</v>
      </c>
      <c r="E57" s="43">
        <f t="shared" si="7"/>
        <v>0.10424063428300696</v>
      </c>
      <c r="F57" s="71">
        <f t="shared" si="3"/>
        <v>10.424063428300697</v>
      </c>
      <c r="G57" s="84">
        <f t="shared" si="4"/>
        <v>106.63816887151613</v>
      </c>
      <c r="H57" s="43"/>
      <c r="I57" s="8"/>
      <c r="J57" s="8">
        <f t="shared" si="5"/>
        <v>6831.4099677368613</v>
      </c>
      <c r="K57" s="88" t="s">
        <v>448</v>
      </c>
      <c r="L57" s="87">
        <v>394</v>
      </c>
      <c r="M57" s="87">
        <v>1578</v>
      </c>
      <c r="N57" s="87">
        <v>386</v>
      </c>
      <c r="O57" s="87">
        <v>1544</v>
      </c>
      <c r="P57" s="89">
        <v>0.37719999999999998</v>
      </c>
      <c r="Q57" s="8"/>
      <c r="R57" s="87"/>
      <c r="S57" s="88">
        <v>0.72</v>
      </c>
      <c r="T57" s="87">
        <v>344</v>
      </c>
      <c r="U57" s="87">
        <v>1377</v>
      </c>
      <c r="V57" s="87">
        <v>327</v>
      </c>
      <c r="W57" s="87">
        <v>1310</v>
      </c>
      <c r="X57" s="89">
        <v>0.32</v>
      </c>
      <c r="Y57" s="8"/>
      <c r="Z57" s="8"/>
      <c r="AA57" s="8"/>
      <c r="AB57" s="8"/>
      <c r="AC57" s="8"/>
    </row>
    <row r="58" spans="1:29" ht="15">
      <c r="A58" s="58"/>
      <c r="B58" s="69">
        <v>26</v>
      </c>
      <c r="C58" s="43" t="s">
        <v>254</v>
      </c>
      <c r="D58" s="69">
        <v>3.9774756441743296E-3</v>
      </c>
      <c r="E58" s="43">
        <f t="shared" si="7"/>
        <v>0.10500629139979506</v>
      </c>
      <c r="F58" s="71">
        <f t="shared" si="3"/>
        <v>10.500629139979505</v>
      </c>
      <c r="G58" s="84">
        <f t="shared" si="4"/>
        <v>107.42143610199035</v>
      </c>
      <c r="H58" s="43"/>
      <c r="I58" s="8"/>
      <c r="J58" s="8">
        <f t="shared" si="5"/>
        <v>6881.587306885569</v>
      </c>
      <c r="K58" s="88">
        <v>2</v>
      </c>
      <c r="L58" s="87">
        <v>412</v>
      </c>
      <c r="M58" s="87">
        <v>1650</v>
      </c>
      <c r="N58" s="87">
        <v>407</v>
      </c>
      <c r="O58" s="87">
        <v>1629</v>
      </c>
      <c r="P58" s="89">
        <v>0.39779999999999999</v>
      </c>
      <c r="Q58" s="8"/>
      <c r="R58" s="87"/>
      <c r="S58" s="88">
        <v>0.89</v>
      </c>
      <c r="T58" s="87">
        <v>353</v>
      </c>
      <c r="U58" s="87">
        <v>1412</v>
      </c>
      <c r="V58" s="87">
        <v>338</v>
      </c>
      <c r="W58" s="87">
        <v>1351</v>
      </c>
      <c r="X58" s="89">
        <v>0.33</v>
      </c>
      <c r="Y58" s="8"/>
      <c r="Z58" s="8"/>
      <c r="AA58" s="8"/>
      <c r="AB58" s="8"/>
      <c r="AC58" s="8"/>
    </row>
    <row r="59" spans="1:29" ht="15">
      <c r="A59" s="58"/>
      <c r="B59" s="69">
        <v>27</v>
      </c>
      <c r="C59" s="43" t="s">
        <v>255</v>
      </c>
      <c r="D59" s="69">
        <v>4.2629528433104904E-3</v>
      </c>
      <c r="E59" s="43">
        <f t="shared" si="7"/>
        <v>0.10581999908483826</v>
      </c>
      <c r="F59" s="71">
        <f t="shared" si="3"/>
        <v>10.581999908483827</v>
      </c>
      <c r="G59" s="84">
        <f t="shared" si="4"/>
        <v>108.25385906378953</v>
      </c>
      <c r="H59" s="43"/>
      <c r="I59" s="8"/>
      <c r="J59" s="8">
        <f t="shared" si="5"/>
        <v>6934.9136400248753</v>
      </c>
      <c r="K59" s="88" t="s">
        <v>449</v>
      </c>
      <c r="L59" s="87">
        <v>431</v>
      </c>
      <c r="M59" s="87">
        <v>1723</v>
      </c>
      <c r="N59" s="87">
        <v>428</v>
      </c>
      <c r="O59" s="87">
        <v>1714</v>
      </c>
      <c r="P59" s="89">
        <v>0.41870000000000002</v>
      </c>
      <c r="Q59" s="8"/>
      <c r="R59" s="87"/>
      <c r="S59" s="88">
        <v>1.06</v>
      </c>
      <c r="T59" s="87">
        <v>362</v>
      </c>
      <c r="U59" s="87">
        <v>1447</v>
      </c>
      <c r="V59" s="87">
        <v>348</v>
      </c>
      <c r="W59" s="87">
        <v>1392</v>
      </c>
      <c r="X59" s="89">
        <v>0.34</v>
      </c>
      <c r="Y59" s="8"/>
      <c r="Z59" s="8"/>
      <c r="AA59" s="8"/>
      <c r="AB59" s="8"/>
      <c r="AC59" s="8"/>
    </row>
    <row r="60" spans="1:29" ht="15">
      <c r="A60" s="58"/>
      <c r="B60" s="69">
        <v>28</v>
      </c>
      <c r="C60" s="43" t="s">
        <v>256</v>
      </c>
      <c r="D60" s="69">
        <v>4.5689197295038196E-3</v>
      </c>
      <c r="E60" s="43">
        <f t="shared" si="7"/>
        <v>0.10668431659650789</v>
      </c>
      <c r="F60" s="71">
        <f t="shared" si="3"/>
        <v>10.668431659650789</v>
      </c>
      <c r="G60" s="84">
        <f t="shared" si="4"/>
        <v>109.13805587822756</v>
      </c>
      <c r="H60" s="43"/>
      <c r="I60" s="8"/>
      <c r="J60" s="8">
        <f t="shared" si="5"/>
        <v>6991.5566881521445</v>
      </c>
      <c r="K60" s="90">
        <v>45373</v>
      </c>
      <c r="L60" s="87">
        <v>449</v>
      </c>
      <c r="M60" s="87">
        <v>1797</v>
      </c>
      <c r="N60" s="87">
        <v>450</v>
      </c>
      <c r="O60" s="87">
        <v>1800</v>
      </c>
      <c r="P60" s="89">
        <v>0.43969999999999998</v>
      </c>
      <c r="Q60" s="8"/>
      <c r="R60" s="87"/>
      <c r="S60" s="88">
        <v>1.22</v>
      </c>
      <c r="T60" s="87">
        <v>371</v>
      </c>
      <c r="U60" s="87">
        <v>1482</v>
      </c>
      <c r="V60" s="87">
        <v>358</v>
      </c>
      <c r="W60" s="87">
        <v>1433</v>
      </c>
      <c r="X60" s="89">
        <v>0.35</v>
      </c>
      <c r="Y60" s="8"/>
      <c r="Z60" s="8"/>
      <c r="AA60" s="8"/>
      <c r="AB60" s="8"/>
      <c r="AC60" s="8"/>
    </row>
    <row r="61" spans="1:29" ht="15">
      <c r="A61" s="58"/>
      <c r="B61" s="69">
        <v>29</v>
      </c>
      <c r="C61" s="43" t="s">
        <v>257</v>
      </c>
      <c r="D61" s="69">
        <v>4.8968469185406904E-3</v>
      </c>
      <c r="E61" s="43">
        <f t="shared" ref="E61:E70" si="8">(LOG(((2^18-16)/117.45)*D61+64,2)-6)/14*(928/1023)+(95/1023)</f>
        <v>0.10760188179387158</v>
      </c>
      <c r="F61" s="71">
        <f t="shared" si="3"/>
        <v>10.760188179387157</v>
      </c>
      <c r="G61" s="84">
        <f t="shared" si="4"/>
        <v>110.07672507513062</v>
      </c>
      <c r="H61" s="43"/>
      <c r="I61" s="8"/>
      <c r="J61" s="8">
        <f t="shared" si="5"/>
        <v>7051.6893233613737</v>
      </c>
      <c r="K61" s="88">
        <v>3</v>
      </c>
      <c r="L61" s="87">
        <v>468</v>
      </c>
      <c r="M61" s="87">
        <v>1871</v>
      </c>
      <c r="N61" s="87">
        <v>471</v>
      </c>
      <c r="O61" s="87">
        <v>1887</v>
      </c>
      <c r="P61" s="89">
        <v>0.46079999999999999</v>
      </c>
      <c r="Q61" s="8"/>
      <c r="R61" s="87"/>
      <c r="S61" s="88">
        <v>1.39</v>
      </c>
      <c r="T61" s="87">
        <v>379</v>
      </c>
      <c r="U61" s="87">
        <v>1517</v>
      </c>
      <c r="V61" s="87">
        <v>368</v>
      </c>
      <c r="W61" s="87">
        <v>1474</v>
      </c>
      <c r="X61" s="89">
        <v>0.36</v>
      </c>
      <c r="Y61" s="8"/>
      <c r="Z61" s="8"/>
      <c r="AA61" s="8"/>
      <c r="AB61" s="8"/>
      <c r="AC61" s="8"/>
    </row>
    <row r="62" spans="1:29" ht="15">
      <c r="A62" s="58"/>
      <c r="B62" s="69">
        <v>30</v>
      </c>
      <c r="C62" s="43" t="s">
        <v>258</v>
      </c>
      <c r="D62" s="69">
        <v>5.2483105773945401E-3</v>
      </c>
      <c r="E62" s="43">
        <f t="shared" si="8"/>
        <v>0.10857540621620673</v>
      </c>
      <c r="F62" s="71">
        <f t="shared" si="3"/>
        <v>10.857540621620673</v>
      </c>
      <c r="G62" s="84">
        <f t="shared" si="4"/>
        <v>111.07264055917949</v>
      </c>
      <c r="H62" s="43"/>
      <c r="I62" s="8"/>
      <c r="J62" s="8">
        <f t="shared" si="5"/>
        <v>7115.4892463791084</v>
      </c>
      <c r="K62" s="88" t="s">
        <v>450</v>
      </c>
      <c r="L62" s="87">
        <v>486</v>
      </c>
      <c r="M62" s="87">
        <v>1945</v>
      </c>
      <c r="N62" s="87">
        <v>493</v>
      </c>
      <c r="O62" s="87">
        <v>1974</v>
      </c>
      <c r="P62" s="89">
        <v>0.48199999999999998</v>
      </c>
      <c r="Q62" s="8"/>
      <c r="R62" s="87"/>
      <c r="S62" s="88">
        <v>1.55</v>
      </c>
      <c r="T62" s="87">
        <v>388</v>
      </c>
      <c r="U62" s="87">
        <v>1552</v>
      </c>
      <c r="V62" s="87">
        <v>379</v>
      </c>
      <c r="W62" s="87">
        <v>1515</v>
      </c>
      <c r="X62" s="89">
        <v>0.37</v>
      </c>
      <c r="Y62" s="8"/>
      <c r="Z62" s="8"/>
      <c r="AA62" s="8"/>
      <c r="AB62" s="8"/>
      <c r="AC62" s="8"/>
    </row>
    <row r="63" spans="1:29" ht="15">
      <c r="A63" s="58"/>
      <c r="B63" s="69">
        <v>31</v>
      </c>
      <c r="C63" s="43" t="s">
        <v>259</v>
      </c>
      <c r="D63" s="69">
        <v>5.6249999999999998E-3</v>
      </c>
      <c r="E63" s="43">
        <f t="shared" si="8"/>
        <v>0.10960766909517472</v>
      </c>
      <c r="F63" s="71">
        <f t="shared" si="3"/>
        <v>10.960766909517472</v>
      </c>
      <c r="G63" s="84">
        <f t="shared" si="4"/>
        <v>112.12864548436374</v>
      </c>
      <c r="H63" s="43"/>
      <c r="I63" s="8"/>
      <c r="J63" s="8">
        <f t="shared" si="5"/>
        <v>7183.1385941522749</v>
      </c>
      <c r="K63" s="88" t="s">
        <v>451</v>
      </c>
      <c r="L63" s="87">
        <v>505</v>
      </c>
      <c r="M63" s="87">
        <v>2020</v>
      </c>
      <c r="N63" s="87">
        <v>515</v>
      </c>
      <c r="O63" s="87">
        <v>2061</v>
      </c>
      <c r="P63" s="89">
        <v>0.50329999999999997</v>
      </c>
      <c r="Q63" s="8"/>
      <c r="R63" s="87"/>
      <c r="S63" s="88">
        <v>1.71</v>
      </c>
      <c r="T63" s="87">
        <v>397</v>
      </c>
      <c r="U63" s="87">
        <v>1588</v>
      </c>
      <c r="V63" s="87">
        <v>389</v>
      </c>
      <c r="W63" s="87">
        <v>1556</v>
      </c>
      <c r="X63" s="89">
        <v>0.38</v>
      </c>
      <c r="Y63" s="8"/>
      <c r="Z63" s="8"/>
      <c r="AA63" s="8"/>
      <c r="AB63" s="8"/>
      <c r="AC63" s="8"/>
    </row>
    <row r="64" spans="1:29" ht="15">
      <c r="A64" s="58"/>
      <c r="B64" s="69">
        <v>32</v>
      </c>
      <c r="C64" s="43" t="s">
        <v>260</v>
      </c>
      <c r="D64" s="69">
        <v>6.0287257267666403E-3</v>
      </c>
      <c r="E64" s="43">
        <f t="shared" si="8"/>
        <v>0.11070151023940593</v>
      </c>
      <c r="F64" s="71">
        <f t="shared" si="3"/>
        <v>11.070151023940593</v>
      </c>
      <c r="G64" s="84">
        <f t="shared" si="4"/>
        <v>113.24764497491226</v>
      </c>
      <c r="H64" s="43"/>
      <c r="I64" s="8"/>
      <c r="J64" s="8">
        <f t="shared" si="5"/>
        <v>7254.8234735394672</v>
      </c>
      <c r="K64" s="88">
        <v>4</v>
      </c>
      <c r="L64" s="87">
        <v>524</v>
      </c>
      <c r="M64" s="87">
        <v>2095</v>
      </c>
      <c r="N64" s="87">
        <v>537</v>
      </c>
      <c r="O64" s="87">
        <v>2149</v>
      </c>
      <c r="P64" s="89">
        <v>0.52470000000000006</v>
      </c>
      <c r="Q64" s="8"/>
      <c r="R64" s="87"/>
      <c r="S64" s="88">
        <v>1.87</v>
      </c>
      <c r="T64" s="87">
        <v>406</v>
      </c>
      <c r="U64" s="87">
        <v>1623</v>
      </c>
      <c r="V64" s="87">
        <v>399</v>
      </c>
      <c r="W64" s="87">
        <v>1597</v>
      </c>
      <c r="X64" s="89">
        <v>0.39</v>
      </c>
      <c r="Y64" s="8"/>
      <c r="Z64" s="8"/>
      <c r="AA64" s="8"/>
      <c r="AB64" s="8"/>
      <c r="AC64" s="8"/>
    </row>
    <row r="65" spans="1:29" ht="15">
      <c r="A65" s="58"/>
      <c r="B65" s="69">
        <v>33</v>
      </c>
      <c r="C65" s="43" t="s">
        <v>261</v>
      </c>
      <c r="D65" s="69">
        <v>6.4614282468583202E-3</v>
      </c>
      <c r="E65" s="43">
        <f t="shared" si="8"/>
        <v>0.11185982174143344</v>
      </c>
      <c r="F65" s="71">
        <f t="shared" si="3"/>
        <v>11.185982174143344</v>
      </c>
      <c r="G65" s="84">
        <f t="shared" si="4"/>
        <v>114.43259764148641</v>
      </c>
      <c r="H65" s="43"/>
      <c r="I65" s="8"/>
      <c r="J65" s="8">
        <f t="shared" si="5"/>
        <v>7330.7334178248402</v>
      </c>
      <c r="K65" s="88" t="s">
        <v>452</v>
      </c>
      <c r="L65" s="87">
        <v>542</v>
      </c>
      <c r="M65" s="87">
        <v>2170</v>
      </c>
      <c r="N65" s="87">
        <v>559</v>
      </c>
      <c r="O65" s="87">
        <v>2236</v>
      </c>
      <c r="P65" s="89">
        <v>0.54610000000000003</v>
      </c>
      <c r="Q65" s="8"/>
      <c r="R65" s="87"/>
      <c r="S65" s="88">
        <v>2.0299999999999998</v>
      </c>
      <c r="T65" s="87">
        <v>414</v>
      </c>
      <c r="U65" s="87">
        <v>1658</v>
      </c>
      <c r="V65" s="87">
        <v>409</v>
      </c>
      <c r="W65" s="87">
        <v>1638</v>
      </c>
      <c r="X65" s="89">
        <v>0.4</v>
      </c>
      <c r="Y65" s="8"/>
      <c r="Z65" s="8"/>
      <c r="AA65" s="8"/>
      <c r="AB65" s="8"/>
      <c r="AC65" s="8"/>
    </row>
    <row r="66" spans="1:29" ht="15">
      <c r="A66" s="58"/>
      <c r="B66" s="69">
        <v>34</v>
      </c>
      <c r="C66" s="43" t="s">
        <v>262</v>
      </c>
      <c r="D66" s="69">
        <v>6.9251873250651503E-3</v>
      </c>
      <c r="E66" s="43">
        <f t="shared" si="8"/>
        <v>0.11308553846986591</v>
      </c>
      <c r="F66" s="71">
        <f t="shared" si="3"/>
        <v>11.308553846986591</v>
      </c>
      <c r="G66" s="84">
        <f t="shared" si="4"/>
        <v>115.68650585467283</v>
      </c>
      <c r="H66" s="43"/>
      <c r="I66" s="8"/>
      <c r="J66" s="8">
        <f t="shared" si="5"/>
        <v>7411.0607636226623</v>
      </c>
      <c r="K66" s="88" t="s">
        <v>453</v>
      </c>
      <c r="L66" s="87">
        <v>561</v>
      </c>
      <c r="M66" s="87">
        <v>2245</v>
      </c>
      <c r="N66" s="87">
        <v>581</v>
      </c>
      <c r="O66" s="87">
        <v>2324</v>
      </c>
      <c r="P66" s="89">
        <v>0.5675</v>
      </c>
      <c r="Q66" s="8"/>
      <c r="R66" s="87"/>
      <c r="S66" s="88">
        <v>2.19</v>
      </c>
      <c r="T66" s="87">
        <v>423</v>
      </c>
      <c r="U66" s="87">
        <v>1693</v>
      </c>
      <c r="V66" s="87">
        <v>419</v>
      </c>
      <c r="W66" s="87">
        <v>1679</v>
      </c>
      <c r="X66" s="89">
        <v>0.41</v>
      </c>
      <c r="Y66" s="8"/>
      <c r="Z66" s="8"/>
      <c r="AA66" s="8"/>
      <c r="AB66" s="8"/>
      <c r="AC66" s="8"/>
    </row>
    <row r="67" spans="1:29" ht="15">
      <c r="A67" s="58"/>
      <c r="B67" s="69">
        <v>35</v>
      </c>
      <c r="C67" s="43" t="s">
        <v>263</v>
      </c>
      <c r="D67" s="69">
        <v>7.4222319980975296E-3</v>
      </c>
      <c r="E67" s="43">
        <f t="shared" si="8"/>
        <v>0.11438162732550732</v>
      </c>
      <c r="F67" s="71">
        <f t="shared" si="3"/>
        <v>11.438162732550731</v>
      </c>
      <c r="G67" s="84">
        <f t="shared" si="4"/>
        <v>117.01240475399398</v>
      </c>
      <c r="H67" s="43"/>
      <c r="I67" s="8"/>
      <c r="J67" s="8">
        <f t="shared" si="5"/>
        <v>7495.9999467771222</v>
      </c>
      <c r="K67" s="88">
        <v>5</v>
      </c>
      <c r="L67" s="87">
        <v>580</v>
      </c>
      <c r="M67" s="87">
        <v>2320</v>
      </c>
      <c r="N67" s="87">
        <v>603</v>
      </c>
      <c r="O67" s="87">
        <v>2412</v>
      </c>
      <c r="P67" s="89">
        <v>0.58899999999999997</v>
      </c>
      <c r="Q67" s="8"/>
      <c r="R67" s="87"/>
      <c r="S67" s="88">
        <v>2.35</v>
      </c>
      <c r="T67" s="87">
        <v>432</v>
      </c>
      <c r="U67" s="87">
        <v>1728</v>
      </c>
      <c r="V67" s="87">
        <v>430</v>
      </c>
      <c r="W67" s="87">
        <v>1720</v>
      </c>
      <c r="X67" s="89">
        <v>0.42</v>
      </c>
      <c r="Y67" s="8"/>
      <c r="Z67" s="8"/>
      <c r="AA67" s="8"/>
      <c r="AB67" s="8"/>
      <c r="AC67" s="8"/>
    </row>
    <row r="68" spans="1:29" ht="15">
      <c r="A68" s="58"/>
      <c r="B68" s="69">
        <v>36</v>
      </c>
      <c r="C68" s="43" t="s">
        <v>264</v>
      </c>
      <c r="D68" s="69">
        <v>7.9549512883486592E-3</v>
      </c>
      <c r="E68" s="43">
        <f t="shared" si="8"/>
        <v>0.11575107525886325</v>
      </c>
      <c r="F68" s="71">
        <f t="shared" si="3"/>
        <v>11.575107525886324</v>
      </c>
      <c r="G68" s="84">
        <f t="shared" si="4"/>
        <v>118.41334998981711</v>
      </c>
      <c r="H68" s="43"/>
      <c r="I68" s="8"/>
      <c r="J68" s="8">
        <f t="shared" si="5"/>
        <v>7585.7467170896025</v>
      </c>
      <c r="K68" s="88" t="s">
        <v>454</v>
      </c>
      <c r="L68" s="87">
        <v>599</v>
      </c>
      <c r="M68" s="87">
        <v>2395</v>
      </c>
      <c r="N68" s="87">
        <v>625</v>
      </c>
      <c r="O68" s="87">
        <v>2500</v>
      </c>
      <c r="P68" s="89">
        <v>0.61050000000000004</v>
      </c>
      <c r="Q68" s="8"/>
      <c r="R68" s="87"/>
      <c r="S68" s="88">
        <v>2.5099999999999998</v>
      </c>
      <c r="T68" s="87">
        <v>441</v>
      </c>
      <c r="U68" s="87">
        <v>1763</v>
      </c>
      <c r="V68" s="87">
        <v>440</v>
      </c>
      <c r="W68" s="87">
        <v>1761</v>
      </c>
      <c r="X68" s="89">
        <v>0.43</v>
      </c>
      <c r="Y68" s="8"/>
      <c r="Z68" s="8"/>
      <c r="AA68" s="8"/>
      <c r="AB68" s="8"/>
      <c r="AC68" s="8"/>
    </row>
    <row r="69" spans="1:29" ht="15">
      <c r="A69" s="58"/>
      <c r="B69" s="69">
        <v>37</v>
      </c>
      <c r="C69" s="43" t="s">
        <v>265</v>
      </c>
      <c r="D69" s="69">
        <v>8.5259056866209808E-3</v>
      </c>
      <c r="E69" s="43">
        <f t="shared" si="8"/>
        <v>0.11719687606803252</v>
      </c>
      <c r="F69" s="71">
        <f t="shared" si="3"/>
        <v>11.719687606803252</v>
      </c>
      <c r="G69" s="84">
        <f t="shared" si="4"/>
        <v>119.89240421759726</v>
      </c>
      <c r="H69" s="43"/>
      <c r="I69" s="8"/>
      <c r="J69" s="8">
        <f t="shared" si="5"/>
        <v>7680.4972731185107</v>
      </c>
      <c r="K69" s="88" t="s">
        <v>455</v>
      </c>
      <c r="L69" s="87">
        <v>618</v>
      </c>
      <c r="M69" s="87">
        <v>2471</v>
      </c>
      <c r="N69" s="87">
        <v>647</v>
      </c>
      <c r="O69" s="87">
        <v>2588</v>
      </c>
      <c r="P69" s="89">
        <v>0.6321</v>
      </c>
      <c r="Q69" s="8"/>
      <c r="R69" s="87"/>
      <c r="S69" s="88">
        <v>2.67</v>
      </c>
      <c r="T69" s="87">
        <v>449</v>
      </c>
      <c r="U69" s="87">
        <v>1798</v>
      </c>
      <c r="V69" s="87">
        <v>450</v>
      </c>
      <c r="W69" s="87">
        <v>1802</v>
      </c>
      <c r="X69" s="89">
        <v>0.44</v>
      </c>
      <c r="Y69" s="8"/>
      <c r="Z69" s="8"/>
      <c r="AA69" s="8"/>
      <c r="AB69" s="8"/>
      <c r="AC69" s="8"/>
    </row>
    <row r="70" spans="1:29" ht="15">
      <c r="A70" s="58"/>
      <c r="B70" s="69">
        <v>38</v>
      </c>
      <c r="C70" s="43" t="s">
        <v>266</v>
      </c>
      <c r="D70" s="69">
        <v>9.1378394590076496E-3</v>
      </c>
      <c r="E70" s="43">
        <f t="shared" si="8"/>
        <v>0.11872201602018329</v>
      </c>
      <c r="F70" s="71">
        <f t="shared" si="3"/>
        <v>11.872201602018329</v>
      </c>
      <c r="G70" s="84">
        <f t="shared" si="4"/>
        <v>121.4526223886475</v>
      </c>
      <c r="H70" s="43"/>
      <c r="I70" s="8"/>
      <c r="J70" s="8">
        <f t="shared" si="5"/>
        <v>7780.4473198827118</v>
      </c>
      <c r="K70" s="88">
        <v>6</v>
      </c>
      <c r="L70" s="87">
        <v>637</v>
      </c>
      <c r="M70" s="87">
        <v>2546</v>
      </c>
      <c r="N70" s="87">
        <v>669</v>
      </c>
      <c r="O70" s="87">
        <v>2676</v>
      </c>
      <c r="P70" s="89">
        <v>0.65359999999999996</v>
      </c>
      <c r="Q70" s="8"/>
      <c r="R70" s="87"/>
      <c r="S70" s="88">
        <v>2.83</v>
      </c>
      <c r="T70" s="87">
        <v>458</v>
      </c>
      <c r="U70" s="87">
        <v>1833</v>
      </c>
      <c r="V70" s="87">
        <v>460</v>
      </c>
      <c r="W70" s="87">
        <v>1843</v>
      </c>
      <c r="X70" s="89">
        <v>0.45</v>
      </c>
      <c r="Y70" s="8"/>
      <c r="Z70" s="8"/>
      <c r="AA70" s="8"/>
      <c r="AB70" s="8"/>
      <c r="AC70" s="8"/>
    </row>
    <row r="71" spans="1:29" ht="15">
      <c r="A71" s="58"/>
      <c r="B71" s="69">
        <v>39</v>
      </c>
      <c r="C71" s="43" t="s">
        <v>267</v>
      </c>
      <c r="D71" s="69">
        <v>9.7936938370813895E-3</v>
      </c>
      <c r="E71" s="43">
        <f t="shared" ref="E71:E82" si="9">(LOG(((2^18-16)/117.45)*D71+64,2)-6)/14*(928/1023)+(95/1023)</f>
        <v>0.12032945836631667</v>
      </c>
      <c r="F71" s="71">
        <f t="shared" si="3"/>
        <v>12.032945836631667</v>
      </c>
      <c r="G71" s="84">
        <f t="shared" si="4"/>
        <v>123.09703590874196</v>
      </c>
      <c r="H71" s="43"/>
      <c r="I71" s="8"/>
      <c r="J71" s="8">
        <f t="shared" si="5"/>
        <v>7885.7910540365629</v>
      </c>
      <c r="K71" s="88" t="s">
        <v>456</v>
      </c>
      <c r="L71" s="87">
        <v>655</v>
      </c>
      <c r="M71" s="87">
        <v>2622</v>
      </c>
      <c r="N71" s="87">
        <v>691</v>
      </c>
      <c r="O71" s="87">
        <v>2765</v>
      </c>
      <c r="P71" s="89">
        <v>0.67510000000000003</v>
      </c>
      <c r="Q71" s="8"/>
      <c r="R71" s="87"/>
      <c r="S71" s="88">
        <v>2.99</v>
      </c>
      <c r="T71" s="87">
        <v>467</v>
      </c>
      <c r="U71" s="87">
        <v>1868</v>
      </c>
      <c r="V71" s="87">
        <v>471</v>
      </c>
      <c r="W71" s="87">
        <v>1884</v>
      </c>
      <c r="X71" s="89">
        <v>0.46</v>
      </c>
      <c r="Y71" s="8"/>
      <c r="Z71" s="8"/>
      <c r="AA71" s="8"/>
      <c r="AB71" s="8"/>
      <c r="AC71" s="8"/>
    </row>
    <row r="72" spans="1:29" ht="15">
      <c r="A72" s="58"/>
      <c r="B72" s="69">
        <v>40</v>
      </c>
      <c r="C72" s="43" t="s">
        <v>268</v>
      </c>
      <c r="D72" s="69">
        <v>1.0496621154789E-2</v>
      </c>
      <c r="E72" s="43">
        <f t="shared" si="9"/>
        <v>0.12202212684735486</v>
      </c>
      <c r="F72" s="71">
        <f t="shared" si="3"/>
        <v>12.202212684735485</v>
      </c>
      <c r="G72" s="84">
        <f t="shared" si="4"/>
        <v>124.82863576484402</v>
      </c>
      <c r="H72" s="43"/>
      <c r="I72" s="8"/>
      <c r="J72" s="8">
        <f t="shared" si="5"/>
        <v>7996.7200829414005</v>
      </c>
      <c r="K72" s="88" t="s">
        <v>457</v>
      </c>
      <c r="L72" s="87">
        <v>674</v>
      </c>
      <c r="M72" s="87">
        <v>2697</v>
      </c>
      <c r="N72" s="87">
        <v>713</v>
      </c>
      <c r="O72" s="87">
        <v>2853</v>
      </c>
      <c r="P72" s="89">
        <v>0.69669999999999999</v>
      </c>
      <c r="Q72" s="8"/>
      <c r="R72" s="87"/>
      <c r="S72" s="88">
        <v>3.14</v>
      </c>
      <c r="T72" s="87">
        <v>476</v>
      </c>
      <c r="U72" s="87">
        <v>1903</v>
      </c>
      <c r="V72" s="87">
        <v>481</v>
      </c>
      <c r="W72" s="87">
        <v>1925</v>
      </c>
      <c r="X72" s="89">
        <v>0.47</v>
      </c>
      <c r="Y72" s="8"/>
      <c r="Z72" s="8"/>
      <c r="AA72" s="8"/>
      <c r="AB72" s="8"/>
      <c r="AC72" s="8"/>
    </row>
    <row r="73" spans="1:29" ht="15">
      <c r="A73" s="58"/>
      <c r="B73" s="69">
        <v>41</v>
      </c>
      <c r="C73" s="43" t="s">
        <v>269</v>
      </c>
      <c r="D73" s="69">
        <v>1.125E-2</v>
      </c>
      <c r="E73" s="43">
        <f t="shared" si="9"/>
        <v>0.12380288831910016</v>
      </c>
      <c r="F73" s="71">
        <f t="shared" si="3"/>
        <v>12.380288831910017</v>
      </c>
      <c r="G73" s="84">
        <f t="shared" si="4"/>
        <v>126.65035475043946</v>
      </c>
      <c r="H73" s="43"/>
      <c r="I73" s="8"/>
      <c r="J73" s="8">
        <f t="shared" si="5"/>
        <v>8113.4222859922293</v>
      </c>
      <c r="K73" s="88">
        <v>7</v>
      </c>
      <c r="L73" s="87">
        <v>693</v>
      </c>
      <c r="M73" s="87">
        <v>2773</v>
      </c>
      <c r="N73" s="87">
        <v>735</v>
      </c>
      <c r="O73" s="87">
        <v>2941</v>
      </c>
      <c r="P73" s="89">
        <v>0.71830000000000005</v>
      </c>
      <c r="Q73" s="8"/>
      <c r="R73" s="87"/>
      <c r="S73" s="88">
        <v>3.3</v>
      </c>
      <c r="T73" s="87">
        <v>484</v>
      </c>
      <c r="U73" s="87">
        <v>1938</v>
      </c>
      <c r="V73" s="87">
        <v>491</v>
      </c>
      <c r="W73" s="87">
        <v>1966</v>
      </c>
      <c r="X73" s="89">
        <v>0.48</v>
      </c>
      <c r="Y73" s="8"/>
      <c r="Z73" s="8"/>
      <c r="AA73" s="8"/>
      <c r="AB73" s="8"/>
      <c r="AC73" s="8"/>
    </row>
    <row r="74" spans="1:29" ht="15">
      <c r="A74" s="58"/>
      <c r="B74" s="69">
        <v>42</v>
      </c>
      <c r="C74" s="43" t="s">
        <v>270</v>
      </c>
      <c r="D74" s="69">
        <v>1.2057451453533201E-2</v>
      </c>
      <c r="E74" s="43">
        <f t="shared" si="9"/>
        <v>0.12567453465353184</v>
      </c>
      <c r="F74" s="71">
        <f t="shared" si="3"/>
        <v>12.567453465353184</v>
      </c>
      <c r="G74" s="84">
        <f t="shared" si="4"/>
        <v>128.56504895056307</v>
      </c>
      <c r="H74" s="43"/>
      <c r="I74" s="8"/>
      <c r="J74" s="8">
        <f t="shared" si="5"/>
        <v>8236.0806285192102</v>
      </c>
      <c r="K74" s="88" t="s">
        <v>458</v>
      </c>
      <c r="L74" s="87">
        <v>712</v>
      </c>
      <c r="M74" s="87">
        <v>2848</v>
      </c>
      <c r="N74" s="87">
        <v>757</v>
      </c>
      <c r="O74" s="87">
        <v>3030</v>
      </c>
      <c r="P74" s="89">
        <v>0.73980000000000001</v>
      </c>
      <c r="Q74" s="8"/>
      <c r="R74" s="87"/>
      <c r="S74" s="88">
        <v>3.46</v>
      </c>
      <c r="T74" s="87">
        <v>493</v>
      </c>
      <c r="U74" s="87">
        <v>1973</v>
      </c>
      <c r="V74" s="87">
        <v>501</v>
      </c>
      <c r="W74" s="87">
        <v>2007</v>
      </c>
      <c r="X74" s="89">
        <v>0.49</v>
      </c>
      <c r="Y74" s="8"/>
      <c r="Z74" s="8"/>
      <c r="AA74" s="8"/>
      <c r="AB74" s="8"/>
      <c r="AC74" s="8"/>
    </row>
    <row r="75" spans="1:29" ht="15">
      <c r="A75" s="58"/>
      <c r="B75" s="69">
        <v>43</v>
      </c>
      <c r="C75" s="43" t="s">
        <v>271</v>
      </c>
      <c r="D75" s="69">
        <v>1.2922856493716601E-2</v>
      </c>
      <c r="E75" s="43">
        <f t="shared" si="9"/>
        <v>0.12763976410330286</v>
      </c>
      <c r="F75" s="71">
        <f t="shared" si="3"/>
        <v>12.763976410330285</v>
      </c>
      <c r="G75" s="84">
        <f t="shared" si="4"/>
        <v>130.57547867767883</v>
      </c>
      <c r="H75" s="43"/>
      <c r="I75" s="8"/>
      <c r="J75" s="8">
        <f t="shared" si="5"/>
        <v>8364.8719405099528</v>
      </c>
      <c r="K75" s="88" t="s">
        <v>459</v>
      </c>
      <c r="L75" s="87">
        <v>731</v>
      </c>
      <c r="M75" s="87">
        <v>2924</v>
      </c>
      <c r="N75" s="87">
        <v>779</v>
      </c>
      <c r="O75" s="87">
        <v>3118</v>
      </c>
      <c r="P75" s="89">
        <v>0.76139999999999997</v>
      </c>
      <c r="Q75" s="8"/>
      <c r="R75" s="87"/>
      <c r="S75" s="88">
        <v>3.61</v>
      </c>
      <c r="T75" s="87">
        <v>502</v>
      </c>
      <c r="U75" s="87">
        <v>2008</v>
      </c>
      <c r="V75" s="87">
        <v>512</v>
      </c>
      <c r="W75" s="87">
        <v>2048</v>
      </c>
      <c r="X75" s="89">
        <v>0.5</v>
      </c>
      <c r="Y75" s="8"/>
      <c r="Z75" s="8"/>
      <c r="AA75" s="8"/>
      <c r="AB75" s="8"/>
      <c r="AC75" s="8"/>
    </row>
    <row r="76" spans="1:29" ht="15">
      <c r="A76" s="58"/>
      <c r="B76" s="69">
        <v>44</v>
      </c>
      <c r="C76" s="43" t="s">
        <v>272</v>
      </c>
      <c r="D76" s="69">
        <v>1.3850374650130301E-2</v>
      </c>
      <c r="E76" s="43">
        <f t="shared" si="9"/>
        <v>0.12970116234411028</v>
      </c>
      <c r="F76" s="71">
        <f t="shared" si="3"/>
        <v>12.970116234411028</v>
      </c>
      <c r="G76" s="84">
        <f t="shared" si="4"/>
        <v>132.68428907802482</v>
      </c>
      <c r="H76" s="43"/>
      <c r="I76" s="8"/>
      <c r="J76" s="8">
        <f t="shared" si="5"/>
        <v>8499.9656742212665</v>
      </c>
      <c r="K76" s="88">
        <v>8</v>
      </c>
      <c r="L76" s="87">
        <v>750</v>
      </c>
      <c r="M76" s="87">
        <v>3000</v>
      </c>
      <c r="N76" s="87">
        <v>801</v>
      </c>
      <c r="O76" s="87">
        <v>3206</v>
      </c>
      <c r="P76" s="89">
        <v>0.78300000000000003</v>
      </c>
      <c r="Q76" s="8"/>
      <c r="R76" s="87"/>
      <c r="S76" s="88">
        <v>3.77</v>
      </c>
      <c r="T76" s="87">
        <v>511</v>
      </c>
      <c r="U76" s="87">
        <v>2043</v>
      </c>
      <c r="V76" s="87">
        <v>522</v>
      </c>
      <c r="W76" s="87">
        <v>2088</v>
      </c>
      <c r="X76" s="89">
        <v>0.51</v>
      </c>
      <c r="Y76" s="8"/>
      <c r="Z76" s="8"/>
      <c r="AA76" s="8"/>
      <c r="AB76" s="8"/>
      <c r="AC76" s="8"/>
    </row>
    <row r="77" spans="1:29" ht="15">
      <c r="A77" s="58"/>
      <c r="B77" s="69">
        <v>45</v>
      </c>
      <c r="C77" s="43" t="s">
        <v>273</v>
      </c>
      <c r="D77" s="69">
        <v>1.4844463996195E-2</v>
      </c>
      <c r="E77" s="43">
        <f t="shared" si="9"/>
        <v>0.13186118343477157</v>
      </c>
      <c r="F77" s="71">
        <f t="shared" si="3"/>
        <v>13.186118343477157</v>
      </c>
      <c r="G77" s="84">
        <f t="shared" si="4"/>
        <v>134.89399065377131</v>
      </c>
      <c r="H77" s="43"/>
      <c r="I77" s="8"/>
      <c r="J77" s="8">
        <f t="shared" si="5"/>
        <v>8641.5226563977558</v>
      </c>
      <c r="K77" s="90">
        <v>45352</v>
      </c>
      <c r="L77" s="87">
        <v>769</v>
      </c>
      <c r="M77" s="87">
        <v>3075</v>
      </c>
      <c r="N77" s="87">
        <v>823</v>
      </c>
      <c r="O77" s="87">
        <v>3295</v>
      </c>
      <c r="P77" s="89">
        <v>0.80459999999999998</v>
      </c>
      <c r="Q77" s="8"/>
      <c r="R77" s="87"/>
      <c r="S77" s="88">
        <v>3.93</v>
      </c>
      <c r="T77" s="87">
        <v>520</v>
      </c>
      <c r="U77" s="87">
        <v>2078</v>
      </c>
      <c r="V77" s="87">
        <v>532</v>
      </c>
      <c r="W77" s="87">
        <v>2129</v>
      </c>
      <c r="X77" s="89">
        <v>0.52</v>
      </c>
      <c r="Y77" s="8"/>
      <c r="Z77" s="8"/>
      <c r="AA77" s="8"/>
      <c r="AB77" s="8"/>
      <c r="AC77" s="8"/>
    </row>
    <row r="78" spans="1:29" ht="15">
      <c r="A78" s="58"/>
      <c r="B78" s="69">
        <v>46</v>
      </c>
      <c r="C78" s="43" t="s">
        <v>274</v>
      </c>
      <c r="D78" s="69">
        <v>1.5909902576697301E-2</v>
      </c>
      <c r="E78" s="43">
        <f t="shared" si="9"/>
        <v>0.1341221309561314</v>
      </c>
      <c r="F78" s="71">
        <f t="shared" si="3"/>
        <v>13.41221309561314</v>
      </c>
      <c r="G78" s="84">
        <f t="shared" si="4"/>
        <v>137.20693996812241</v>
      </c>
      <c r="H78" s="43"/>
      <c r="I78" s="8"/>
      <c r="J78" s="8">
        <f t="shared" si="5"/>
        <v>8789.6938522100718</v>
      </c>
      <c r="K78" s="88" t="s">
        <v>460</v>
      </c>
      <c r="L78" s="87">
        <v>788</v>
      </c>
      <c r="M78" s="87">
        <v>3151</v>
      </c>
      <c r="N78" s="87">
        <v>845</v>
      </c>
      <c r="O78" s="87">
        <v>3383</v>
      </c>
      <c r="P78" s="89">
        <v>0.82620000000000005</v>
      </c>
      <c r="Q78" s="8"/>
      <c r="R78" s="87"/>
      <c r="S78" s="88">
        <v>4.08</v>
      </c>
      <c r="T78" s="87">
        <v>528</v>
      </c>
      <c r="U78" s="87">
        <v>2113</v>
      </c>
      <c r="V78" s="87">
        <v>542</v>
      </c>
      <c r="W78" s="87">
        <v>2170</v>
      </c>
      <c r="X78" s="89">
        <v>0.53</v>
      </c>
      <c r="Y78" s="8"/>
      <c r="Z78" s="8"/>
      <c r="AA78" s="8"/>
      <c r="AB78" s="8"/>
      <c r="AC78" s="8"/>
    </row>
    <row r="79" spans="1:29" ht="15">
      <c r="A79" s="58"/>
      <c r="B79" s="69">
        <v>47</v>
      </c>
      <c r="C79" s="43" t="s">
        <v>275</v>
      </c>
      <c r="D79" s="69">
        <v>1.7051811373241899E-2</v>
      </c>
      <c r="E79" s="43">
        <f t="shared" si="9"/>
        <v>0.13648613960626174</v>
      </c>
      <c r="F79" s="71">
        <f t="shared" si="3"/>
        <v>13.648613960626173</v>
      </c>
      <c r="G79" s="84">
        <f t="shared" si="4"/>
        <v>139.62532081720576</v>
      </c>
      <c r="H79" s="43"/>
      <c r="I79" s="8"/>
      <c r="J79" s="8">
        <f t="shared" si="5"/>
        <v>8944.6191590963626</v>
      </c>
      <c r="K79" s="88">
        <v>9</v>
      </c>
      <c r="L79" s="87">
        <v>807</v>
      </c>
      <c r="M79" s="87">
        <v>3227</v>
      </c>
      <c r="N79" s="87">
        <v>867</v>
      </c>
      <c r="O79" s="87">
        <v>3472</v>
      </c>
      <c r="P79" s="89">
        <v>0.8478</v>
      </c>
      <c r="Q79" s="8"/>
      <c r="R79" s="87"/>
      <c r="S79" s="88">
        <v>4.24</v>
      </c>
      <c r="T79" s="87">
        <v>537</v>
      </c>
      <c r="U79" s="87">
        <v>2148</v>
      </c>
      <c r="V79" s="87">
        <v>552</v>
      </c>
      <c r="W79" s="87">
        <v>2211</v>
      </c>
      <c r="X79" s="89">
        <v>0.54</v>
      </c>
      <c r="Y79" s="8"/>
      <c r="Z79" s="8"/>
      <c r="AA79" s="8"/>
      <c r="AB79" s="8"/>
      <c r="AC79" s="8"/>
    </row>
    <row r="80" spans="1:29" ht="15">
      <c r="A80" s="58"/>
      <c r="B80" s="69">
        <v>48</v>
      </c>
      <c r="C80" s="43" t="s">
        <v>276</v>
      </c>
      <c r="D80" s="69">
        <v>1.8275678918015299E-2</v>
      </c>
      <c r="E80" s="43">
        <f t="shared" si="9"/>
        <v>0.13895515753974824</v>
      </c>
      <c r="F80" s="71">
        <f t="shared" si="3"/>
        <v>13.895515753974824</v>
      </c>
      <c r="G80" s="84">
        <f t="shared" si="4"/>
        <v>142.15112616316244</v>
      </c>
      <c r="H80" s="43"/>
      <c r="I80" s="8"/>
      <c r="J80" s="8">
        <f t="shared" si="5"/>
        <v>9106.4262493674014</v>
      </c>
      <c r="K80" s="90">
        <v>45352</v>
      </c>
      <c r="L80" s="87">
        <v>826</v>
      </c>
      <c r="M80" s="87">
        <v>3302</v>
      </c>
      <c r="N80" s="87">
        <v>889</v>
      </c>
      <c r="O80" s="87">
        <v>3560</v>
      </c>
      <c r="P80" s="89">
        <v>0.86939999999999995</v>
      </c>
      <c r="Q80" s="8"/>
      <c r="R80" s="87"/>
      <c r="S80" s="88">
        <v>4.3899999999999997</v>
      </c>
      <c r="T80" s="87">
        <v>546</v>
      </c>
      <c r="U80" s="87">
        <v>2183</v>
      </c>
      <c r="V80" s="87">
        <v>563</v>
      </c>
      <c r="W80" s="87">
        <v>2252</v>
      </c>
      <c r="X80" s="89">
        <v>0.55000000000000004</v>
      </c>
      <c r="Y80" s="8"/>
      <c r="Z80" s="8"/>
      <c r="AA80" s="8"/>
      <c r="AB80" s="8"/>
      <c r="AC80" s="8"/>
    </row>
    <row r="81" spans="1:29" ht="15">
      <c r="A81" s="58"/>
      <c r="B81" s="69">
        <v>49</v>
      </c>
      <c r="C81" s="43" t="s">
        <v>277</v>
      </c>
      <c r="D81" s="69">
        <v>1.9587387674162699E-2</v>
      </c>
      <c r="E81" s="43">
        <f t="shared" si="9"/>
        <v>0.14153092974224887</v>
      </c>
      <c r="F81" s="71">
        <f t="shared" si="3"/>
        <v>14.153092974224887</v>
      </c>
      <c r="G81" s="84">
        <f t="shared" si="4"/>
        <v>144.78614112632059</v>
      </c>
      <c r="H81" s="43"/>
      <c r="I81" s="8"/>
      <c r="J81" s="8">
        <f t="shared" si="5"/>
        <v>9275.2294806582795</v>
      </c>
      <c r="K81" s="90">
        <v>45353</v>
      </c>
      <c r="L81" s="87">
        <v>844</v>
      </c>
      <c r="M81" s="87">
        <v>3378</v>
      </c>
      <c r="N81" s="87">
        <v>911</v>
      </c>
      <c r="O81" s="87">
        <v>3648</v>
      </c>
      <c r="P81" s="89">
        <v>0.89100000000000001</v>
      </c>
      <c r="Q81" s="8"/>
      <c r="R81" s="87"/>
      <c r="S81" s="88">
        <v>4.55</v>
      </c>
      <c r="T81" s="87">
        <v>555</v>
      </c>
      <c r="U81" s="87">
        <v>2218</v>
      </c>
      <c r="V81" s="87">
        <v>573</v>
      </c>
      <c r="W81" s="87">
        <v>2293</v>
      </c>
      <c r="X81" s="89">
        <v>0.56000000000000005</v>
      </c>
      <c r="Y81" s="8"/>
      <c r="Z81" s="8"/>
      <c r="AA81" s="8"/>
      <c r="AB81" s="8"/>
      <c r="AC81" s="8"/>
    </row>
    <row r="82" spans="1:29" ht="15">
      <c r="A82" s="58"/>
      <c r="B82" s="69">
        <v>50</v>
      </c>
      <c r="C82" s="43" t="s">
        <v>278</v>
      </c>
      <c r="D82" s="69">
        <v>2.0993242309578102E-2</v>
      </c>
      <c r="E82" s="43">
        <f t="shared" si="9"/>
        <v>0.14421498272733649</v>
      </c>
      <c r="F82" s="71">
        <f t="shared" si="3"/>
        <v>14.421498272733649</v>
      </c>
      <c r="G82" s="84">
        <f t="shared" si="4"/>
        <v>147.53192733006523</v>
      </c>
      <c r="H82" s="43"/>
      <c r="I82" s="8"/>
      <c r="J82" s="8">
        <f t="shared" si="5"/>
        <v>9451.128893035997</v>
      </c>
      <c r="K82" s="88">
        <v>10</v>
      </c>
      <c r="L82" s="87">
        <v>863</v>
      </c>
      <c r="M82" s="87">
        <v>3454</v>
      </c>
      <c r="N82" s="87">
        <v>934</v>
      </c>
      <c r="O82" s="87">
        <v>3737</v>
      </c>
      <c r="P82" s="89">
        <v>0.91259999999999997</v>
      </c>
      <c r="Q82" s="8"/>
      <c r="R82" s="87"/>
      <c r="S82" s="88">
        <v>4.7</v>
      </c>
      <c r="T82" s="87">
        <v>563</v>
      </c>
      <c r="U82" s="87">
        <v>2253</v>
      </c>
      <c r="V82" s="87">
        <v>583</v>
      </c>
      <c r="W82" s="87">
        <v>2334</v>
      </c>
      <c r="X82" s="89">
        <v>0.56999999999999995</v>
      </c>
      <c r="Y82" s="8"/>
      <c r="Z82" s="8"/>
      <c r="AA82" s="8"/>
      <c r="AB82" s="8"/>
      <c r="AC82" s="8"/>
    </row>
    <row r="83" spans="1:29" ht="15">
      <c r="A83" s="58"/>
      <c r="B83" s="69">
        <v>51</v>
      </c>
      <c r="C83" s="43" t="s">
        <v>279</v>
      </c>
      <c r="D83" s="69">
        <v>2.2499999999999999E-2</v>
      </c>
      <c r="E83" s="43">
        <f t="shared" ref="E79:E142" si="10">(LOG(((2^18-16)/117.45)*D83+64,2)-6)/14*(928/1023)+(95/1023)</f>
        <v>0.147008610830409</v>
      </c>
      <c r="F83" s="71">
        <f t="shared" si="3"/>
        <v>14.7008610830409</v>
      </c>
      <c r="G83" s="84">
        <f t="shared" si="4"/>
        <v>150.38980887950842</v>
      </c>
      <c r="H83" s="43"/>
      <c r="I83" s="8"/>
      <c r="J83" s="8">
        <f t="shared" si="5"/>
        <v>9634.2093107708533</v>
      </c>
      <c r="K83" s="88" t="s">
        <v>461</v>
      </c>
      <c r="L83" s="87">
        <v>882</v>
      </c>
      <c r="M83" s="87">
        <v>3529</v>
      </c>
      <c r="N83" s="87">
        <v>956</v>
      </c>
      <c r="O83" s="87">
        <v>3825</v>
      </c>
      <c r="P83" s="89">
        <v>0.93410000000000004</v>
      </c>
      <c r="Q83" s="8"/>
      <c r="R83" s="87"/>
      <c r="S83" s="88">
        <v>4.8600000000000003</v>
      </c>
      <c r="T83" s="87">
        <v>572</v>
      </c>
      <c r="U83" s="87">
        <v>2288</v>
      </c>
      <c r="V83" s="87">
        <v>593</v>
      </c>
      <c r="W83" s="87">
        <v>2375</v>
      </c>
      <c r="X83" s="89">
        <v>0.57999999999999996</v>
      </c>
      <c r="Y83" s="8"/>
      <c r="Z83" s="8"/>
      <c r="AA83" s="8"/>
      <c r="AB83" s="8"/>
      <c r="AC83" s="8"/>
    </row>
    <row r="84" spans="1:29" ht="15">
      <c r="A84" s="58"/>
      <c r="B84" s="69">
        <v>52</v>
      </c>
      <c r="C84" s="43" t="s">
        <v>280</v>
      </c>
      <c r="D84" s="69">
        <v>2.4114902907066499E-2</v>
      </c>
      <c r="E84" s="43">
        <f t="shared" si="10"/>
        <v>0.14991286435414936</v>
      </c>
      <c r="F84" s="71">
        <f t="shared" si="3"/>
        <v>14.991286435414935</v>
      </c>
      <c r="G84" s="84">
        <f t="shared" si="4"/>
        <v>153.36086023429479</v>
      </c>
      <c r="H84" s="43"/>
      <c r="I84" s="8"/>
      <c r="J84" s="8">
        <f t="shared" si="5"/>
        <v>9824.5395654491786</v>
      </c>
      <c r="K84" s="88" t="s">
        <v>462</v>
      </c>
      <c r="L84" s="87">
        <v>901</v>
      </c>
      <c r="M84" s="87">
        <v>3605</v>
      </c>
      <c r="N84" s="87">
        <v>978</v>
      </c>
      <c r="O84" s="87">
        <v>3914</v>
      </c>
      <c r="P84" s="89">
        <v>0.95569999999999999</v>
      </c>
      <c r="Q84" s="8"/>
      <c r="R84" s="87"/>
      <c r="S84" s="88">
        <v>5.0199999999999996</v>
      </c>
      <c r="T84" s="87">
        <v>581</v>
      </c>
      <c r="U84" s="87">
        <v>2323</v>
      </c>
      <c r="V84" s="87">
        <v>604</v>
      </c>
      <c r="W84" s="87">
        <v>2416</v>
      </c>
      <c r="X84" s="89">
        <v>0.59</v>
      </c>
      <c r="Y84" s="8"/>
      <c r="Z84" s="8"/>
      <c r="AA84" s="8"/>
      <c r="AB84" s="8"/>
      <c r="AC84" s="8"/>
    </row>
    <row r="85" spans="1:29" ht="15">
      <c r="A85" s="58"/>
      <c r="B85" s="69">
        <v>53</v>
      </c>
      <c r="C85" s="43" t="s">
        <v>281</v>
      </c>
      <c r="D85" s="69">
        <v>2.5845712987433201E-2</v>
      </c>
      <c r="E85" s="43">
        <f t="shared" si="10"/>
        <v>0.15292853979181886</v>
      </c>
      <c r="F85" s="71">
        <f t="shared" si="3"/>
        <v>15.292853979181887</v>
      </c>
      <c r="G85" s="84">
        <f t="shared" si="4"/>
        <v>156.4458962070307</v>
      </c>
      <c r="H85" s="43"/>
      <c r="I85" s="8"/>
      <c r="J85" s="8">
        <f t="shared" si="5"/>
        <v>10022.171855256849</v>
      </c>
      <c r="K85" s="88">
        <v>11</v>
      </c>
      <c r="L85" s="87">
        <v>920</v>
      </c>
      <c r="M85" s="87">
        <v>3681</v>
      </c>
      <c r="N85" s="87">
        <v>1000</v>
      </c>
      <c r="O85" s="87">
        <v>4002</v>
      </c>
      <c r="P85" s="89">
        <v>0.97729999999999995</v>
      </c>
      <c r="Q85" s="8"/>
      <c r="R85" s="87"/>
      <c r="S85" s="88">
        <v>5.17</v>
      </c>
      <c r="T85" s="87">
        <v>590</v>
      </c>
      <c r="U85" s="87">
        <v>2358</v>
      </c>
      <c r="V85" s="87">
        <v>614</v>
      </c>
      <c r="W85" s="87">
        <v>2457</v>
      </c>
      <c r="X85" s="89">
        <v>0.6</v>
      </c>
      <c r="Y85" s="8"/>
      <c r="Z85" s="8"/>
      <c r="AA85" s="8"/>
      <c r="AB85" s="8"/>
      <c r="AC85" s="8"/>
    </row>
    <row r="86" spans="1:29" ht="15">
      <c r="A86" s="58"/>
      <c r="B86" s="69">
        <v>54</v>
      </c>
      <c r="C86" s="43" t="s">
        <v>282</v>
      </c>
      <c r="D86" s="69">
        <v>2.7700749300260601E-2</v>
      </c>
      <c r="E86" s="43">
        <f t="shared" si="10"/>
        <v>0.1560561723192255</v>
      </c>
      <c r="F86" s="71">
        <f t="shared" si="3"/>
        <v>15.605617231922549</v>
      </c>
      <c r="G86" s="84">
        <f t="shared" si="4"/>
        <v>159.64546428256767</v>
      </c>
      <c r="H86" s="43"/>
      <c r="I86" s="8"/>
      <c r="J86" s="8">
        <f t="shared" si="5"/>
        <v>10227.141252940442</v>
      </c>
      <c r="K86" s="90">
        <v>45352</v>
      </c>
      <c r="L86" s="87">
        <v>939</v>
      </c>
      <c r="M86" s="87">
        <v>3756</v>
      </c>
      <c r="N86" s="87">
        <v>1022</v>
      </c>
      <c r="O86" s="87">
        <v>4091</v>
      </c>
      <c r="P86" s="89">
        <v>0.99890000000000001</v>
      </c>
      <c r="Q86" s="8"/>
      <c r="R86" s="87"/>
      <c r="S86" s="88">
        <v>5.33</v>
      </c>
      <c r="T86" s="87">
        <v>598</v>
      </c>
      <c r="U86" s="87">
        <v>2393</v>
      </c>
      <c r="V86" s="87">
        <v>624</v>
      </c>
      <c r="W86" s="87">
        <v>2498</v>
      </c>
      <c r="X86" s="89">
        <v>0.61</v>
      </c>
      <c r="Y86" s="8"/>
      <c r="Z86" s="8"/>
      <c r="AA86" s="8"/>
      <c r="AB86" s="8"/>
      <c r="AC86" s="8"/>
    </row>
    <row r="87" spans="1:29" ht="15">
      <c r="A87" s="58"/>
      <c r="B87" s="69">
        <v>55</v>
      </c>
      <c r="C87" s="43" t="s">
        <v>283</v>
      </c>
      <c r="D87" s="69">
        <v>2.9688927992390101E-2</v>
      </c>
      <c r="E87" s="43">
        <f t="shared" si="10"/>
        <v>0.15929603070447623</v>
      </c>
      <c r="F87" s="71">
        <f t="shared" si="3"/>
        <v>15.929603070447623</v>
      </c>
      <c r="G87" s="84">
        <f t="shared" si="4"/>
        <v>162.95983941067919</v>
      </c>
      <c r="H87" s="43"/>
      <c r="I87" s="8"/>
      <c r="J87" s="8">
        <f t="shared" si="5"/>
        <v>10439.46537221785</v>
      </c>
      <c r="Q87" s="8"/>
      <c r="R87" s="87"/>
      <c r="S87" s="88">
        <v>5.48</v>
      </c>
      <c r="T87" s="87">
        <v>607</v>
      </c>
      <c r="U87" s="87">
        <v>2428</v>
      </c>
      <c r="V87" s="87">
        <v>634</v>
      </c>
      <c r="W87" s="87">
        <v>2539</v>
      </c>
      <c r="X87" s="89">
        <v>0.62</v>
      </c>
      <c r="Y87" s="8"/>
      <c r="Z87" s="8"/>
      <c r="AA87" s="8"/>
      <c r="AB87" s="8"/>
      <c r="AC87" s="8"/>
    </row>
    <row r="88" spans="1:29" ht="15">
      <c r="A88" s="58"/>
      <c r="B88" s="69">
        <v>56</v>
      </c>
      <c r="C88" s="43" t="s">
        <v>284</v>
      </c>
      <c r="D88" s="69">
        <v>3.1819805153394602E-2</v>
      </c>
      <c r="E88" s="43">
        <f t="shared" si="10"/>
        <v>0.16264811473783561</v>
      </c>
      <c r="F88" s="71">
        <f t="shared" si="3"/>
        <v>16.26481147378356</v>
      </c>
      <c r="G88" s="84">
        <f t="shared" si="4"/>
        <v>166.38902137680583</v>
      </c>
      <c r="H88" s="43"/>
      <c r="I88" s="8"/>
      <c r="J88" s="8">
        <f t="shared" si="5"/>
        <v>10659.144199344057</v>
      </c>
      <c r="K88" s="8"/>
      <c r="L88" s="8"/>
      <c r="M88" s="8"/>
      <c r="N88" s="8"/>
      <c r="O88" s="8"/>
      <c r="P88" s="8"/>
      <c r="Q88" s="8"/>
      <c r="R88" s="87"/>
      <c r="S88" s="88">
        <v>5.64</v>
      </c>
      <c r="T88" s="87">
        <v>616</v>
      </c>
      <c r="U88" s="87">
        <v>2464</v>
      </c>
      <c r="V88" s="87">
        <v>644</v>
      </c>
      <c r="W88" s="87">
        <v>2580</v>
      </c>
      <c r="X88" s="89">
        <v>0.63</v>
      </c>
      <c r="Y88" s="8"/>
      <c r="Z88" s="8"/>
      <c r="AA88" s="8"/>
      <c r="AB88" s="8"/>
      <c r="AC88" s="8"/>
    </row>
    <row r="89" spans="1:29" ht="15">
      <c r="A89" s="58"/>
      <c r="B89" s="69">
        <v>57</v>
      </c>
      <c r="C89" s="43" t="s">
        <v>285</v>
      </c>
      <c r="D89" s="69">
        <v>3.4103622746483903E-2</v>
      </c>
      <c r="E89" s="43">
        <f t="shared" si="10"/>
        <v>0.16611215523373457</v>
      </c>
      <c r="F89" s="71">
        <f t="shared" si="3"/>
        <v>16.611215523373456</v>
      </c>
      <c r="G89" s="84">
        <f t="shared" si="4"/>
        <v>169.93273480411045</v>
      </c>
      <c r="H89" s="43"/>
      <c r="I89" s="8"/>
      <c r="J89" s="8">
        <f t="shared" si="5"/>
        <v>10886.160093242795</v>
      </c>
      <c r="K89" s="8"/>
      <c r="L89" s="8"/>
      <c r="M89" s="8"/>
      <c r="N89" s="8"/>
      <c r="O89" s="8"/>
      <c r="P89" s="8"/>
      <c r="Q89" s="8"/>
      <c r="R89" s="87"/>
      <c r="S89" s="88">
        <v>5.79</v>
      </c>
      <c r="T89" s="87">
        <v>625</v>
      </c>
      <c r="U89" s="87">
        <v>2499</v>
      </c>
      <c r="V89" s="87">
        <v>655</v>
      </c>
      <c r="W89" s="87">
        <v>2621</v>
      </c>
      <c r="X89" s="89">
        <v>0.64</v>
      </c>
      <c r="Y89" s="8"/>
      <c r="Z89" s="8"/>
      <c r="AA89" s="8"/>
      <c r="AB89" s="8"/>
      <c r="AC89" s="8"/>
    </row>
    <row r="90" spans="1:29" ht="15">
      <c r="A90" s="58"/>
      <c r="B90" s="69">
        <v>58</v>
      </c>
      <c r="C90" s="43" t="s">
        <v>286</v>
      </c>
      <c r="D90" s="69">
        <v>3.6551357836030599E-2</v>
      </c>
      <c r="E90" s="43">
        <f t="shared" si="10"/>
        <v>0.16968761660489012</v>
      </c>
      <c r="F90" s="71">
        <f t="shared" si="3"/>
        <v>16.968761660489012</v>
      </c>
      <c r="G90" s="84">
        <f t="shared" si="4"/>
        <v>173.59043178680258</v>
      </c>
      <c r="H90" s="43"/>
      <c r="I90" s="8"/>
      <c r="J90" s="8">
        <f t="shared" si="5"/>
        <v>11120.477954201475</v>
      </c>
      <c r="K90" s="8"/>
      <c r="L90" s="8"/>
      <c r="M90" s="8"/>
      <c r="N90" s="8"/>
      <c r="O90" s="8"/>
      <c r="P90" s="8"/>
      <c r="Q90" s="8"/>
      <c r="R90" s="87"/>
      <c r="S90" s="88">
        <v>5.94</v>
      </c>
      <c r="T90" s="87">
        <v>633</v>
      </c>
      <c r="U90" s="87">
        <v>2534</v>
      </c>
      <c r="V90" s="87">
        <v>665</v>
      </c>
      <c r="W90" s="87">
        <v>2662</v>
      </c>
      <c r="X90" s="89">
        <v>0.65</v>
      </c>
      <c r="Y90" s="8"/>
      <c r="Z90" s="8"/>
      <c r="AA90" s="8"/>
      <c r="AB90" s="8"/>
      <c r="AC90" s="8"/>
    </row>
    <row r="91" spans="1:29" ht="15">
      <c r="A91" s="58"/>
      <c r="B91" s="69">
        <v>59</v>
      </c>
      <c r="C91" s="43" t="s">
        <v>287</v>
      </c>
      <c r="D91" s="69">
        <v>3.9174775348325502E-2</v>
      </c>
      <c r="E91" s="43">
        <f t="shared" si="10"/>
        <v>0.17337370195640994</v>
      </c>
      <c r="F91" s="71">
        <f t="shared" si="3"/>
        <v>17.337370195640993</v>
      </c>
      <c r="G91" s="84">
        <f t="shared" si="4"/>
        <v>177.36129710140736</v>
      </c>
      <c r="H91" s="43"/>
      <c r="I91" s="8"/>
      <c r="J91" s="8">
        <f t="shared" si="5"/>
        <v>11362.045557713325</v>
      </c>
      <c r="K91" s="8"/>
      <c r="L91" s="8"/>
      <c r="M91" s="8"/>
      <c r="N91" s="8"/>
      <c r="O91" s="8"/>
      <c r="P91" s="8"/>
      <c r="Q91" s="8"/>
      <c r="R91" s="87"/>
      <c r="S91" s="88">
        <v>6.1</v>
      </c>
      <c r="T91" s="87">
        <v>642</v>
      </c>
      <c r="U91" s="87">
        <v>2569</v>
      </c>
      <c r="V91" s="87">
        <v>675</v>
      </c>
      <c r="W91" s="87">
        <v>2703</v>
      </c>
      <c r="X91" s="89">
        <v>0.66</v>
      </c>
      <c r="Y91" s="8"/>
      <c r="Z91" s="8"/>
      <c r="AA91" s="8"/>
      <c r="AB91" s="8"/>
      <c r="AC91" s="8"/>
    </row>
    <row r="92" spans="1:29" ht="15">
      <c r="A92" s="58"/>
      <c r="B92" s="69">
        <v>60</v>
      </c>
      <c r="C92" s="43" t="s">
        <v>288</v>
      </c>
      <c r="D92" s="69">
        <v>4.19864846191563E-2</v>
      </c>
      <c r="E92" s="43">
        <f t="shared" si="10"/>
        <v>0.17716936059748326</v>
      </c>
      <c r="F92" s="71">
        <f t="shared" si="3"/>
        <v>17.716936059748324</v>
      </c>
      <c r="G92" s="84">
        <f t="shared" si="4"/>
        <v>181.24425589122538</v>
      </c>
      <c r="H92" s="43"/>
      <c r="I92" s="8"/>
      <c r="J92" s="8">
        <f t="shared" si="5"/>
        <v>11610.794046756066</v>
      </c>
      <c r="K92" s="8"/>
      <c r="L92" s="8"/>
      <c r="M92" s="8"/>
      <c r="N92" s="8"/>
      <c r="O92" s="8"/>
      <c r="P92" s="8"/>
      <c r="Q92" s="8"/>
      <c r="R92" s="87"/>
      <c r="S92" s="88">
        <v>6.25</v>
      </c>
      <c r="T92" s="87">
        <v>651</v>
      </c>
      <c r="U92" s="87">
        <v>2604</v>
      </c>
      <c r="V92" s="87">
        <v>685</v>
      </c>
      <c r="W92" s="87">
        <v>2744</v>
      </c>
      <c r="X92" s="89">
        <v>0.67</v>
      </c>
      <c r="Y92" s="8"/>
      <c r="Z92" s="8"/>
      <c r="AA92" s="8"/>
      <c r="AB92" s="8"/>
      <c r="AC92" s="8"/>
    </row>
    <row r="93" spans="1:29" ht="15">
      <c r="A93" s="58"/>
      <c r="B93" s="69">
        <v>61</v>
      </c>
      <c r="C93" s="43" t="s">
        <v>289</v>
      </c>
      <c r="D93" s="69">
        <v>4.4999999999999998E-2</v>
      </c>
      <c r="E93" s="43">
        <f t="shared" si="10"/>
        <v>0.18107329782148066</v>
      </c>
      <c r="F93" s="71">
        <f t="shared" si="3"/>
        <v>18.107329782148067</v>
      </c>
      <c r="G93" s="84">
        <f t="shared" si="4"/>
        <v>185.23798367137471</v>
      </c>
      <c r="H93" s="43"/>
      <c r="I93" s="8"/>
      <c r="J93" s="8">
        <f t="shared" si="5"/>
        <v>11866.638572730735</v>
      </c>
      <c r="K93" s="8"/>
      <c r="L93" s="8"/>
      <c r="M93" s="8"/>
      <c r="N93" s="8"/>
      <c r="O93" s="8"/>
      <c r="P93" s="8"/>
      <c r="Q93" s="8"/>
      <c r="R93" s="87"/>
      <c r="S93" s="88">
        <v>6.41</v>
      </c>
      <c r="T93" s="87">
        <v>660</v>
      </c>
      <c r="U93" s="87">
        <v>2639</v>
      </c>
      <c r="V93" s="87">
        <v>696</v>
      </c>
      <c r="W93" s="87">
        <v>2785</v>
      </c>
      <c r="X93" s="89">
        <v>0.68</v>
      </c>
      <c r="Y93" s="8"/>
      <c r="Z93" s="8"/>
      <c r="AA93" s="8"/>
      <c r="AB93" s="8"/>
      <c r="AC93" s="8"/>
    </row>
    <row r="94" spans="1:29" ht="15">
      <c r="A94" s="58"/>
      <c r="B94" s="69">
        <v>62</v>
      </c>
      <c r="C94" s="43" t="s">
        <v>290</v>
      </c>
      <c r="D94" s="69">
        <v>4.8229805814133102E-2</v>
      </c>
      <c r="E94" s="43">
        <f t="shared" si="10"/>
        <v>0.18508398676356341</v>
      </c>
      <c r="F94" s="71">
        <f t="shared" si="3"/>
        <v>18.508398676356343</v>
      </c>
      <c r="G94" s="84">
        <f t="shared" si="4"/>
        <v>189.34091845912536</v>
      </c>
      <c r="H94" s="43"/>
      <c r="I94" s="8"/>
      <c r="J94" s="8">
        <f t="shared" si="5"/>
        <v>12129.479072550128</v>
      </c>
      <c r="K94" s="8"/>
      <c r="L94" s="8"/>
      <c r="M94" s="8"/>
      <c r="N94" s="8"/>
      <c r="O94" s="8"/>
      <c r="P94" s="8"/>
      <c r="Q94" s="8"/>
      <c r="R94" s="87"/>
      <c r="S94" s="88">
        <v>6.56</v>
      </c>
      <c r="T94" s="87">
        <v>668</v>
      </c>
      <c r="U94" s="87">
        <v>2674</v>
      </c>
      <c r="V94" s="87">
        <v>706</v>
      </c>
      <c r="W94" s="87">
        <v>2826</v>
      </c>
      <c r="X94" s="89">
        <v>0.69</v>
      </c>
      <c r="Y94" s="8"/>
      <c r="Z94" s="8"/>
      <c r="AA94" s="8"/>
      <c r="AB94" s="8"/>
      <c r="AC94" s="8"/>
    </row>
    <row r="95" spans="1:29" ht="15">
      <c r="A95" s="58"/>
      <c r="B95" s="69">
        <v>63</v>
      </c>
      <c r="C95" s="43" t="s">
        <v>291</v>
      </c>
      <c r="D95" s="69">
        <v>5.1691425974866499E-2</v>
      </c>
      <c r="E95" s="43">
        <f t="shared" si="10"/>
        <v>0.18919968210946131</v>
      </c>
      <c r="F95" s="71">
        <f t="shared" si="3"/>
        <v>18.919968210946131</v>
      </c>
      <c r="G95" s="84">
        <f t="shared" si="4"/>
        <v>193.55127479797892</v>
      </c>
      <c r="H95" s="43"/>
      <c r="I95" s="8"/>
      <c r="J95" s="8">
        <f t="shared" si="5"/>
        <v>12399.201167043548</v>
      </c>
      <c r="K95" s="8"/>
      <c r="L95" s="8"/>
      <c r="M95" s="8"/>
      <c r="N95" s="8"/>
      <c r="O95" s="8"/>
      <c r="P95" s="8"/>
      <c r="Q95" s="8"/>
      <c r="R95" s="87"/>
      <c r="S95" s="88">
        <v>6.72</v>
      </c>
      <c r="T95" s="87">
        <v>677</v>
      </c>
      <c r="U95" s="87">
        <v>2709</v>
      </c>
      <c r="V95" s="87">
        <v>716</v>
      </c>
      <c r="W95" s="87">
        <v>2867</v>
      </c>
      <c r="X95" s="89">
        <v>0.7</v>
      </c>
      <c r="Y95" s="8"/>
      <c r="Z95" s="8"/>
      <c r="AA95" s="8"/>
      <c r="AB95" s="8"/>
      <c r="AC95" s="8"/>
    </row>
    <row r="96" spans="1:29" ht="15">
      <c r="A96" s="58"/>
      <c r="B96" s="69">
        <v>64</v>
      </c>
      <c r="C96" s="43" t="s">
        <v>292</v>
      </c>
      <c r="D96" s="69">
        <v>5.5401498600521203E-2</v>
      </c>
      <c r="E96" s="43">
        <f t="shared" si="10"/>
        <v>0.19341843540090917</v>
      </c>
      <c r="F96" s="71">
        <f t="shared" si="3"/>
        <v>19.341843540090917</v>
      </c>
      <c r="G96" s="84">
        <f t="shared" si="4"/>
        <v>197.86705941513009</v>
      </c>
      <c r="H96" s="43"/>
      <c r="I96" s="8"/>
      <c r="J96" s="8">
        <f t="shared" si="5"/>
        <v>12675.677163998582</v>
      </c>
      <c r="K96" s="8"/>
      <c r="L96" s="132" t="s">
        <v>1023</v>
      </c>
      <c r="M96" s="8">
        <f>(2^(14*((-95/1023)/(928/1023))+6)-64)/((2^18-16)/117.45)</f>
        <v>-1.8056996119911312E-2</v>
      </c>
      <c r="N96" s="8"/>
      <c r="O96" s="8"/>
      <c r="P96" s="8"/>
      <c r="Q96" s="8"/>
      <c r="R96" s="87"/>
      <c r="S96" s="88">
        <v>6.87</v>
      </c>
      <c r="T96" s="87">
        <v>686</v>
      </c>
      <c r="U96" s="87">
        <v>2744</v>
      </c>
      <c r="V96" s="87">
        <v>726</v>
      </c>
      <c r="W96" s="87">
        <v>2907</v>
      </c>
      <c r="X96" s="89">
        <v>0.71</v>
      </c>
      <c r="Y96" s="8"/>
      <c r="Z96" s="8"/>
      <c r="AA96" s="8"/>
      <c r="AB96" s="8"/>
      <c r="AC96" s="8"/>
    </row>
    <row r="97" spans="1:29" ht="15">
      <c r="A97" s="58"/>
      <c r="B97" s="69">
        <v>65</v>
      </c>
      <c r="C97" s="43" t="s">
        <v>293</v>
      </c>
      <c r="D97" s="69">
        <v>5.9377855984780202E-2</v>
      </c>
      <c r="E97" s="43">
        <f t="shared" si="10"/>
        <v>0.19773811166292291</v>
      </c>
      <c r="F97" s="71">
        <f t="shared" si="3"/>
        <v>19.77381116629229</v>
      </c>
      <c r="G97" s="84">
        <f t="shared" si="4"/>
        <v>202.28608823117014</v>
      </c>
      <c r="H97" s="43"/>
      <c r="I97" s="8"/>
      <c r="J97" s="8">
        <f t="shared" si="5"/>
        <v>12958.767147829652</v>
      </c>
      <c r="K97" s="8"/>
      <c r="L97" s="8"/>
      <c r="M97" s="8"/>
      <c r="N97" s="8"/>
      <c r="O97" s="8"/>
      <c r="P97" s="8"/>
      <c r="Q97" s="8"/>
      <c r="R97" s="87"/>
      <c r="S97" s="88">
        <v>7.03</v>
      </c>
      <c r="T97" s="87">
        <v>695</v>
      </c>
      <c r="U97" s="87">
        <v>2779</v>
      </c>
      <c r="V97" s="87">
        <v>737</v>
      </c>
      <c r="W97" s="87">
        <v>2948</v>
      </c>
      <c r="X97" s="89">
        <v>0.72</v>
      </c>
      <c r="Y97" s="8"/>
      <c r="Z97" s="8"/>
      <c r="AA97" s="8"/>
      <c r="AB97" s="8"/>
      <c r="AC97" s="8"/>
    </row>
    <row r="98" spans="1:29" ht="15">
      <c r="A98" s="58"/>
      <c r="B98" s="69">
        <v>66</v>
      </c>
      <c r="C98" s="43" t="s">
        <v>294</v>
      </c>
      <c r="D98" s="69">
        <v>6.3639610306789204E-2</v>
      </c>
      <c r="E98" s="43">
        <f t="shared" si="10"/>
        <v>0.20215640706590055</v>
      </c>
      <c r="F98" s="71">
        <f t="shared" si="3"/>
        <v>20.215640706590055</v>
      </c>
      <c r="G98" s="84">
        <f t="shared" si="4"/>
        <v>206.80600442841626</v>
      </c>
      <c r="H98" s="43"/>
      <c r="I98" s="8"/>
      <c r="J98" s="8">
        <f t="shared" ref="J98:J161" si="11">E98*(2^16-1)</f>
        <v>13248.320137063793</v>
      </c>
      <c r="K98" s="8"/>
      <c r="L98" s="8"/>
      <c r="M98" s="8"/>
      <c r="N98" s="8"/>
      <c r="O98" s="8"/>
      <c r="P98" s="8"/>
      <c r="Q98" s="8"/>
      <c r="R98" s="87"/>
      <c r="S98" s="88">
        <v>7.18</v>
      </c>
      <c r="T98" s="87">
        <v>703</v>
      </c>
      <c r="U98" s="87">
        <v>2814</v>
      </c>
      <c r="V98" s="87">
        <v>747</v>
      </c>
      <c r="W98" s="87">
        <v>2989</v>
      </c>
      <c r="X98" s="89">
        <v>0.73</v>
      </c>
      <c r="Y98" s="8"/>
      <c r="Z98" s="8"/>
      <c r="AA98" s="8"/>
      <c r="AB98" s="8"/>
      <c r="AC98" s="8"/>
    </row>
    <row r="99" spans="1:29" ht="15">
      <c r="A99" s="58"/>
      <c r="B99" s="69">
        <v>67</v>
      </c>
      <c r="C99" s="43" t="s">
        <v>295</v>
      </c>
      <c r="D99" s="69">
        <v>6.8207245492967902E-2</v>
      </c>
      <c r="E99" s="43">
        <f t="shared" si="10"/>
        <v>0.2066708673313529</v>
      </c>
      <c r="F99" s="71">
        <f t="shared" si="3"/>
        <v>20.667086733135289</v>
      </c>
      <c r="G99" s="84">
        <f t="shared" si="4"/>
        <v>211.42429727997401</v>
      </c>
      <c r="H99" s="43"/>
      <c r="I99" s="8"/>
      <c r="J99" s="8">
        <f t="shared" si="11"/>
        <v>13544.175290560212</v>
      </c>
      <c r="K99" s="8"/>
      <c r="L99" s="8"/>
      <c r="M99" s="8"/>
      <c r="N99" s="8"/>
      <c r="O99" s="8"/>
      <c r="P99" s="8"/>
      <c r="Q99" s="8"/>
      <c r="R99" s="87"/>
      <c r="S99" s="88">
        <v>7.34</v>
      </c>
      <c r="T99" s="87">
        <v>712</v>
      </c>
      <c r="U99" s="87">
        <v>2849</v>
      </c>
      <c r="V99" s="87">
        <v>757</v>
      </c>
      <c r="W99" s="87">
        <v>3030</v>
      </c>
      <c r="X99" s="89">
        <v>0.74</v>
      </c>
      <c r="Y99" s="8"/>
      <c r="Z99" s="8"/>
      <c r="AA99" s="8"/>
      <c r="AB99" s="8"/>
      <c r="AC99" s="8"/>
    </row>
    <row r="100" spans="1:29" ht="15">
      <c r="A100" s="58"/>
      <c r="B100" s="69">
        <v>68</v>
      </c>
      <c r="C100" s="43" t="s">
        <v>296</v>
      </c>
      <c r="D100" s="69">
        <v>7.31027156720611E-2</v>
      </c>
      <c r="E100" s="43">
        <f t="shared" si="10"/>
        <v>0.21127890659348736</v>
      </c>
      <c r="F100" s="71">
        <f t="shared" si="3"/>
        <v>21.127890659348736</v>
      </c>
      <c r="G100" s="84">
        <f t="shared" si="4"/>
        <v>216.13832144513756</v>
      </c>
      <c r="H100" s="43"/>
      <c r="I100" s="8"/>
      <c r="J100" s="8">
        <f t="shared" si="11"/>
        <v>13846.163143604193</v>
      </c>
      <c r="K100" s="8"/>
      <c r="L100" s="8"/>
      <c r="M100" s="8"/>
      <c r="N100" s="8"/>
      <c r="O100" s="8"/>
      <c r="P100" s="8"/>
      <c r="Q100" s="8"/>
      <c r="R100" s="87"/>
      <c r="S100" s="88">
        <v>7.49</v>
      </c>
      <c r="T100" s="87">
        <v>721</v>
      </c>
      <c r="U100" s="87">
        <v>2884</v>
      </c>
      <c r="V100" s="87">
        <v>767</v>
      </c>
      <c r="W100" s="87">
        <v>3071</v>
      </c>
      <c r="X100" s="89">
        <v>0.75</v>
      </c>
      <c r="Y100" s="8"/>
      <c r="Z100" s="8"/>
      <c r="AA100" s="8"/>
      <c r="AB100" s="8"/>
      <c r="AC100" s="8"/>
    </row>
    <row r="101" spans="1:29" ht="15">
      <c r="A101" s="58"/>
      <c r="B101" s="69">
        <v>69</v>
      </c>
      <c r="C101" s="43" t="s">
        <v>297</v>
      </c>
      <c r="D101" s="69">
        <v>7.8349550696651102E-2</v>
      </c>
      <c r="E101" s="43">
        <f t="shared" si="10"/>
        <v>0.21597782643920294</v>
      </c>
      <c r="F101" s="71">
        <f t="shared" si="3"/>
        <v>21.597782643920294</v>
      </c>
      <c r="G101" s="84">
        <f t="shared" si="4"/>
        <v>220.94531644730461</v>
      </c>
      <c r="H101" s="43"/>
      <c r="I101" s="8"/>
      <c r="J101" s="8">
        <f t="shared" si="11"/>
        <v>14154.106855693164</v>
      </c>
      <c r="K101" s="8"/>
      <c r="L101" s="8"/>
      <c r="M101" s="8"/>
      <c r="N101" s="8"/>
      <c r="O101" s="8"/>
      <c r="P101" s="8"/>
      <c r="Q101" s="8"/>
      <c r="R101" s="87"/>
      <c r="S101" s="88">
        <v>7.64</v>
      </c>
      <c r="T101" s="87">
        <v>730</v>
      </c>
      <c r="U101" s="87">
        <v>2919</v>
      </c>
      <c r="V101" s="87">
        <v>777</v>
      </c>
      <c r="W101" s="87">
        <v>3112</v>
      </c>
      <c r="X101" s="89">
        <v>0.76</v>
      </c>
      <c r="Y101" s="8"/>
      <c r="Z101" s="8"/>
      <c r="AA101" s="8"/>
      <c r="AB101" s="8"/>
      <c r="AC101" s="8"/>
    </row>
    <row r="102" spans="1:29" ht="15">
      <c r="A102" s="58"/>
      <c r="B102" s="69">
        <v>70</v>
      </c>
      <c r="C102" s="43" t="s">
        <v>298</v>
      </c>
      <c r="D102" s="69">
        <v>8.39729692383126E-2</v>
      </c>
      <c r="E102" s="43">
        <f t="shared" si="10"/>
        <v>0.22076483486539644</v>
      </c>
      <c r="F102" s="71">
        <f t="shared" si="3"/>
        <v>22.076483486539644</v>
      </c>
      <c r="G102" s="84">
        <f t="shared" si="4"/>
        <v>225.84242606730055</v>
      </c>
      <c r="H102" s="43"/>
      <c r="I102" s="8"/>
      <c r="J102" s="8">
        <f t="shared" si="11"/>
        <v>14467.823452903756</v>
      </c>
      <c r="K102" s="8"/>
      <c r="L102" s="8"/>
      <c r="M102" s="8"/>
      <c r="N102" s="8"/>
      <c r="O102" s="8"/>
      <c r="P102" s="8"/>
      <c r="Q102" s="8"/>
      <c r="R102" s="87"/>
      <c r="S102" s="88">
        <v>7.8</v>
      </c>
      <c r="T102" s="87">
        <v>739</v>
      </c>
      <c r="U102" s="87">
        <v>2954</v>
      </c>
      <c r="V102" s="87">
        <v>788</v>
      </c>
      <c r="W102" s="87">
        <v>3153</v>
      </c>
      <c r="X102" s="89">
        <v>0.77</v>
      </c>
      <c r="Y102" s="8"/>
      <c r="Z102" s="8"/>
      <c r="AA102" s="8"/>
      <c r="AB102" s="8"/>
      <c r="AC102" s="8"/>
    </row>
    <row r="103" spans="1:29" ht="15">
      <c r="A103" s="58"/>
      <c r="B103" s="69">
        <v>71</v>
      </c>
      <c r="C103" s="43" t="s">
        <v>299</v>
      </c>
      <c r="D103" s="69">
        <v>0.09</v>
      </c>
      <c r="E103" s="43">
        <f t="shared" si="10"/>
        <v>0.22563706491379198</v>
      </c>
      <c r="F103" s="71">
        <f t="shared" si="3"/>
        <v>22.5637064913792</v>
      </c>
      <c r="G103" s="84">
        <f t="shared" si="4"/>
        <v>230.82671740680919</v>
      </c>
      <c r="H103" s="43"/>
      <c r="I103" s="8"/>
      <c r="J103" s="8">
        <f t="shared" si="11"/>
        <v>14787.125049125358</v>
      </c>
      <c r="K103" s="8"/>
      <c r="L103" s="8"/>
      <c r="M103" s="8"/>
      <c r="N103" s="8"/>
      <c r="O103" s="8"/>
      <c r="P103" s="8"/>
      <c r="Q103" s="8"/>
      <c r="R103" s="87"/>
      <c r="S103" s="88">
        <v>7.95</v>
      </c>
      <c r="T103" s="87">
        <v>747</v>
      </c>
      <c r="U103" s="87">
        <v>2989</v>
      </c>
      <c r="V103" s="87">
        <v>798</v>
      </c>
      <c r="W103" s="87">
        <v>3194</v>
      </c>
      <c r="X103" s="89">
        <v>0.78</v>
      </c>
      <c r="Y103" s="8"/>
      <c r="Z103" s="8"/>
      <c r="AA103" s="8"/>
      <c r="AB103" s="8"/>
      <c r="AC103" s="8"/>
    </row>
    <row r="104" spans="1:29" ht="15">
      <c r="A104" s="58"/>
      <c r="B104" s="69">
        <v>72</v>
      </c>
      <c r="C104" s="43" t="s">
        <v>300</v>
      </c>
      <c r="D104" s="69">
        <v>9.6459611628266301E-2</v>
      </c>
      <c r="E104" s="43">
        <f t="shared" si="10"/>
        <v>0.23059159276865382</v>
      </c>
      <c r="F104" s="71">
        <f t="shared" si="3"/>
        <v>23.059159276865383</v>
      </c>
      <c r="G104" s="84">
        <f t="shared" si="4"/>
        <v>235.89519940233285</v>
      </c>
      <c r="H104" s="43"/>
      <c r="I104" s="8"/>
      <c r="J104" s="8">
        <f t="shared" si="11"/>
        <v>15111.820032093729</v>
      </c>
      <c r="K104" s="8"/>
      <c r="L104" s="8"/>
      <c r="M104" s="8"/>
      <c r="N104" s="8"/>
      <c r="O104" s="8"/>
      <c r="P104" s="8"/>
      <c r="Q104" s="8"/>
      <c r="R104" s="87"/>
      <c r="S104" s="88">
        <v>8.11</v>
      </c>
      <c r="T104" s="87">
        <v>756</v>
      </c>
      <c r="U104" s="87">
        <v>3024</v>
      </c>
      <c r="V104" s="87">
        <v>808</v>
      </c>
      <c r="W104" s="87">
        <v>3235</v>
      </c>
      <c r="X104" s="89">
        <v>0.79</v>
      </c>
      <c r="Y104" s="8"/>
      <c r="Z104" s="8"/>
      <c r="AA104" s="8"/>
      <c r="AB104" s="8"/>
      <c r="AC104" s="8"/>
    </row>
    <row r="105" spans="1:29" ht="15">
      <c r="A105" s="58"/>
      <c r="B105" s="69">
        <v>73</v>
      </c>
      <c r="C105" s="43" t="s">
        <v>301</v>
      </c>
      <c r="D105" s="69">
        <v>0.103382851949733</v>
      </c>
      <c r="E105" s="43">
        <f t="shared" si="10"/>
        <v>0.23562545513057015</v>
      </c>
      <c r="F105" s="71">
        <f t="shared" si="3"/>
        <v>23.562545513057014</v>
      </c>
      <c r="G105" s="84">
        <f t="shared" si="4"/>
        <v>241.04484059857327</v>
      </c>
      <c r="H105" s="43"/>
      <c r="I105" s="8"/>
      <c r="J105" s="8">
        <f t="shared" si="11"/>
        <v>15441.714201981915</v>
      </c>
      <c r="K105" s="8"/>
      <c r="L105" s="8"/>
      <c r="M105" s="8"/>
      <c r="N105" s="8"/>
      <c r="O105" s="8"/>
      <c r="P105" s="8"/>
      <c r="Q105" s="8"/>
      <c r="R105" s="87"/>
      <c r="S105" s="88">
        <v>8.26</v>
      </c>
      <c r="T105" s="87">
        <v>765</v>
      </c>
      <c r="U105" s="87">
        <v>3059</v>
      </c>
      <c r="V105" s="87">
        <v>818</v>
      </c>
      <c r="W105" s="87">
        <v>3276</v>
      </c>
      <c r="X105" s="89">
        <v>0.8</v>
      </c>
      <c r="Y105" s="8"/>
      <c r="Z105" s="8"/>
      <c r="AA105" s="8"/>
      <c r="AB105" s="8"/>
      <c r="AC105" s="8"/>
    </row>
    <row r="106" spans="1:29" ht="15">
      <c r="A106" s="58"/>
      <c r="B106" s="69">
        <v>74</v>
      </c>
      <c r="C106" s="43" t="s">
        <v>302</v>
      </c>
      <c r="D106" s="69">
        <v>0.110802997201042</v>
      </c>
      <c r="E106" s="43">
        <f t="shared" si="10"/>
        <v>0.24073566570888663</v>
      </c>
      <c r="F106" s="71">
        <f t="shared" si="3"/>
        <v>24.073566570888662</v>
      </c>
      <c r="G106" s="84">
        <f t="shared" si="4"/>
        <v>246.27258602019103</v>
      </c>
      <c r="H106" s="43"/>
      <c r="I106" s="8"/>
      <c r="J106" s="8">
        <f t="shared" si="11"/>
        <v>15776.611852231885</v>
      </c>
      <c r="K106" s="8"/>
      <c r="L106" s="8"/>
      <c r="M106" s="8"/>
      <c r="N106" s="8"/>
      <c r="O106" s="8"/>
      <c r="P106" s="8"/>
      <c r="Q106" s="8"/>
      <c r="R106" s="87"/>
      <c r="S106" s="88">
        <v>8.42</v>
      </c>
      <c r="T106" s="87">
        <v>774</v>
      </c>
      <c r="U106" s="87">
        <v>3094</v>
      </c>
      <c r="V106" s="87">
        <v>829</v>
      </c>
      <c r="W106" s="87">
        <v>3317</v>
      </c>
      <c r="X106" s="89">
        <v>0.81</v>
      </c>
      <c r="Y106" s="8"/>
      <c r="Z106" s="8"/>
      <c r="AA106" s="8"/>
      <c r="AB106" s="8"/>
      <c r="AC106" s="8"/>
    </row>
    <row r="107" spans="1:29" ht="15">
      <c r="A107" s="58"/>
      <c r="B107" s="69">
        <v>75</v>
      </c>
      <c r="C107" s="43" t="s">
        <v>303</v>
      </c>
      <c r="D107" s="69">
        <v>0.11875571196956</v>
      </c>
      <c r="E107" s="43">
        <f t="shared" si="10"/>
        <v>0.24591923070528782</v>
      </c>
      <c r="F107" s="71">
        <f t="shared" si="3"/>
        <v>24.591923070528782</v>
      </c>
      <c r="G107" s="84">
        <f t="shared" si="4"/>
        <v>251.57537301150944</v>
      </c>
      <c r="H107" s="43"/>
      <c r="I107" s="8"/>
      <c r="J107" s="8">
        <f t="shared" si="11"/>
        <v>16116.316784271037</v>
      </c>
      <c r="K107" s="8"/>
      <c r="L107" s="8"/>
      <c r="M107" s="8"/>
      <c r="N107" s="8"/>
      <c r="O107" s="8"/>
      <c r="P107" s="8"/>
      <c r="Q107" s="8"/>
      <c r="R107" s="87"/>
      <c r="S107" s="88">
        <v>8.57</v>
      </c>
      <c r="T107" s="87">
        <v>782</v>
      </c>
      <c r="U107" s="87">
        <v>3129</v>
      </c>
      <c r="V107" s="87">
        <v>839</v>
      </c>
      <c r="W107" s="87">
        <v>3358</v>
      </c>
      <c r="X107" s="89">
        <v>0.82</v>
      </c>
      <c r="Y107" s="8"/>
      <c r="Z107" s="8"/>
      <c r="AA107" s="8"/>
      <c r="AB107" s="8"/>
      <c r="AC107" s="8"/>
    </row>
    <row r="108" spans="1:29" ht="15">
      <c r="A108" s="58"/>
      <c r="B108" s="69">
        <v>76</v>
      </c>
      <c r="C108" s="43" t="s">
        <v>304</v>
      </c>
      <c r="D108" s="69">
        <v>0.12727922061357799</v>
      </c>
      <c r="E108" s="43">
        <f t="shared" si="10"/>
        <v>0.25117316319053595</v>
      </c>
      <c r="F108" s="71">
        <f t="shared" si="3"/>
        <v>25.117316319053597</v>
      </c>
      <c r="G108" s="84">
        <f t="shared" si="4"/>
        <v>256.9501459439183</v>
      </c>
      <c r="H108" s="43"/>
      <c r="I108" s="8"/>
      <c r="J108" s="8">
        <f t="shared" si="11"/>
        <v>16460.633249691775</v>
      </c>
      <c r="K108" s="8"/>
      <c r="L108" s="8"/>
      <c r="M108" s="8"/>
      <c r="N108" s="8"/>
      <c r="O108" s="8"/>
      <c r="P108" s="8"/>
      <c r="Q108" s="8"/>
      <c r="R108" s="87"/>
      <c r="S108" s="88">
        <v>8.73</v>
      </c>
      <c r="T108" s="87">
        <v>791</v>
      </c>
      <c r="U108" s="87">
        <v>3164</v>
      </c>
      <c r="V108" s="87">
        <v>849</v>
      </c>
      <c r="W108" s="87">
        <v>3399</v>
      </c>
      <c r="X108" s="89">
        <v>0.83</v>
      </c>
      <c r="Y108" s="8"/>
      <c r="Z108" s="8"/>
      <c r="AA108" s="8"/>
      <c r="AB108" s="8"/>
      <c r="AC108" s="8"/>
    </row>
    <row r="109" spans="1:29" ht="15">
      <c r="A109" s="58"/>
      <c r="B109" s="69">
        <v>77</v>
      </c>
      <c r="C109" s="43" t="s">
        <v>305</v>
      </c>
      <c r="D109" s="69">
        <v>0.136414490985935</v>
      </c>
      <c r="E109" s="43">
        <f t="shared" si="10"/>
        <v>0.25649449630470744</v>
      </c>
      <c r="F109" s="71">
        <f t="shared" si="3"/>
        <v>25.649449630470745</v>
      </c>
      <c r="G109" s="84">
        <f t="shared" si="4"/>
        <v>262.39386971971572</v>
      </c>
      <c r="H109" s="43"/>
      <c r="I109" s="8"/>
      <c r="J109" s="8">
        <f t="shared" si="11"/>
        <v>16809.366815329002</v>
      </c>
      <c r="K109" s="8"/>
      <c r="L109" s="8"/>
      <c r="M109" s="8"/>
      <c r="N109" s="8"/>
      <c r="O109" s="8"/>
      <c r="P109" s="8"/>
      <c r="Q109" s="8"/>
      <c r="R109" s="87"/>
      <c r="S109" s="88">
        <v>8.8800000000000008</v>
      </c>
      <c r="T109" s="87">
        <v>800</v>
      </c>
      <c r="U109" s="87">
        <v>3199</v>
      </c>
      <c r="V109" s="87">
        <v>859</v>
      </c>
      <c r="W109" s="87">
        <v>3440</v>
      </c>
      <c r="X109" s="89">
        <v>0.84</v>
      </c>
      <c r="Y109" s="8"/>
      <c r="Z109" s="8"/>
      <c r="AA109" s="8"/>
      <c r="AB109" s="8"/>
      <c r="AC109" s="8"/>
    </row>
    <row r="110" spans="1:29" ht="15">
      <c r="A110" s="58"/>
      <c r="B110" s="69">
        <v>78</v>
      </c>
      <c r="C110" s="43" t="s">
        <v>306</v>
      </c>
      <c r="D110" s="69">
        <v>0.14620543134412201</v>
      </c>
      <c r="E110" s="43">
        <f t="shared" si="10"/>
        <v>0.26188029523776846</v>
      </c>
      <c r="F110" s="71">
        <f t="shared" si="3"/>
        <v>26.188029523776844</v>
      </c>
      <c r="G110" s="84">
        <f t="shared" si="4"/>
        <v>267.90354202823715</v>
      </c>
      <c r="H110" s="43"/>
      <c r="I110" s="8"/>
      <c r="J110" s="8">
        <f t="shared" si="11"/>
        <v>17162.325148407155</v>
      </c>
      <c r="K110" s="8"/>
      <c r="L110" s="8"/>
      <c r="M110" s="8"/>
      <c r="N110" s="8"/>
      <c r="O110" s="8"/>
      <c r="P110" s="8"/>
      <c r="Q110" s="8"/>
      <c r="R110" s="87"/>
      <c r="S110" s="88">
        <v>9.0299999999999994</v>
      </c>
      <c r="T110" s="87">
        <v>809</v>
      </c>
      <c r="U110" s="87">
        <v>3234</v>
      </c>
      <c r="V110" s="87">
        <v>870</v>
      </c>
      <c r="W110" s="87">
        <v>3481</v>
      </c>
      <c r="X110" s="89">
        <v>0.85</v>
      </c>
      <c r="Y110" s="8"/>
      <c r="Z110" s="8"/>
      <c r="AA110" s="8"/>
      <c r="AB110" s="8"/>
      <c r="AC110" s="8"/>
    </row>
    <row r="111" spans="1:29" ht="15">
      <c r="A111" s="58"/>
      <c r="B111" s="69">
        <v>79</v>
      </c>
      <c r="C111" s="43" t="s">
        <v>307</v>
      </c>
      <c r="D111" s="69">
        <v>0.15669910139330201</v>
      </c>
      <c r="E111" s="43">
        <f t="shared" si="10"/>
        <v>0.26732766797152041</v>
      </c>
      <c r="F111" s="71">
        <f t="shared" si="3"/>
        <v>26.732766797152042</v>
      </c>
      <c r="G111" s="84">
        <f t="shared" si="4"/>
        <v>273.47620433486537</v>
      </c>
      <c r="H111" s="43"/>
      <c r="I111" s="8"/>
      <c r="J111" s="8">
        <f t="shared" si="11"/>
        <v>17519.318720513591</v>
      </c>
      <c r="K111" s="8"/>
      <c r="L111" s="8"/>
      <c r="M111" s="8"/>
      <c r="N111" s="8"/>
      <c r="O111" s="8"/>
      <c r="P111" s="8"/>
      <c r="Q111" s="8"/>
      <c r="R111" s="87"/>
      <c r="S111" s="88">
        <v>9.19</v>
      </c>
      <c r="T111" s="87">
        <v>817</v>
      </c>
      <c r="U111" s="87">
        <v>3269</v>
      </c>
      <c r="V111" s="87">
        <v>880</v>
      </c>
      <c r="W111" s="87">
        <v>3522</v>
      </c>
      <c r="X111" s="89">
        <v>0.86</v>
      </c>
      <c r="Y111" s="8"/>
      <c r="Z111" s="8"/>
      <c r="AA111" s="8"/>
      <c r="AB111" s="8"/>
      <c r="AC111" s="8"/>
    </row>
    <row r="112" spans="1:29" ht="15">
      <c r="A112" s="58"/>
      <c r="B112" s="69">
        <v>80</v>
      </c>
      <c r="C112" s="43" t="s">
        <v>85</v>
      </c>
      <c r="D112" s="69">
        <v>0.16794593847662501</v>
      </c>
      <c r="E112" s="43">
        <f t="shared" si="10"/>
        <v>0.2728337747855174</v>
      </c>
      <c r="F112" s="71">
        <f t="shared" si="3"/>
        <v>27.283377478551742</v>
      </c>
      <c r="G112" s="84">
        <f t="shared" si="4"/>
        <v>279.10895160558431</v>
      </c>
      <c r="H112" s="43"/>
      <c r="I112" s="8"/>
      <c r="J112" s="8">
        <f t="shared" si="11"/>
        <v>17880.161430568882</v>
      </c>
      <c r="K112" s="8"/>
      <c r="L112" s="8"/>
      <c r="M112" s="8"/>
      <c r="N112" s="8"/>
      <c r="O112" s="8"/>
      <c r="P112" s="8"/>
      <c r="Q112" s="8"/>
      <c r="R112" s="87"/>
      <c r="S112" s="88">
        <v>9.34</v>
      </c>
      <c r="T112" s="87">
        <v>826</v>
      </c>
      <c r="U112" s="87">
        <v>3304</v>
      </c>
      <c r="V112" s="87">
        <v>890</v>
      </c>
      <c r="W112" s="87">
        <v>3563</v>
      </c>
      <c r="X112" s="89">
        <v>0.87</v>
      </c>
      <c r="Y112" s="8"/>
      <c r="Z112" s="8"/>
      <c r="AA112" s="8"/>
      <c r="AB112" s="8"/>
      <c r="AC112" s="8"/>
    </row>
    <row r="113" spans="1:29" ht="15">
      <c r="A113" s="58"/>
      <c r="B113" s="69">
        <v>81</v>
      </c>
      <c r="C113" s="43" t="s">
        <v>308</v>
      </c>
      <c r="D113" s="69">
        <v>0.18</v>
      </c>
      <c r="E113" s="43">
        <f t="shared" si="10"/>
        <v>0.27839583654826527</v>
      </c>
      <c r="F113" s="71">
        <f t="shared" si="3"/>
        <v>27.839583654826527</v>
      </c>
      <c r="G113" s="84">
        <f t="shared" si="4"/>
        <v>284.79894078887537</v>
      </c>
      <c r="H113" s="43"/>
      <c r="I113" s="8"/>
      <c r="J113" s="8">
        <f t="shared" si="11"/>
        <v>18244.671148190566</v>
      </c>
      <c r="K113" s="8"/>
      <c r="L113" s="8"/>
      <c r="M113" s="8"/>
      <c r="N113" s="8"/>
      <c r="O113" s="8"/>
      <c r="P113" s="8"/>
      <c r="Q113" s="8"/>
      <c r="R113" s="87"/>
      <c r="S113" s="88">
        <v>9.5</v>
      </c>
      <c r="T113" s="87">
        <v>835</v>
      </c>
      <c r="U113" s="87">
        <v>3340</v>
      </c>
      <c r="V113" s="87">
        <v>900</v>
      </c>
      <c r="W113" s="87">
        <v>3604</v>
      </c>
      <c r="X113" s="89">
        <v>0.88</v>
      </c>
      <c r="Y113" s="8"/>
      <c r="Z113" s="8"/>
      <c r="AA113" s="8"/>
      <c r="AB113" s="8"/>
      <c r="AC113" s="8"/>
    </row>
    <row r="114" spans="1:29" ht="15">
      <c r="A114" s="58"/>
      <c r="B114" s="69">
        <v>82</v>
      </c>
      <c r="C114" s="43" t="s">
        <v>309</v>
      </c>
      <c r="D114" s="69">
        <v>0.19291922325653199</v>
      </c>
      <c r="E114" s="43">
        <f t="shared" si="10"/>
        <v>0.28401114183083787</v>
      </c>
      <c r="F114" s="71">
        <f t="shared" si="3"/>
        <v>28.401114183083788</v>
      </c>
      <c r="G114" s="84">
        <f t="shared" si="4"/>
        <v>290.54339809294714</v>
      </c>
      <c r="H114" s="43"/>
      <c r="I114" s="8"/>
      <c r="J114" s="8">
        <f t="shared" si="11"/>
        <v>18612.67017988396</v>
      </c>
      <c r="K114" s="8"/>
      <c r="L114" s="8"/>
      <c r="M114" s="8"/>
      <c r="N114" s="8"/>
      <c r="O114" s="8"/>
      <c r="P114" s="8"/>
      <c r="Q114" s="8"/>
      <c r="R114" s="87"/>
      <c r="S114" s="88">
        <v>9.65</v>
      </c>
      <c r="T114" s="87">
        <v>844</v>
      </c>
      <c r="U114" s="87">
        <v>3375</v>
      </c>
      <c r="V114" s="87">
        <v>910</v>
      </c>
      <c r="W114" s="87">
        <v>3645</v>
      </c>
      <c r="X114" s="89">
        <v>0.89</v>
      </c>
      <c r="Y114" s="8"/>
      <c r="Z114" s="8"/>
      <c r="AA114" s="8"/>
      <c r="AB114" s="8"/>
      <c r="AC114" s="8"/>
    </row>
    <row r="115" spans="1:29" ht="15">
      <c r="A115" s="58"/>
      <c r="B115" s="69">
        <v>83</v>
      </c>
      <c r="C115" s="43" t="s">
        <v>87</v>
      </c>
      <c r="D115" s="69">
        <v>0.206765703899466</v>
      </c>
      <c r="E115" s="43">
        <f t="shared" si="10"/>
        <v>0.28967705289299522</v>
      </c>
      <c r="F115" s="71">
        <f t="shared" si="3"/>
        <v>28.967705289299523</v>
      </c>
      <c r="G115" s="84">
        <f t="shared" si="4"/>
        <v>296.3396251095341</v>
      </c>
      <c r="H115" s="43"/>
      <c r="I115" s="8"/>
      <c r="J115" s="8">
        <f t="shared" si="11"/>
        <v>18983.985661342442</v>
      </c>
      <c r="K115" s="8"/>
      <c r="L115" s="8"/>
      <c r="M115" s="8"/>
      <c r="N115" s="8"/>
      <c r="O115" s="8"/>
      <c r="P115" s="8"/>
      <c r="Q115" s="8"/>
      <c r="R115" s="87"/>
      <c r="S115" s="88">
        <v>9.81</v>
      </c>
      <c r="T115" s="87">
        <v>852</v>
      </c>
      <c r="U115" s="87">
        <v>3410</v>
      </c>
      <c r="V115" s="87">
        <v>921</v>
      </c>
      <c r="W115" s="87">
        <v>3686</v>
      </c>
      <c r="X115" s="89">
        <v>0.9</v>
      </c>
      <c r="Y115" s="8"/>
      <c r="Z115" s="8"/>
      <c r="AA115" s="8"/>
      <c r="AB115" s="8"/>
      <c r="AC115" s="8"/>
    </row>
    <row r="116" spans="1:29" ht="15">
      <c r="A116" s="58"/>
      <c r="B116" s="69">
        <v>84</v>
      </c>
      <c r="C116" s="43" t="s">
        <v>310</v>
      </c>
      <c r="D116" s="69">
        <v>0.22160599440208401</v>
      </c>
      <c r="E116" s="43">
        <f t="shared" si="10"/>
        <v>0.29539101060205442</v>
      </c>
      <c r="F116" s="71">
        <f t="shared" si="3"/>
        <v>29.539101060205443</v>
      </c>
      <c r="G116" s="84">
        <f t="shared" si="4"/>
        <v>302.18500384590169</v>
      </c>
      <c r="H116" s="43"/>
      <c r="I116" s="8"/>
      <c r="J116" s="8">
        <f t="shared" si="11"/>
        <v>19358.449879805637</v>
      </c>
      <c r="K116" s="8"/>
      <c r="L116" s="8"/>
      <c r="M116" s="8"/>
      <c r="N116" s="8"/>
      <c r="O116" s="8"/>
      <c r="P116" s="8"/>
      <c r="Q116" s="8"/>
      <c r="R116" s="87"/>
      <c r="S116" s="88">
        <v>9.9600000000000009</v>
      </c>
      <c r="T116" s="87">
        <v>861</v>
      </c>
      <c r="U116" s="87">
        <v>3445</v>
      </c>
      <c r="V116" s="87">
        <v>931</v>
      </c>
      <c r="W116" s="87">
        <v>3726</v>
      </c>
      <c r="X116" s="89">
        <v>0.91</v>
      </c>
      <c r="Y116" s="8"/>
      <c r="Z116" s="8"/>
      <c r="AA116" s="8"/>
      <c r="AB116" s="8"/>
      <c r="AC116" s="8"/>
    </row>
    <row r="117" spans="1:29" ht="15">
      <c r="A117" s="58"/>
      <c r="B117" s="69">
        <v>85</v>
      </c>
      <c r="C117" s="43" t="s">
        <v>311</v>
      </c>
      <c r="D117" s="69">
        <v>0.23751142393912</v>
      </c>
      <c r="E117" s="43">
        <f t="shared" si="10"/>
        <v>0.30115053835240257</v>
      </c>
      <c r="F117" s="71">
        <f t="shared" si="3"/>
        <v>30.115053835240257</v>
      </c>
      <c r="G117" s="84">
        <f t="shared" si="4"/>
        <v>308.07700073450781</v>
      </c>
      <c r="H117" s="43"/>
      <c r="I117" s="8"/>
      <c r="J117" s="8">
        <f t="shared" si="11"/>
        <v>19735.900530924704</v>
      </c>
      <c r="K117" s="8"/>
      <c r="L117" s="8"/>
      <c r="M117" s="8"/>
      <c r="N117" s="8"/>
      <c r="O117" s="8"/>
      <c r="P117" s="8"/>
      <c r="Q117" s="8"/>
      <c r="R117" s="87"/>
      <c r="S117" s="88">
        <v>10.119999999999999</v>
      </c>
      <c r="T117" s="87">
        <v>870</v>
      </c>
      <c r="U117" s="87">
        <v>3480</v>
      </c>
      <c r="V117" s="87">
        <v>941</v>
      </c>
      <c r="W117" s="87">
        <v>3767</v>
      </c>
      <c r="X117" s="89">
        <v>0.92</v>
      </c>
      <c r="Y117" s="8"/>
      <c r="Z117" s="8"/>
      <c r="AA117" s="8"/>
      <c r="AB117" s="8"/>
      <c r="AC117" s="8"/>
    </row>
    <row r="118" spans="1:29" ht="15">
      <c r="A118" s="58"/>
      <c r="B118" s="69">
        <v>86</v>
      </c>
      <c r="C118" s="43" t="s">
        <v>312</v>
      </c>
      <c r="D118" s="69">
        <v>0.25455844122715698</v>
      </c>
      <c r="E118" s="43">
        <f t="shared" si="10"/>
        <v>0.30695324505876165</v>
      </c>
      <c r="F118" s="71">
        <f t="shared" si="3"/>
        <v>30.695324505876165</v>
      </c>
      <c r="G118" s="84">
        <f t="shared" si="4"/>
        <v>314.01316969511316</v>
      </c>
      <c r="H118" s="43"/>
      <c r="I118" s="8"/>
      <c r="J118" s="8">
        <f t="shared" si="11"/>
        <v>20116.180914925946</v>
      </c>
      <c r="K118" s="8"/>
      <c r="L118" s="8"/>
      <c r="M118" s="8"/>
      <c r="N118" s="8"/>
      <c r="O118" s="8"/>
      <c r="P118" s="8"/>
      <c r="Q118" s="8"/>
      <c r="R118" s="87"/>
      <c r="S118" s="88">
        <v>10.27</v>
      </c>
      <c r="T118" s="87">
        <v>879</v>
      </c>
      <c r="U118" s="87">
        <v>3515</v>
      </c>
      <c r="V118" s="87">
        <v>951</v>
      </c>
      <c r="W118" s="87">
        <v>3808</v>
      </c>
      <c r="X118" s="89">
        <v>0.93</v>
      </c>
      <c r="Y118" s="8"/>
      <c r="Z118" s="8"/>
      <c r="AA118" s="8"/>
      <c r="AB118" s="8"/>
      <c r="AC118" s="8"/>
    </row>
    <row r="119" spans="1:29" ht="15">
      <c r="A119" s="58"/>
      <c r="B119" s="69">
        <v>87</v>
      </c>
      <c r="C119" s="43" t="s">
        <v>313</v>
      </c>
      <c r="D119" s="69">
        <v>0.272828981971871</v>
      </c>
      <c r="E119" s="43">
        <f t="shared" si="10"/>
        <v>0.31279682729950337</v>
      </c>
      <c r="F119" s="71">
        <f t="shared" si="3"/>
        <v>31.279682729950338</v>
      </c>
      <c r="G119" s="84">
        <f t="shared" si="4"/>
        <v>319.99115432739194</v>
      </c>
      <c r="H119" s="43"/>
      <c r="I119" s="8"/>
      <c r="J119" s="8">
        <f t="shared" si="11"/>
        <v>20499.140077072952</v>
      </c>
      <c r="K119" s="8"/>
      <c r="L119" s="8"/>
      <c r="M119" s="8"/>
      <c r="N119" s="8"/>
      <c r="O119" s="8"/>
      <c r="P119" s="8"/>
      <c r="Q119" s="8"/>
      <c r="R119" s="87"/>
      <c r="S119" s="88">
        <v>10.42</v>
      </c>
      <c r="T119" s="87">
        <v>887</v>
      </c>
      <c r="U119" s="87">
        <v>3550</v>
      </c>
      <c r="V119" s="87">
        <v>962</v>
      </c>
      <c r="W119" s="87">
        <v>3849</v>
      </c>
      <c r="X119" s="89">
        <v>0.94</v>
      </c>
      <c r="Y119" s="8"/>
      <c r="Z119" s="8"/>
      <c r="AA119" s="8"/>
      <c r="AB119" s="8"/>
      <c r="AC119" s="8"/>
    </row>
    <row r="120" spans="1:29" ht="15">
      <c r="A120" s="58"/>
      <c r="B120" s="69">
        <v>88</v>
      </c>
      <c r="C120" s="43" t="s">
        <v>314</v>
      </c>
      <c r="D120" s="69">
        <v>0.29241086268824401</v>
      </c>
      <c r="E120" s="43">
        <f t="shared" si="10"/>
        <v>0.31867907068763002</v>
      </c>
      <c r="F120" s="71">
        <f t="shared" si="3"/>
        <v>31.867907068763003</v>
      </c>
      <c r="G120" s="84">
        <f t="shared" si="4"/>
        <v>326.00868931344553</v>
      </c>
      <c r="H120" s="43"/>
      <c r="I120" s="8"/>
      <c r="J120" s="8">
        <f t="shared" si="11"/>
        <v>20884.632897513835</v>
      </c>
      <c r="K120" s="8"/>
      <c r="L120" s="8"/>
      <c r="M120" s="8"/>
      <c r="N120" s="8"/>
      <c r="O120" s="8"/>
      <c r="P120" s="8"/>
      <c r="Q120" s="8"/>
      <c r="R120" s="87"/>
      <c r="S120" s="88">
        <v>10.58</v>
      </c>
      <c r="T120" s="87">
        <v>896</v>
      </c>
      <c r="U120" s="87">
        <v>3585</v>
      </c>
      <c r="V120" s="87">
        <v>972</v>
      </c>
      <c r="W120" s="87">
        <v>3890</v>
      </c>
      <c r="X120" s="89">
        <v>0.95</v>
      </c>
      <c r="Y120" s="8"/>
      <c r="Z120" s="8"/>
      <c r="AA120" s="8"/>
      <c r="AB120" s="8"/>
      <c r="AC120" s="8"/>
    </row>
    <row r="121" spans="1:29" ht="15">
      <c r="A121" s="58"/>
      <c r="B121" s="69">
        <v>89</v>
      </c>
      <c r="C121" s="43" t="s">
        <v>315</v>
      </c>
      <c r="D121" s="69">
        <v>0.31339820278660402</v>
      </c>
      <c r="E121" s="43">
        <f t="shared" si="10"/>
        <v>0.32459785054681123</v>
      </c>
      <c r="F121" s="71">
        <f t="shared" si="3"/>
        <v>32.45978505468112</v>
      </c>
      <c r="G121" s="84">
        <f t="shared" si="4"/>
        <v>332.06360110938789</v>
      </c>
      <c r="H121" s="43"/>
      <c r="I121" s="8"/>
      <c r="J121" s="8">
        <f t="shared" si="11"/>
        <v>21272.520135585273</v>
      </c>
      <c r="K121" s="8"/>
      <c r="L121" s="8"/>
      <c r="M121" s="8"/>
      <c r="N121" s="8"/>
      <c r="O121" s="8"/>
      <c r="P121" s="8"/>
      <c r="Q121" s="8"/>
      <c r="R121" s="87"/>
      <c r="S121" s="88">
        <v>10.73</v>
      </c>
      <c r="T121" s="87">
        <v>905</v>
      </c>
      <c r="U121" s="87">
        <v>3620</v>
      </c>
      <c r="V121" s="87">
        <v>982</v>
      </c>
      <c r="W121" s="87">
        <v>3931</v>
      </c>
      <c r="X121" s="89">
        <v>0.96</v>
      </c>
      <c r="Y121" s="8"/>
      <c r="Z121" s="8"/>
      <c r="AA121" s="8"/>
      <c r="AB121" s="8"/>
      <c r="AC121" s="8"/>
    </row>
    <row r="122" spans="1:29" ht="15">
      <c r="A122" s="58"/>
      <c r="B122" s="69">
        <v>90</v>
      </c>
      <c r="C122" s="43" t="s">
        <v>316</v>
      </c>
      <c r="D122" s="69">
        <v>0.33589187695325001</v>
      </c>
      <c r="E122" s="43">
        <f t="shared" si="10"/>
        <v>0.33055113196836605</v>
      </c>
      <c r="F122" s="71">
        <f t="shared" si="3"/>
        <v>33.055113196836608</v>
      </c>
      <c r="G122" s="84">
        <f t="shared" si="4"/>
        <v>338.15380800363846</v>
      </c>
      <c r="H122" s="43"/>
      <c r="I122" s="8"/>
      <c r="J122" s="8">
        <f t="shared" si="11"/>
        <v>21662.668433546871</v>
      </c>
      <c r="K122" s="8"/>
      <c r="L122" s="8"/>
      <c r="M122" s="8"/>
      <c r="N122" s="8"/>
      <c r="O122" s="8"/>
      <c r="P122" s="8"/>
      <c r="Q122" s="8"/>
      <c r="R122" s="87"/>
      <c r="S122" s="88">
        <v>10.89</v>
      </c>
      <c r="T122" s="87">
        <v>914</v>
      </c>
      <c r="U122" s="87">
        <v>3655</v>
      </c>
      <c r="V122" s="87">
        <v>992</v>
      </c>
      <c r="W122" s="87">
        <v>3972</v>
      </c>
      <c r="X122" s="89">
        <v>0.97</v>
      </c>
      <c r="Y122" s="8"/>
      <c r="Z122" s="8"/>
      <c r="AA122" s="8"/>
      <c r="AB122" s="8"/>
      <c r="AC122" s="8"/>
    </row>
    <row r="123" spans="1:29" ht="15">
      <c r="A123" s="58"/>
      <c r="B123" s="69">
        <v>91</v>
      </c>
      <c r="C123" s="43" t="s">
        <v>317</v>
      </c>
      <c r="D123" s="69">
        <v>0.36</v>
      </c>
      <c r="E123" s="43">
        <f t="shared" si="10"/>
        <v>0.33653696932251997</v>
      </c>
      <c r="F123" s="71">
        <f t="shared" si="3"/>
        <v>33.653696932251997</v>
      </c>
      <c r="G123" s="84">
        <f t="shared" si="4"/>
        <v>344.27731961693792</v>
      </c>
      <c r="H123" s="43"/>
      <c r="I123" s="8"/>
      <c r="J123" s="8">
        <f t="shared" si="11"/>
        <v>22054.950284551345</v>
      </c>
      <c r="K123" s="8"/>
      <c r="L123" s="8"/>
      <c r="M123" s="8"/>
      <c r="N123" s="8"/>
      <c r="O123" s="8"/>
      <c r="P123" s="8"/>
      <c r="Q123" s="8"/>
      <c r="R123" s="87"/>
      <c r="S123" s="88">
        <v>11.04</v>
      </c>
      <c r="T123" s="87">
        <v>922</v>
      </c>
      <c r="U123" s="87">
        <v>3690</v>
      </c>
      <c r="V123" s="87">
        <v>1003</v>
      </c>
      <c r="W123" s="87">
        <v>4013</v>
      </c>
      <c r="X123" s="89">
        <v>0.98</v>
      </c>
      <c r="Y123" s="8"/>
      <c r="Z123" s="8"/>
      <c r="AA123" s="8"/>
      <c r="AB123" s="8"/>
      <c r="AC123" s="8"/>
    </row>
    <row r="124" spans="1:29" ht="15">
      <c r="A124" s="58"/>
      <c r="B124" s="69">
        <v>92</v>
      </c>
      <c r="C124" s="43" t="s">
        <v>318</v>
      </c>
      <c r="D124" s="69">
        <v>0.38583844651306498</v>
      </c>
      <c r="E124" s="43">
        <f t="shared" si="10"/>
        <v>0.34255350529390677</v>
      </c>
      <c r="F124" s="71">
        <f t="shared" si="3"/>
        <v>34.255350529390675</v>
      </c>
      <c r="G124" s="84">
        <f t="shared" si="4"/>
        <v>350.43223591566664</v>
      </c>
      <c r="H124" s="43"/>
      <c r="I124" s="8"/>
      <c r="J124" s="8">
        <f t="shared" si="11"/>
        <v>22449.243969436178</v>
      </c>
      <c r="K124" s="8"/>
      <c r="L124" s="8"/>
      <c r="M124" s="8"/>
      <c r="N124" s="8"/>
      <c r="O124" s="8"/>
      <c r="P124" s="8"/>
      <c r="Q124" s="8"/>
      <c r="R124" s="87"/>
      <c r="S124" s="88">
        <v>11.2</v>
      </c>
      <c r="T124" s="87">
        <v>931</v>
      </c>
      <c r="U124" s="87">
        <v>3725</v>
      </c>
      <c r="V124" s="87">
        <v>1013</v>
      </c>
      <c r="W124" s="87">
        <v>4054</v>
      </c>
      <c r="X124" s="89">
        <v>0.99</v>
      </c>
      <c r="Y124" s="8"/>
      <c r="Z124" s="8"/>
      <c r="AA124" s="8"/>
      <c r="AB124" s="8"/>
      <c r="AC124" s="8"/>
    </row>
    <row r="125" spans="1:29" ht="15">
      <c r="A125" s="58"/>
      <c r="B125" s="69">
        <v>93</v>
      </c>
      <c r="C125" s="43" t="s">
        <v>319</v>
      </c>
      <c r="D125" s="69">
        <v>0.41353140779893199</v>
      </c>
      <c r="E125" s="43">
        <f t="shared" si="10"/>
        <v>0.34859896950733471</v>
      </c>
      <c r="F125" s="71">
        <f t="shared" si="3"/>
        <v>34.859896950733471</v>
      </c>
      <c r="G125" s="84">
        <f t="shared" si="4"/>
        <v>356.61674580600339</v>
      </c>
      <c r="H125" s="43"/>
      <c r="I125" s="8"/>
      <c r="J125" s="8">
        <f t="shared" si="11"/>
        <v>22845.43346666318</v>
      </c>
      <c r="K125" s="8"/>
      <c r="L125" s="8"/>
      <c r="M125" s="8"/>
      <c r="N125" s="8"/>
      <c r="O125" s="8"/>
      <c r="P125" s="8"/>
      <c r="Q125" s="8"/>
      <c r="R125" s="87"/>
      <c r="S125" s="88">
        <v>11.35</v>
      </c>
      <c r="T125" s="87">
        <v>940</v>
      </c>
      <c r="U125" s="87">
        <v>3760</v>
      </c>
      <c r="V125" s="87">
        <v>1023</v>
      </c>
      <c r="W125" s="87">
        <v>4095</v>
      </c>
      <c r="X125" s="89">
        <v>1</v>
      </c>
      <c r="Y125" s="8"/>
      <c r="Z125" s="8"/>
      <c r="AA125" s="8"/>
      <c r="AB125" s="8"/>
      <c r="AC125" s="8"/>
    </row>
    <row r="126" spans="1:29" ht="15">
      <c r="A126" s="58"/>
      <c r="B126" s="69">
        <v>94</v>
      </c>
      <c r="C126" s="43" t="s">
        <v>320</v>
      </c>
      <c r="D126" s="69">
        <v>0.44321198880416901</v>
      </c>
      <c r="E126" s="43">
        <f t="shared" si="10"/>
        <v>0.35467167680545453</v>
      </c>
      <c r="F126" s="71">
        <f t="shared" si="3"/>
        <v>35.467167680545451</v>
      </c>
      <c r="G126" s="84">
        <f t="shared" si="4"/>
        <v>362.82912537197996</v>
      </c>
      <c r="H126" s="43"/>
      <c r="I126" s="8"/>
      <c r="J126" s="8">
        <f t="shared" si="11"/>
        <v>23243.408339445461</v>
      </c>
      <c r="K126" s="8"/>
      <c r="L126" s="8"/>
      <c r="M126" s="8"/>
      <c r="N126" s="8"/>
      <c r="O126" s="8"/>
      <c r="P126" s="8"/>
      <c r="Q126" s="8"/>
      <c r="R126" s="8"/>
      <c r="S126" s="8"/>
      <c r="T126" s="8"/>
      <c r="U126" s="8"/>
      <c r="V126" s="8"/>
      <c r="W126" s="8"/>
      <c r="X126" s="8"/>
      <c r="Y126" s="8"/>
      <c r="Z126" s="8"/>
      <c r="AA126" s="8"/>
      <c r="AB126" s="8"/>
      <c r="AC126" s="8"/>
    </row>
    <row r="127" spans="1:29" ht="15">
      <c r="A127" s="58"/>
      <c r="B127" s="69">
        <v>95</v>
      </c>
      <c r="C127" s="43" t="s">
        <v>321</v>
      </c>
      <c r="D127" s="69">
        <v>0.47502284787824101</v>
      </c>
      <c r="E127" s="43">
        <f t="shared" si="10"/>
        <v>0.36077002523533941</v>
      </c>
      <c r="F127" s="71">
        <f t="shared" si="3"/>
        <v>36.077002523533942</v>
      </c>
      <c r="G127" s="84">
        <f t="shared" si="4"/>
        <v>369.0677358157522</v>
      </c>
      <c r="H127" s="43"/>
      <c r="I127" s="8"/>
      <c r="J127" s="8">
        <f t="shared" si="11"/>
        <v>23643.063603797968</v>
      </c>
      <c r="K127" s="8"/>
      <c r="L127" s="8"/>
      <c r="M127" s="8"/>
      <c r="N127" s="8"/>
      <c r="O127" s="8"/>
      <c r="P127" s="8"/>
      <c r="Q127" s="8"/>
      <c r="R127" s="8"/>
      <c r="S127" s="8"/>
      <c r="T127" s="8"/>
      <c r="U127" s="8"/>
      <c r="V127" s="8"/>
      <c r="W127" s="8"/>
      <c r="X127" s="8"/>
      <c r="Y127" s="8"/>
      <c r="Z127" s="8"/>
      <c r="AA127" s="8"/>
      <c r="AB127" s="8"/>
      <c r="AC127" s="8"/>
    </row>
    <row r="128" spans="1:29" ht="15">
      <c r="A128" s="58"/>
      <c r="B128" s="69">
        <v>96</v>
      </c>
      <c r="C128" s="43" t="s">
        <v>322</v>
      </c>
      <c r="D128" s="69">
        <v>0.50911688245431397</v>
      </c>
      <c r="E128" s="43">
        <f t="shared" si="10"/>
        <v>0.36689249379623967</v>
      </c>
      <c r="F128" s="71">
        <f t="shared" si="3"/>
        <v>36.689249379623966</v>
      </c>
      <c r="G128" s="84">
        <f t="shared" si="4"/>
        <v>375.33102115355319</v>
      </c>
      <c r="H128" s="43"/>
      <c r="I128" s="8"/>
      <c r="J128" s="8">
        <f t="shared" si="11"/>
        <v>24044.299580936568</v>
      </c>
      <c r="K128" s="8"/>
      <c r="L128" s="8"/>
      <c r="M128" s="8"/>
      <c r="N128" s="8"/>
      <c r="O128" s="8"/>
      <c r="P128" s="8"/>
      <c r="Q128" s="8"/>
      <c r="R128" s="8"/>
      <c r="S128" s="8"/>
      <c r="T128" s="8"/>
      <c r="U128" s="8"/>
      <c r="V128" s="8"/>
      <c r="W128" s="8"/>
      <c r="X128" s="8"/>
      <c r="Y128" s="8"/>
      <c r="Z128" s="8"/>
      <c r="AA128" s="8"/>
      <c r="AB128" s="8"/>
      <c r="AC128" s="8"/>
    </row>
    <row r="129" spans="1:29" ht="15">
      <c r="A129" s="58"/>
      <c r="B129" s="69">
        <v>97</v>
      </c>
      <c r="C129" s="43" t="s">
        <v>323</v>
      </c>
      <c r="D129" s="69">
        <v>0.545657963943743</v>
      </c>
      <c r="E129" s="43">
        <f t="shared" si="10"/>
        <v>0.37303763999600104</v>
      </c>
      <c r="F129" s="71">
        <f t="shared" si="3"/>
        <v>37.3037639996001</v>
      </c>
      <c r="G129" s="84">
        <f t="shared" si="4"/>
        <v>381.61750571590903</v>
      </c>
      <c r="H129" s="43"/>
      <c r="I129" s="8"/>
      <c r="J129" s="8">
        <f t="shared" si="11"/>
        <v>24447.021737137929</v>
      </c>
      <c r="K129" s="8"/>
      <c r="L129" s="8"/>
      <c r="M129" s="8"/>
      <c r="N129" s="8"/>
      <c r="O129" s="8"/>
      <c r="P129" s="8"/>
      <c r="Q129" s="8"/>
      <c r="R129" s="8"/>
      <c r="S129" s="8"/>
      <c r="T129" s="8"/>
      <c r="U129" s="8"/>
      <c r="V129" s="8"/>
      <c r="W129" s="8"/>
      <c r="X129" s="8"/>
      <c r="Y129" s="8"/>
      <c r="Z129" s="8"/>
      <c r="AA129" s="8"/>
      <c r="AB129" s="8"/>
      <c r="AC129" s="8"/>
    </row>
    <row r="130" spans="1:29" ht="15">
      <c r="A130" s="58"/>
      <c r="B130" s="69">
        <v>98</v>
      </c>
      <c r="C130" s="43" t="s">
        <v>324</v>
      </c>
      <c r="D130" s="69">
        <v>0.58482172537648902</v>
      </c>
      <c r="E130" s="43">
        <f t="shared" si="10"/>
        <v>0.37920409725896498</v>
      </c>
      <c r="F130" s="71">
        <f t="shared" si="3"/>
        <v>37.920409725896498</v>
      </c>
      <c r="G130" s="84">
        <f t="shared" si="4"/>
        <v>387.92579149592115</v>
      </c>
      <c r="H130" s="43"/>
      <c r="I130" s="8"/>
      <c r="J130" s="8">
        <f t="shared" si="11"/>
        <v>24851.14051386627</v>
      </c>
      <c r="K130" s="8"/>
      <c r="L130" s="8"/>
      <c r="M130" s="8"/>
      <c r="N130" s="8"/>
      <c r="O130" s="8"/>
      <c r="P130" s="8"/>
      <c r="Q130" s="8"/>
      <c r="R130" s="8"/>
      <c r="S130" s="8"/>
      <c r="T130" s="8"/>
      <c r="U130" s="8"/>
      <c r="V130" s="8"/>
      <c r="W130" s="8"/>
      <c r="X130" s="8"/>
      <c r="Y130" s="8"/>
      <c r="Z130" s="8"/>
      <c r="AA130" s="8"/>
      <c r="AB130" s="8"/>
      <c r="AC130" s="8"/>
    </row>
    <row r="131" spans="1:29" ht="15">
      <c r="A131" s="58"/>
      <c r="B131" s="69">
        <v>99</v>
      </c>
      <c r="C131" s="43" t="s">
        <v>325</v>
      </c>
      <c r="D131" s="69">
        <v>0.62679640557320904</v>
      </c>
      <c r="E131" s="43">
        <f t="shared" si="10"/>
        <v>0.38539057222362028</v>
      </c>
      <c r="F131" s="71">
        <f t="shared" si="3"/>
        <v>38.539057222362025</v>
      </c>
      <c r="G131" s="84">
        <f t="shared" si="4"/>
        <v>394.25455538476353</v>
      </c>
      <c r="H131" s="43"/>
      <c r="I131" s="8"/>
      <c r="J131" s="8">
        <f t="shared" si="11"/>
        <v>25256.571150674954</v>
      </c>
      <c r="K131" s="8"/>
      <c r="L131" s="8"/>
      <c r="M131" s="8"/>
      <c r="N131" s="8"/>
      <c r="O131" s="8"/>
      <c r="P131" s="8"/>
      <c r="Q131" s="8"/>
      <c r="R131" s="8"/>
      <c r="S131" s="8"/>
      <c r="T131" s="8"/>
      <c r="U131" s="8"/>
      <c r="V131" s="8"/>
      <c r="W131" s="8"/>
      <c r="X131" s="8"/>
      <c r="Y131" s="8"/>
      <c r="Z131" s="8"/>
      <c r="AA131" s="8"/>
      <c r="AB131" s="8"/>
      <c r="AC131" s="8"/>
    </row>
    <row r="132" spans="1:29" ht="15">
      <c r="A132" s="58"/>
      <c r="B132" s="69">
        <v>100</v>
      </c>
      <c r="C132" s="43" t="s">
        <v>326</v>
      </c>
      <c r="D132" s="69">
        <v>0.67178375390650102</v>
      </c>
      <c r="E132" s="43">
        <f t="shared" si="10"/>
        <v>0.3915958419639568</v>
      </c>
      <c r="F132" s="71">
        <f t="shared" si="3"/>
        <v>39.159584196395677</v>
      </c>
      <c r="G132" s="84">
        <f t="shared" si="4"/>
        <v>400.60254632912779</v>
      </c>
      <c r="H132" s="43"/>
      <c r="I132" s="8"/>
      <c r="J132" s="8">
        <f t="shared" si="11"/>
        <v>25663.233503107909</v>
      </c>
      <c r="K132" s="8"/>
      <c r="L132" s="8"/>
      <c r="M132" s="8"/>
      <c r="N132" s="8"/>
      <c r="O132" s="8"/>
      <c r="P132" s="8"/>
      <c r="Q132" s="8"/>
      <c r="R132" s="8"/>
      <c r="S132" s="8"/>
      <c r="T132" s="8"/>
      <c r="U132" s="8"/>
      <c r="V132" s="8"/>
      <c r="W132" s="8"/>
      <c r="X132" s="8"/>
      <c r="Y132" s="8"/>
      <c r="Z132" s="8"/>
      <c r="AA132" s="8"/>
      <c r="AB132" s="8"/>
      <c r="AC132" s="8"/>
    </row>
    <row r="133" spans="1:29" ht="15">
      <c r="A133" s="58"/>
      <c r="B133" s="69">
        <v>101</v>
      </c>
      <c r="C133" s="43" t="s">
        <v>327</v>
      </c>
      <c r="D133" s="69">
        <v>0.72</v>
      </c>
      <c r="E133" s="43">
        <f t="shared" si="10"/>
        <v>0.39781875116437204</v>
      </c>
      <c r="F133" s="71">
        <f t="shared" si="3"/>
        <v>39.781875116437206</v>
      </c>
      <c r="G133" s="84">
        <f t="shared" si="4"/>
        <v>406.96858244115259</v>
      </c>
      <c r="H133" s="43"/>
      <c r="I133" s="8"/>
      <c r="J133" s="8">
        <f t="shared" si="11"/>
        <v>26071.051857557122</v>
      </c>
      <c r="K133" s="8"/>
      <c r="L133" s="8"/>
      <c r="M133" s="8"/>
      <c r="N133" s="8"/>
      <c r="O133" s="8"/>
      <c r="P133" s="8"/>
      <c r="Q133" s="8"/>
      <c r="R133" s="8"/>
      <c r="S133" s="8"/>
      <c r="T133" s="8"/>
      <c r="U133" s="8"/>
      <c r="V133" s="8"/>
      <c r="W133" s="8"/>
      <c r="X133" s="8"/>
      <c r="Y133" s="8"/>
      <c r="Z133" s="8"/>
      <c r="AA133" s="8"/>
      <c r="AB133" s="8"/>
      <c r="AC133" s="8"/>
    </row>
    <row r="134" spans="1:29" ht="15">
      <c r="A134" s="58"/>
      <c r="B134" s="69">
        <v>102</v>
      </c>
      <c r="C134" s="43" t="s">
        <v>328</v>
      </c>
      <c r="D134" s="69">
        <v>0.77167689302613096</v>
      </c>
      <c r="E134" s="43">
        <f t="shared" si="10"/>
        <v>0.40405820927416569</v>
      </c>
      <c r="F134" s="71">
        <f t="shared" si="3"/>
        <v>40.40582092741657</v>
      </c>
      <c r="G134" s="84">
        <f t="shared" si="4"/>
        <v>413.35154808747149</v>
      </c>
      <c r="H134" s="43"/>
      <c r="I134" s="8"/>
      <c r="J134" s="8">
        <f t="shared" si="11"/>
        <v>26479.954744782448</v>
      </c>
      <c r="K134" s="8"/>
      <c r="L134" s="8"/>
      <c r="M134" s="8"/>
      <c r="N134" s="8"/>
      <c r="O134" s="8"/>
      <c r="P134" s="8"/>
      <c r="Q134" s="8"/>
      <c r="R134" s="8"/>
      <c r="S134" s="8"/>
      <c r="T134" s="8"/>
      <c r="U134" s="8"/>
      <c r="V134" s="8"/>
      <c r="W134" s="8"/>
      <c r="X134" s="8"/>
      <c r="Y134" s="8"/>
      <c r="Z134" s="8"/>
      <c r="AA134" s="8"/>
      <c r="AB134" s="8"/>
      <c r="AC134" s="8"/>
    </row>
    <row r="135" spans="1:29" ht="15">
      <c r="A135" s="58"/>
      <c r="B135" s="69">
        <v>103</v>
      </c>
      <c r="C135" s="43" t="s">
        <v>329</v>
      </c>
      <c r="D135" s="69">
        <v>0.82706281559786499</v>
      </c>
      <c r="E135" s="43">
        <f t="shared" si="10"/>
        <v>0.41031318766411051</v>
      </c>
      <c r="F135" s="71">
        <f t="shared" si="3"/>
        <v>41.031318766411054</v>
      </c>
      <c r="G135" s="84">
        <f t="shared" si="4"/>
        <v>419.75039098038508</v>
      </c>
      <c r="H135" s="43"/>
      <c r="I135" s="8"/>
      <c r="J135" s="8">
        <f t="shared" si="11"/>
        <v>26889.874753567481</v>
      </c>
      <c r="K135" s="8"/>
      <c r="L135" s="8"/>
      <c r="M135" s="8"/>
      <c r="N135" s="8"/>
      <c r="O135" s="8"/>
      <c r="P135" s="8"/>
      <c r="Q135" s="8"/>
      <c r="R135" s="8"/>
      <c r="S135" s="8"/>
      <c r="T135" s="8"/>
      <c r="U135" s="8"/>
      <c r="V135" s="8"/>
      <c r="W135" s="8"/>
      <c r="X135" s="8"/>
      <c r="Y135" s="8"/>
      <c r="Z135" s="8"/>
      <c r="AA135" s="8"/>
      <c r="AB135" s="8"/>
      <c r="AC135" s="8"/>
    </row>
    <row r="136" spans="1:29" ht="15">
      <c r="A136" s="58"/>
      <c r="B136" s="69">
        <v>104</v>
      </c>
      <c r="C136" s="43" t="s">
        <v>330</v>
      </c>
      <c r="D136" s="69">
        <v>0.88642397760833902</v>
      </c>
      <c r="E136" s="43">
        <f t="shared" si="10"/>
        <v>0.41658271680434311</v>
      </c>
      <c r="F136" s="71">
        <f t="shared" si="3"/>
        <v>41.658271680434311</v>
      </c>
      <c r="G136" s="84">
        <f t="shared" si="4"/>
        <v>426.16411929084302</v>
      </c>
      <c r="H136" s="43"/>
      <c r="I136" s="8"/>
      <c r="J136" s="8">
        <f t="shared" si="11"/>
        <v>27300.748345772627</v>
      </c>
      <c r="K136" s="8"/>
      <c r="L136" s="8"/>
      <c r="M136" s="8"/>
      <c r="N136" s="8"/>
      <c r="O136" s="8"/>
      <c r="P136" s="8"/>
      <c r="Q136" s="8"/>
      <c r="R136" s="8"/>
      <c r="S136" s="8"/>
      <c r="T136" s="8"/>
      <c r="U136" s="8"/>
      <c r="V136" s="8"/>
      <c r="W136" s="8"/>
      <c r="X136" s="8"/>
      <c r="Y136" s="8"/>
      <c r="Z136" s="8"/>
      <c r="AA136" s="8"/>
      <c r="AB136" s="8"/>
      <c r="AC136" s="8"/>
    </row>
    <row r="137" spans="1:29" ht="15">
      <c r="A137" s="58"/>
      <c r="B137" s="69">
        <v>105</v>
      </c>
      <c r="C137" s="43" t="s">
        <v>331</v>
      </c>
      <c r="D137" s="69">
        <v>0.95004569575648301</v>
      </c>
      <c r="E137" s="43">
        <f t="shared" si="10"/>
        <v>0.42286588347984866</v>
      </c>
      <c r="F137" s="71">
        <f t="shared" si="3"/>
        <v>42.286588347984868</v>
      </c>
      <c r="G137" s="84">
        <f t="shared" si="4"/>
        <v>432.59179879988517</v>
      </c>
      <c r="H137" s="43"/>
      <c r="I137" s="8"/>
      <c r="J137" s="8">
        <f t="shared" si="11"/>
        <v>27712.515673851882</v>
      </c>
      <c r="K137" s="8"/>
      <c r="L137" s="8"/>
      <c r="M137" s="8"/>
      <c r="N137" s="8"/>
      <c r="O137" s="8"/>
      <c r="P137" s="8"/>
      <c r="Q137" s="8"/>
      <c r="R137" s="8"/>
      <c r="S137" s="8"/>
      <c r="T137" s="8"/>
      <c r="U137" s="8"/>
      <c r="V137" s="8"/>
      <c r="W137" s="8"/>
      <c r="X137" s="8"/>
      <c r="Y137" s="8"/>
      <c r="Z137" s="8"/>
      <c r="AA137" s="8"/>
      <c r="AB137" s="8"/>
      <c r="AC137" s="8"/>
    </row>
    <row r="138" spans="1:29" ht="15">
      <c r="A138" s="58"/>
      <c r="B138" s="69">
        <v>106</v>
      </c>
      <c r="C138" s="43" t="s">
        <v>332</v>
      </c>
      <c r="D138" s="69">
        <v>1.0182337649086199</v>
      </c>
      <c r="E138" s="43">
        <f t="shared" si="10"/>
        <v>0.42916182805713821</v>
      </c>
      <c r="F138" s="71">
        <f t="shared" si="3"/>
        <v>42.916182805713824</v>
      </c>
      <c r="G138" s="84">
        <f t="shared" si="4"/>
        <v>439.03255010245238</v>
      </c>
      <c r="H138" s="43"/>
      <c r="I138" s="8"/>
      <c r="J138" s="8">
        <f t="shared" si="11"/>
        <v>28125.120401724551</v>
      </c>
      <c r="K138" s="8"/>
      <c r="L138" s="8"/>
      <c r="M138" s="8"/>
      <c r="N138" s="8"/>
      <c r="O138" s="8"/>
      <c r="P138" s="8"/>
      <c r="Q138" s="8"/>
      <c r="R138" s="8"/>
      <c r="S138" s="8"/>
      <c r="T138" s="8"/>
      <c r="U138" s="8"/>
      <c r="V138" s="8"/>
      <c r="W138" s="8"/>
      <c r="X138" s="8"/>
      <c r="Y138" s="8"/>
      <c r="Z138" s="8"/>
      <c r="AA138" s="8"/>
      <c r="AB138" s="8"/>
      <c r="AC138" s="8"/>
    </row>
    <row r="139" spans="1:29" ht="15">
      <c r="A139" s="58"/>
      <c r="B139" s="69">
        <v>107</v>
      </c>
      <c r="C139" s="43" t="s">
        <v>333</v>
      </c>
      <c r="D139" s="69">
        <v>1.09131592788748</v>
      </c>
      <c r="E139" s="43">
        <f t="shared" si="10"/>
        <v>0.43546974181331177</v>
      </c>
      <c r="F139" s="71">
        <f t="shared" si="3"/>
        <v>43.54697418133118</v>
      </c>
      <c r="G139" s="84">
        <f t="shared" si="4"/>
        <v>445.48554587501792</v>
      </c>
      <c r="H139" s="43"/>
      <c r="I139" s="8"/>
      <c r="J139" s="8">
        <f t="shared" si="11"/>
        <v>28538.509529735387</v>
      </c>
      <c r="K139" s="8"/>
      <c r="L139" s="8"/>
      <c r="M139" s="8"/>
      <c r="N139" s="8"/>
      <c r="O139" s="8"/>
      <c r="P139" s="8"/>
      <c r="Q139" s="8"/>
      <c r="R139" s="8"/>
      <c r="S139" s="8"/>
      <c r="T139" s="8"/>
      <c r="U139" s="8"/>
      <c r="V139" s="8"/>
      <c r="W139" s="8"/>
      <c r="X139" s="8"/>
      <c r="Y139" s="8"/>
      <c r="Z139" s="8"/>
      <c r="AA139" s="8"/>
      <c r="AB139" s="8"/>
      <c r="AC139" s="8"/>
    </row>
    <row r="140" spans="1:29" ht="15">
      <c r="A140" s="58"/>
      <c r="B140" s="69">
        <v>108</v>
      </c>
      <c r="C140" s="43" t="s">
        <v>334</v>
      </c>
      <c r="D140" s="69">
        <v>1.16964345075297</v>
      </c>
      <c r="E140" s="43">
        <f t="shared" si="10"/>
        <v>0.44178886433653508</v>
      </c>
      <c r="F140" s="71">
        <f t="shared" si="3"/>
        <v>44.17888643365351</v>
      </c>
      <c r="G140" s="84">
        <f t="shared" si="4"/>
        <v>451.95000821627536</v>
      </c>
      <c r="H140" s="43"/>
      <c r="I140" s="8"/>
      <c r="J140" s="8">
        <f t="shared" si="11"/>
        <v>28952.633224294827</v>
      </c>
      <c r="K140" s="8"/>
      <c r="L140" s="8"/>
      <c r="M140" s="8"/>
      <c r="N140" s="8"/>
      <c r="O140" s="8"/>
      <c r="P140" s="8"/>
      <c r="Q140" s="8"/>
      <c r="R140" s="8"/>
      <c r="S140" s="8"/>
      <c r="T140" s="8"/>
      <c r="U140" s="8"/>
      <c r="V140" s="8"/>
      <c r="W140" s="8"/>
      <c r="X140" s="8"/>
      <c r="Y140" s="8"/>
      <c r="Z140" s="8"/>
      <c r="AA140" s="8"/>
      <c r="AB140" s="8"/>
      <c r="AC140" s="8"/>
    </row>
    <row r="141" spans="1:29" ht="15">
      <c r="A141" s="58"/>
      <c r="B141" s="69">
        <v>109</v>
      </c>
      <c r="C141" s="43" t="s">
        <v>335</v>
      </c>
      <c r="D141" s="69">
        <v>1.2535928111464101</v>
      </c>
      <c r="E141" s="43">
        <f t="shared" si="10"/>
        <v>0.448118481005085</v>
      </c>
      <c r="F141" s="71">
        <f t="shared" si="3"/>
        <v>44.811848100508499</v>
      </c>
      <c r="G141" s="84">
        <f t="shared" si="4"/>
        <v>458.42520606820193</v>
      </c>
      <c r="H141" s="43"/>
      <c r="I141" s="8"/>
      <c r="J141" s="8">
        <f t="shared" si="11"/>
        <v>29367.444652668244</v>
      </c>
      <c r="K141" s="8"/>
      <c r="L141" s="8"/>
      <c r="M141" s="8"/>
      <c r="N141" s="8"/>
      <c r="O141" s="8"/>
      <c r="P141" s="8"/>
      <c r="Q141" s="8"/>
      <c r="R141" s="8"/>
      <c r="S141" s="8"/>
      <c r="T141" s="8"/>
      <c r="U141" s="8"/>
      <c r="V141" s="8"/>
      <c r="W141" s="8"/>
      <c r="X141" s="8"/>
      <c r="Y141" s="8"/>
      <c r="Z141" s="8"/>
      <c r="AA141" s="8"/>
      <c r="AB141" s="8"/>
      <c r="AC141" s="8"/>
    </row>
    <row r="142" spans="1:29" ht="15">
      <c r="A142" s="58"/>
      <c r="B142" s="69">
        <v>110</v>
      </c>
      <c r="C142" s="43" t="s">
        <v>336</v>
      </c>
      <c r="D142" s="69">
        <v>1.3435675078130001</v>
      </c>
      <c r="E142" s="43">
        <f t="shared" si="10"/>
        <v>0.45445792055040335</v>
      </c>
      <c r="F142" s="71">
        <f t="shared" si="3"/>
        <v>45.445792055040336</v>
      </c>
      <c r="G142" s="84">
        <f t="shared" si="4"/>
        <v>464.91045272306263</v>
      </c>
      <c r="H142" s="43"/>
      <c r="I142" s="8"/>
      <c r="J142" s="8">
        <f t="shared" si="11"/>
        <v>29782.899823270684</v>
      </c>
      <c r="K142" s="8"/>
      <c r="L142" s="8"/>
      <c r="M142" s="8"/>
      <c r="N142" s="8"/>
      <c r="O142" s="8"/>
      <c r="P142" s="8"/>
      <c r="Q142" s="8"/>
      <c r="R142" s="8"/>
      <c r="S142" s="8"/>
      <c r="T142" s="8"/>
      <c r="U142" s="8"/>
      <c r="V142" s="8"/>
      <c r="W142" s="8"/>
      <c r="X142" s="8"/>
      <c r="Y142" s="8"/>
      <c r="Z142" s="8"/>
      <c r="AA142" s="8"/>
      <c r="AB142" s="8"/>
      <c r="AC142" s="8"/>
    </row>
    <row r="143" spans="1:29" ht="15">
      <c r="A143" s="58"/>
      <c r="B143" s="69">
        <v>111</v>
      </c>
      <c r="C143" s="43" t="s">
        <v>337</v>
      </c>
      <c r="D143" s="69">
        <v>1.44</v>
      </c>
      <c r="E143" s="43">
        <f t="shared" ref="E143:E206" si="12">(LOG(((2^18-16)/117.45)*D143+64,2)-6)/14*(928/1023)+(95/1023)</f>
        <v>0.46080655270816151</v>
      </c>
      <c r="F143" s="71">
        <f t="shared" si="3"/>
        <v>46.080655270816152</v>
      </c>
      <c r="G143" s="84">
        <f t="shared" si="4"/>
        <v>471.40510342044922</v>
      </c>
      <c r="H143" s="43"/>
      <c r="I143" s="8"/>
      <c r="J143" s="8">
        <f t="shared" si="11"/>
        <v>30198.957431729366</v>
      </c>
      <c r="K143" s="8"/>
      <c r="L143" s="8"/>
      <c r="M143" s="8"/>
      <c r="N143" s="8"/>
      <c r="O143" s="8"/>
      <c r="P143" s="8"/>
      <c r="Q143" s="8"/>
      <c r="R143" s="8"/>
      <c r="S143" s="8"/>
      <c r="T143" s="8"/>
      <c r="U143" s="8"/>
      <c r="V143" s="8"/>
      <c r="W143" s="8"/>
      <c r="X143" s="8"/>
      <c r="Y143" s="8"/>
      <c r="Z143" s="8"/>
      <c r="AA143" s="8"/>
      <c r="AB143" s="8"/>
      <c r="AC143" s="8"/>
    </row>
    <row r="144" spans="1:29" ht="15">
      <c r="A144" s="58"/>
      <c r="B144" s="69">
        <v>112</v>
      </c>
      <c r="C144" s="43" t="s">
        <v>338</v>
      </c>
      <c r="D144" s="69">
        <v>1.5433537860522599</v>
      </c>
      <c r="E144" s="43">
        <f t="shared" si="12"/>
        <v>0.46716378596005026</v>
      </c>
      <c r="F144" s="71">
        <f t="shared" si="3"/>
        <v>46.716378596005029</v>
      </c>
      <c r="G144" s="84">
        <f t="shared" si="4"/>
        <v>477.90855303713141</v>
      </c>
      <c r="H144" s="43"/>
      <c r="I144" s="8"/>
      <c r="J144" s="8">
        <f t="shared" si="11"/>
        <v>30615.578712891893</v>
      </c>
      <c r="K144" s="8"/>
      <c r="L144" s="8"/>
      <c r="M144" s="8"/>
      <c r="N144" s="8"/>
      <c r="O144" s="8"/>
      <c r="P144" s="8"/>
      <c r="Q144" s="8"/>
      <c r="R144" s="8"/>
      <c r="S144" s="8"/>
      <c r="T144" s="8"/>
      <c r="U144" s="8"/>
      <c r="V144" s="8"/>
      <c r="W144" s="8"/>
      <c r="X144" s="8"/>
      <c r="Y144" s="8"/>
      <c r="Z144" s="8"/>
      <c r="AA144" s="8"/>
      <c r="AB144" s="8"/>
      <c r="AC144" s="8"/>
    </row>
    <row r="145" spans="1:29" ht="15">
      <c r="A145" s="58"/>
      <c r="B145" s="69">
        <v>113</v>
      </c>
      <c r="C145" s="43" t="s">
        <v>339</v>
      </c>
      <c r="D145" s="69">
        <v>1.65412563119573</v>
      </c>
      <c r="E145" s="43">
        <f t="shared" si="12"/>
        <v>0.47352906536790718</v>
      </c>
      <c r="F145" s="71">
        <f t="shared" si="3"/>
        <v>47.352906536790719</v>
      </c>
      <c r="G145" s="84">
        <f t="shared" si="4"/>
        <v>484.42023387136902</v>
      </c>
      <c r="H145" s="43"/>
      <c r="I145" s="8"/>
      <c r="J145" s="8">
        <f t="shared" si="11"/>
        <v>31032.727298885799</v>
      </c>
      <c r="K145" s="8"/>
      <c r="L145" s="8"/>
      <c r="M145" s="8"/>
      <c r="N145" s="8"/>
      <c r="O145" s="8"/>
      <c r="P145" s="8"/>
      <c r="Q145" s="8"/>
      <c r="R145" s="8"/>
      <c r="S145" s="8"/>
      <c r="T145" s="8"/>
      <c r="U145" s="8"/>
      <c r="V145" s="8"/>
      <c r="W145" s="8"/>
      <c r="X145" s="8"/>
      <c r="Y145" s="8"/>
      <c r="Z145" s="8"/>
      <c r="AA145" s="8"/>
      <c r="AB145" s="8"/>
      <c r="AC145" s="8"/>
    </row>
    <row r="146" spans="1:29" ht="15">
      <c r="A146" s="58"/>
      <c r="B146" s="69">
        <v>114</v>
      </c>
      <c r="C146" s="43" t="s">
        <v>340</v>
      </c>
      <c r="D146" s="69">
        <v>1.77284795521667</v>
      </c>
      <c r="E146" s="43">
        <f t="shared" si="12"/>
        <v>0.47990187050086097</v>
      </c>
      <c r="F146" s="71">
        <f t="shared" si="3"/>
        <v>47.990187050086099</v>
      </c>
      <c r="G146" s="84">
        <f t="shared" si="4"/>
        <v>490.9396135223808</v>
      </c>
      <c r="H146" s="43"/>
      <c r="I146" s="8"/>
      <c r="J146" s="8">
        <f t="shared" si="11"/>
        <v>31450.369083273923</v>
      </c>
      <c r="K146" s="8"/>
      <c r="L146" s="8"/>
      <c r="M146" s="8"/>
      <c r="N146" s="8"/>
      <c r="O146" s="8"/>
      <c r="P146" s="8"/>
      <c r="Q146" s="8"/>
      <c r="R146" s="8"/>
      <c r="S146" s="8"/>
      <c r="T146" s="8"/>
      <c r="U146" s="8"/>
      <c r="V146" s="8"/>
      <c r="W146" s="8"/>
      <c r="X146" s="8"/>
      <c r="Y146" s="8"/>
      <c r="Z146" s="8"/>
      <c r="AA146" s="8"/>
      <c r="AB146" s="8"/>
      <c r="AC146" s="8"/>
    </row>
    <row r="147" spans="1:29" ht="15">
      <c r="A147" s="58"/>
      <c r="B147" s="69">
        <v>115</v>
      </c>
      <c r="C147" s="43" t="s">
        <v>341</v>
      </c>
      <c r="D147" s="69">
        <v>1.90009139151296</v>
      </c>
      <c r="E147" s="43">
        <f t="shared" si="12"/>
        <v>0.48628171345537408</v>
      </c>
      <c r="F147" s="71">
        <f t="shared" si="3"/>
        <v>48.62817134553741</v>
      </c>
      <c r="G147" s="84">
        <f t="shared" si="4"/>
        <v>497.4661928648477</v>
      </c>
      <c r="H147" s="43"/>
      <c r="I147" s="8"/>
      <c r="J147" s="8">
        <f t="shared" si="11"/>
        <v>31868.472091297939</v>
      </c>
      <c r="K147" s="8"/>
      <c r="L147" s="8"/>
      <c r="M147" s="8"/>
      <c r="N147" s="8"/>
      <c r="O147" s="8"/>
      <c r="P147" s="8"/>
      <c r="Q147" s="8"/>
      <c r="R147" s="8"/>
      <c r="S147" s="8"/>
      <c r="T147" s="8"/>
      <c r="U147" s="8"/>
      <c r="V147" s="8"/>
      <c r="W147" s="8"/>
      <c r="X147" s="8"/>
      <c r="Y147" s="8"/>
      <c r="Z147" s="8"/>
      <c r="AA147" s="8"/>
      <c r="AB147" s="8"/>
      <c r="AC147" s="8"/>
    </row>
    <row r="148" spans="1:29" ht="15">
      <c r="A148" s="58"/>
      <c r="B148" s="69">
        <v>116</v>
      </c>
      <c r="C148" s="43" t="s">
        <v>342</v>
      </c>
      <c r="D148" s="69">
        <v>2.0364675298172501</v>
      </c>
      <c r="E148" s="43">
        <f t="shared" si="12"/>
        <v>0.49266813696737943</v>
      </c>
      <c r="F148" s="71">
        <f t="shared" si="3"/>
        <v>49.266813696737941</v>
      </c>
      <c r="G148" s="84">
        <f t="shared" si="4"/>
        <v>503.99950411762916</v>
      </c>
      <c r="H148" s="43"/>
      <c r="I148" s="8"/>
      <c r="J148" s="8">
        <f t="shared" si="11"/>
        <v>32287.00635615721</v>
      </c>
      <c r="K148" s="8"/>
      <c r="L148" s="8"/>
      <c r="M148" s="8"/>
      <c r="N148" s="8"/>
      <c r="O148" s="8"/>
      <c r="P148" s="8"/>
      <c r="Q148" s="8"/>
      <c r="R148" s="8"/>
      <c r="S148" s="8"/>
      <c r="T148" s="8"/>
      <c r="U148" s="8"/>
      <c r="V148" s="8"/>
      <c r="W148" s="8"/>
      <c r="X148" s="8"/>
      <c r="Y148" s="8"/>
      <c r="Z148" s="8"/>
      <c r="AA148" s="8"/>
      <c r="AB148" s="8"/>
      <c r="AC148" s="8"/>
    </row>
    <row r="149" spans="1:29" ht="15">
      <c r="A149" s="58"/>
      <c r="B149" s="69">
        <v>117</v>
      </c>
      <c r="C149" s="43" t="s">
        <v>343</v>
      </c>
      <c r="D149" s="69">
        <v>2.1826318557749702</v>
      </c>
      <c r="E149" s="43">
        <f t="shared" si="12"/>
        <v>0.49906071261517548</v>
      </c>
      <c r="F149" s="71">
        <f t="shared" si="3"/>
        <v>49.906071261517546</v>
      </c>
      <c r="G149" s="84">
        <f t="shared" si="4"/>
        <v>510.53910900532452</v>
      </c>
      <c r="H149" s="43"/>
      <c r="I149" s="8"/>
      <c r="J149" s="8">
        <f t="shared" si="11"/>
        <v>32705.943801235524</v>
      </c>
      <c r="K149" s="8"/>
      <c r="L149" s="8"/>
      <c r="M149" s="8"/>
      <c r="N149" s="8"/>
      <c r="O149" s="8"/>
      <c r="P149" s="8"/>
      <c r="Q149" s="8"/>
      <c r="R149" s="8"/>
      <c r="S149" s="8"/>
      <c r="T149" s="8"/>
      <c r="U149" s="8"/>
      <c r="V149" s="8"/>
      <c r="W149" s="8"/>
      <c r="X149" s="8"/>
      <c r="Y149" s="8"/>
      <c r="Z149" s="8"/>
      <c r="AA149" s="8"/>
      <c r="AB149" s="8"/>
      <c r="AC149" s="8"/>
    </row>
    <row r="150" spans="1:29" ht="15">
      <c r="A150" s="58"/>
      <c r="B150" s="69">
        <v>118</v>
      </c>
      <c r="C150" s="43" t="s">
        <v>344</v>
      </c>
      <c r="D150" s="69">
        <v>2.3392869015059499</v>
      </c>
      <c r="E150" s="43">
        <f t="shared" si="12"/>
        <v>0.50545903911125967</v>
      </c>
      <c r="F150" s="71">
        <f t="shared" si="3"/>
        <v>50.545903911125968</v>
      </c>
      <c r="G150" s="84">
        <f t="shared" si="4"/>
        <v>517.08459701081858</v>
      </c>
      <c r="H150" s="43"/>
      <c r="I150" s="8"/>
      <c r="J150" s="8">
        <f t="shared" si="11"/>
        <v>33125.258128156405</v>
      </c>
      <c r="K150" s="8"/>
      <c r="L150" s="8"/>
      <c r="M150" s="8"/>
      <c r="N150" s="8"/>
      <c r="O150" s="8"/>
      <c r="P150" s="8"/>
      <c r="Q150" s="8"/>
      <c r="R150" s="8"/>
      <c r="S150" s="8"/>
      <c r="T150" s="8"/>
      <c r="U150" s="8"/>
      <c r="V150" s="8"/>
      <c r="W150" s="8"/>
      <c r="X150" s="8"/>
      <c r="Y150" s="8"/>
      <c r="Z150" s="8"/>
      <c r="AA150" s="8"/>
      <c r="AB150" s="8"/>
      <c r="AC150" s="8"/>
    </row>
    <row r="151" spans="1:29" ht="15">
      <c r="A151" s="58"/>
      <c r="B151" s="69">
        <v>119</v>
      </c>
      <c r="C151" s="43" t="s">
        <v>345</v>
      </c>
      <c r="D151" s="69">
        <v>2.5071856222928299</v>
      </c>
      <c r="E151" s="43">
        <f t="shared" si="12"/>
        <v>0.51186274068093152</v>
      </c>
      <c r="F151" s="71">
        <f t="shared" si="3"/>
        <v>51.186274068093155</v>
      </c>
      <c r="G151" s="84">
        <f t="shared" si="4"/>
        <v>523.63558371659292</v>
      </c>
      <c r="H151" s="43"/>
      <c r="I151" s="8"/>
      <c r="J151" s="8">
        <f t="shared" si="11"/>
        <v>33544.924710524851</v>
      </c>
      <c r="K151" s="8"/>
      <c r="L151" s="8"/>
      <c r="M151" s="8"/>
      <c r="N151" s="8"/>
      <c r="O151" s="8"/>
      <c r="P151" s="8"/>
      <c r="Q151" s="8"/>
      <c r="R151" s="8"/>
      <c r="S151" s="8"/>
      <c r="T151" s="8"/>
      <c r="U151" s="8"/>
      <c r="V151" s="8"/>
      <c r="W151" s="8"/>
      <c r="X151" s="8"/>
      <c r="Y151" s="8"/>
      <c r="Z151" s="8"/>
      <c r="AA151" s="8"/>
      <c r="AB151" s="8"/>
      <c r="AC151" s="8"/>
    </row>
    <row r="152" spans="1:29" ht="15">
      <c r="A152" s="58"/>
      <c r="B152" s="69">
        <v>120</v>
      </c>
      <c r="C152" s="43" t="s">
        <v>346</v>
      </c>
      <c r="D152" s="69">
        <v>2.6871350156260001</v>
      </c>
      <c r="E152" s="43">
        <f t="shared" si="12"/>
        <v>0.51827146552519032</v>
      </c>
      <c r="F152" s="71">
        <f t="shared" si="3"/>
        <v>51.827146552519032</v>
      </c>
      <c r="G152" s="84">
        <f t="shared" si="4"/>
        <v>530.19170923226966</v>
      </c>
      <c r="H152" s="43"/>
      <c r="I152" s="8"/>
      <c r="J152" s="8">
        <f t="shared" si="11"/>
        <v>33964.920493193349</v>
      </c>
      <c r="K152" s="8"/>
      <c r="L152" s="8"/>
      <c r="M152" s="8"/>
      <c r="N152" s="8"/>
      <c r="O152" s="8"/>
      <c r="P152" s="8"/>
      <c r="Q152" s="8"/>
      <c r="R152" s="8"/>
      <c r="S152" s="8"/>
      <c r="T152" s="8"/>
      <c r="U152" s="8"/>
      <c r="V152" s="8"/>
      <c r="W152" s="8"/>
      <c r="X152" s="8"/>
      <c r="Y152" s="8"/>
      <c r="Z152" s="8"/>
      <c r="AA152" s="8"/>
      <c r="AB152" s="8"/>
      <c r="AC152" s="8"/>
    </row>
    <row r="153" spans="1:29" ht="15">
      <c r="A153" s="58"/>
      <c r="B153" s="69">
        <v>121</v>
      </c>
      <c r="C153" s="43" t="s">
        <v>347</v>
      </c>
      <c r="D153" s="69">
        <v>2.88</v>
      </c>
      <c r="E153" s="43">
        <f t="shared" si="12"/>
        <v>0.52468488436523963</v>
      </c>
      <c r="F153" s="71">
        <f t="shared" si="3"/>
        <v>52.468488436523963</v>
      </c>
      <c r="G153" s="84">
        <f t="shared" si="4"/>
        <v>536.75263670564016</v>
      </c>
      <c r="H153" s="43"/>
      <c r="I153" s="8"/>
      <c r="J153" s="8">
        <f t="shared" si="11"/>
        <v>34385.223896875978</v>
      </c>
      <c r="K153" s="8"/>
      <c r="L153" s="8"/>
      <c r="M153" s="8"/>
      <c r="N153" s="8"/>
      <c r="O153" s="8"/>
      <c r="P153" s="8"/>
      <c r="Q153" s="8"/>
      <c r="R153" s="8"/>
      <c r="S153" s="8"/>
      <c r="T153" s="8"/>
      <c r="U153" s="8"/>
      <c r="V153" s="8"/>
      <c r="W153" s="8"/>
      <c r="X153" s="8"/>
      <c r="Y153" s="8"/>
      <c r="Z153" s="8"/>
      <c r="AA153" s="8"/>
      <c r="AB153" s="8"/>
      <c r="AC153" s="8"/>
    </row>
    <row r="154" spans="1:29" ht="15">
      <c r="A154" s="58"/>
      <c r="B154" s="69">
        <v>122</v>
      </c>
      <c r="C154" s="43" t="s">
        <v>348</v>
      </c>
      <c r="D154" s="69">
        <v>3.0867075721045198</v>
      </c>
      <c r="E154" s="43">
        <f t="shared" si="12"/>
        <v>0.53110268906573377</v>
      </c>
      <c r="F154" s="71">
        <f t="shared" si="3"/>
        <v>53.110268906573374</v>
      </c>
      <c r="G154" s="84">
        <f t="shared" si="4"/>
        <v>543.31805091424565</v>
      </c>
      <c r="H154" s="43"/>
      <c r="I154" s="8"/>
      <c r="J154" s="8">
        <f t="shared" si="11"/>
        <v>34805.814727922865</v>
      </c>
      <c r="K154" s="8"/>
      <c r="L154" s="8"/>
      <c r="M154" s="8"/>
      <c r="N154" s="8"/>
      <c r="O154" s="8"/>
      <c r="P154" s="8"/>
      <c r="Q154" s="8"/>
      <c r="R154" s="8"/>
      <c r="S154" s="8"/>
      <c r="T154" s="8"/>
      <c r="U154" s="8"/>
      <c r="V154" s="8"/>
      <c r="W154" s="8"/>
      <c r="X154" s="8"/>
      <c r="Y154" s="8"/>
      <c r="Z154" s="8"/>
      <c r="AA154" s="8"/>
      <c r="AB154" s="8"/>
      <c r="AC154" s="8"/>
    </row>
    <row r="155" spans="1:29" ht="15">
      <c r="A155" s="58"/>
      <c r="B155" s="69">
        <v>123</v>
      </c>
      <c r="C155" s="43" t="s">
        <v>349</v>
      </c>
      <c r="D155" s="69">
        <v>3.3082512623914599</v>
      </c>
      <c r="E155" s="43">
        <f t="shared" si="12"/>
        <v>0.53752459133379193</v>
      </c>
      <c r="F155" s="71">
        <f t="shared" si="3"/>
        <v>53.75245913337919</v>
      </c>
      <c r="G155" s="84">
        <f t="shared" si="4"/>
        <v>549.88765693446919</v>
      </c>
      <c r="H155" s="43"/>
      <c r="I155" s="8"/>
      <c r="J155" s="8">
        <f t="shared" si="11"/>
        <v>35226.674093060057</v>
      </c>
      <c r="K155" s="8"/>
      <c r="L155" s="8"/>
      <c r="M155" s="8"/>
      <c r="N155" s="8"/>
      <c r="O155" s="8"/>
      <c r="P155" s="8"/>
      <c r="Q155" s="8"/>
      <c r="R155" s="8"/>
      <c r="S155" s="8"/>
      <c r="T155" s="8"/>
      <c r="U155" s="8"/>
      <c r="V155" s="8"/>
      <c r="W155" s="8"/>
      <c r="X155" s="8"/>
      <c r="Y155" s="8"/>
      <c r="Z155" s="8"/>
      <c r="AA155" s="8"/>
      <c r="AB155" s="8"/>
      <c r="AC155" s="8"/>
    </row>
    <row r="156" spans="1:29" ht="15">
      <c r="A156" s="58"/>
      <c r="B156" s="69">
        <v>124</v>
      </c>
      <c r="C156" s="43" t="s">
        <v>350</v>
      </c>
      <c r="D156" s="69">
        <v>3.5456959104333499</v>
      </c>
      <c r="E156" s="43">
        <f t="shared" si="12"/>
        <v>0.54395032149072198</v>
      </c>
      <c r="F156" s="71">
        <f t="shared" si="3"/>
        <v>54.3950321490722</v>
      </c>
      <c r="G156" s="84">
        <f t="shared" si="4"/>
        <v>556.46117888500862</v>
      </c>
      <c r="H156" s="43"/>
      <c r="I156" s="8"/>
      <c r="J156" s="8">
        <f t="shared" si="11"/>
        <v>35647.784318894468</v>
      </c>
      <c r="K156" s="8"/>
      <c r="L156" s="8"/>
      <c r="M156" s="8"/>
      <c r="N156" s="8"/>
      <c r="O156" s="8"/>
      <c r="P156" s="8"/>
      <c r="Q156" s="8"/>
      <c r="R156" s="8"/>
      <c r="S156" s="8"/>
      <c r="T156" s="8"/>
      <c r="U156" s="8"/>
      <c r="V156" s="8"/>
      <c r="W156" s="8"/>
      <c r="X156" s="8"/>
      <c r="Y156" s="8"/>
      <c r="Z156" s="8"/>
      <c r="AA156" s="8"/>
      <c r="AB156" s="8"/>
      <c r="AC156" s="8"/>
    </row>
    <row r="157" spans="1:29" ht="15">
      <c r="A157" s="58"/>
      <c r="B157" s="69">
        <v>125</v>
      </c>
      <c r="C157" s="43" t="s">
        <v>351</v>
      </c>
      <c r="D157" s="69">
        <v>3.8001827830259298</v>
      </c>
      <c r="E157" s="43">
        <f t="shared" si="12"/>
        <v>0.55037962731337353</v>
      </c>
      <c r="F157" s="71">
        <f t="shared" si="3"/>
        <v>55.037962731337352</v>
      </c>
      <c r="G157" s="84">
        <f t="shared" si="4"/>
        <v>563.03835874158108</v>
      </c>
      <c r="H157" s="43"/>
      <c r="I157" s="8"/>
      <c r="J157" s="8">
        <f t="shared" si="11"/>
        <v>36069.128875981936</v>
      </c>
      <c r="K157" s="8"/>
      <c r="L157" s="8"/>
      <c r="M157" s="8"/>
      <c r="N157" s="8"/>
      <c r="O157" s="8"/>
      <c r="P157" s="8"/>
      <c r="Q157" s="8"/>
      <c r="R157" s="8"/>
      <c r="S157" s="8"/>
      <c r="T157" s="8"/>
      <c r="U157" s="8"/>
      <c r="V157" s="8"/>
      <c r="W157" s="8"/>
      <c r="X157" s="8"/>
      <c r="Y157" s="8"/>
      <c r="Z157" s="8"/>
      <c r="AA157" s="8"/>
      <c r="AB157" s="8"/>
      <c r="AC157" s="8"/>
    </row>
    <row r="158" spans="1:29" ht="15">
      <c r="A158" s="58"/>
      <c r="B158" s="69">
        <v>126</v>
      </c>
      <c r="C158" s="43" t="s">
        <v>352</v>
      </c>
      <c r="D158" s="69">
        <v>4.07293505963451</v>
      </c>
      <c r="E158" s="43">
        <f t="shared" si="12"/>
        <v>0.55681227294201152</v>
      </c>
      <c r="F158" s="71">
        <f t="shared" si="3"/>
        <v>55.68122729420115</v>
      </c>
      <c r="G158" s="84">
        <f t="shared" si="4"/>
        <v>569.61895521967779</v>
      </c>
      <c r="H158" s="43"/>
      <c r="I158" s="8"/>
      <c r="J158" s="8">
        <f t="shared" si="11"/>
        <v>36490.692307254722</v>
      </c>
      <c r="K158" s="8"/>
      <c r="L158" s="8"/>
      <c r="M158" s="8"/>
      <c r="N158" s="8"/>
      <c r="O158" s="8"/>
      <c r="P158" s="8"/>
      <c r="Q158" s="8"/>
      <c r="R158" s="8"/>
      <c r="S158" s="8"/>
      <c r="T158" s="8"/>
      <c r="U158" s="8"/>
      <c r="V158" s="8"/>
      <c r="W158" s="8"/>
      <c r="X158" s="8"/>
      <c r="Y158" s="8"/>
      <c r="Z158" s="8"/>
      <c r="AA158" s="8"/>
      <c r="AB158" s="8"/>
      <c r="AC158" s="8"/>
    </row>
    <row r="159" spans="1:29" ht="15">
      <c r="A159" s="58"/>
      <c r="B159" s="69">
        <v>127</v>
      </c>
      <c r="C159" s="43" t="s">
        <v>353</v>
      </c>
      <c r="D159" s="69">
        <v>4.3652637115499404</v>
      </c>
      <c r="E159" s="43">
        <f t="shared" si="12"/>
        <v>0.56324803785163946</v>
      </c>
      <c r="F159" s="71">
        <f t="shared" si="3"/>
        <v>56.324803785163944</v>
      </c>
      <c r="G159" s="84">
        <f t="shared" si="4"/>
        <v>576.20274272222719</v>
      </c>
      <c r="H159" s="43"/>
      <c r="I159" s="8"/>
      <c r="J159" s="8">
        <f t="shared" si="11"/>
        <v>36912.460160607196</v>
      </c>
      <c r="K159" s="8"/>
      <c r="L159" s="8"/>
      <c r="M159" s="8"/>
      <c r="N159" s="8"/>
      <c r="O159" s="8"/>
      <c r="P159" s="8"/>
      <c r="Q159" s="8"/>
      <c r="R159" s="8"/>
      <c r="S159" s="8"/>
      <c r="T159" s="8"/>
      <c r="U159" s="8"/>
      <c r="V159" s="8"/>
      <c r="W159" s="8"/>
      <c r="X159" s="8"/>
      <c r="Y159" s="8"/>
      <c r="Z159" s="8"/>
      <c r="AA159" s="8"/>
      <c r="AB159" s="8"/>
      <c r="AC159" s="8"/>
    </row>
    <row r="160" spans="1:29" ht="15">
      <c r="A160" s="58"/>
      <c r="B160" s="69">
        <v>128</v>
      </c>
      <c r="C160" s="43" t="s">
        <v>354</v>
      </c>
      <c r="D160" s="69">
        <v>4.6785738030119104</v>
      </c>
      <c r="E160" s="43">
        <f t="shared" si="12"/>
        <v>0.56968671588372577</v>
      </c>
      <c r="F160" s="71">
        <f t="shared" si="3"/>
        <v>56.96867158837258</v>
      </c>
      <c r="G160" s="84">
        <f t="shared" si="4"/>
        <v>582.78951034905151</v>
      </c>
      <c r="H160" s="43"/>
      <c r="I160" s="8"/>
      <c r="J160" s="8">
        <f t="shared" si="11"/>
        <v>37334.418925439968</v>
      </c>
      <c r="K160" s="8"/>
      <c r="L160" s="8"/>
      <c r="M160" s="8"/>
      <c r="N160" s="8"/>
      <c r="O160" s="8"/>
      <c r="P160" s="8"/>
      <c r="Q160" s="8"/>
      <c r="R160" s="8"/>
      <c r="S160" s="8"/>
      <c r="T160" s="8"/>
      <c r="U160" s="8"/>
      <c r="V160" s="8"/>
      <c r="W160" s="8"/>
      <c r="X160" s="8"/>
      <c r="Y160" s="8"/>
      <c r="Z160" s="8"/>
      <c r="AA160" s="8"/>
      <c r="AB160" s="8"/>
      <c r="AC160" s="8"/>
    </row>
    <row r="161" spans="1:29" ht="15">
      <c r="A161" s="58"/>
      <c r="B161" s="69">
        <v>129</v>
      </c>
      <c r="C161" s="43" t="s">
        <v>355</v>
      </c>
      <c r="D161" s="69">
        <v>5.0143712445856696</v>
      </c>
      <c r="E161" s="43">
        <f t="shared" si="12"/>
        <v>0.57612811433534861</v>
      </c>
      <c r="F161" s="71">
        <f t="shared" si="3"/>
        <v>57.612811433534858</v>
      </c>
      <c r="G161" s="84">
        <f t="shared" si="4"/>
        <v>589.37906096506163</v>
      </c>
      <c r="H161" s="43"/>
      <c r="I161" s="8"/>
      <c r="J161" s="8">
        <f t="shared" si="11"/>
        <v>37756.555972967071</v>
      </c>
      <c r="K161" s="8"/>
      <c r="L161" s="8"/>
      <c r="M161" s="8"/>
      <c r="N161" s="8"/>
      <c r="O161" s="8"/>
      <c r="P161" s="8"/>
      <c r="Q161" s="8"/>
      <c r="R161" s="8"/>
      <c r="S161" s="8"/>
      <c r="T161" s="8"/>
      <c r="U161" s="8"/>
      <c r="V161" s="8"/>
      <c r="W161" s="8"/>
      <c r="X161" s="8"/>
      <c r="Y161" s="8"/>
      <c r="Z161" s="8"/>
      <c r="AA161" s="8"/>
      <c r="AB161" s="8"/>
      <c r="AC161" s="8"/>
    </row>
    <row r="162" spans="1:29" ht="15">
      <c r="A162" s="58"/>
      <c r="B162" s="69">
        <v>130</v>
      </c>
      <c r="C162" s="43" t="s">
        <v>356</v>
      </c>
      <c r="D162" s="69">
        <v>5.37427003125201</v>
      </c>
      <c r="E162" s="43">
        <f t="shared" si="12"/>
        <v>0.58257205310284588</v>
      </c>
      <c r="F162" s="71">
        <f t="shared" si="3"/>
        <v>58.25720531028459</v>
      </c>
      <c r="G162" s="84">
        <f t="shared" si="4"/>
        <v>595.97121032421137</v>
      </c>
      <c r="H162" s="43"/>
      <c r="I162" s="8"/>
      <c r="J162" s="8">
        <f t="shared" ref="J162:J225" si="13">E162*(2^16-1)</f>
        <v>38178.859500095008</v>
      </c>
      <c r="K162" s="8"/>
      <c r="L162" s="8"/>
      <c r="M162" s="8"/>
      <c r="N162" s="8"/>
      <c r="O162" s="8"/>
      <c r="P162" s="8"/>
      <c r="Q162" s="8"/>
      <c r="R162" s="8"/>
      <c r="S162" s="8"/>
      <c r="T162" s="8"/>
      <c r="U162" s="8"/>
      <c r="V162" s="8"/>
      <c r="W162" s="8"/>
      <c r="X162" s="8"/>
      <c r="Y162" s="8"/>
      <c r="Z162" s="8"/>
      <c r="AA162" s="8"/>
      <c r="AB162" s="8"/>
      <c r="AC162" s="8"/>
    </row>
    <row r="163" spans="1:29" ht="15">
      <c r="A163" s="58"/>
      <c r="B163" s="69">
        <v>131</v>
      </c>
      <c r="C163" s="43" t="s">
        <v>357</v>
      </c>
      <c r="D163" s="69">
        <v>5.76</v>
      </c>
      <c r="E163" s="43">
        <f t="shared" si="12"/>
        <v>0.58901836387713358</v>
      </c>
      <c r="F163" s="71">
        <f t="shared" si="3"/>
        <v>58.901836387713359</v>
      </c>
      <c r="G163" s="84">
        <f t="shared" si="4"/>
        <v>602.56578624630765</v>
      </c>
      <c r="H163" s="43"/>
      <c r="I163" s="8"/>
      <c r="J163" s="8">
        <f t="shared" si="13"/>
        <v>38601.318476687949</v>
      </c>
      <c r="K163" s="8"/>
      <c r="L163" s="8"/>
      <c r="M163" s="8"/>
      <c r="N163" s="8"/>
      <c r="O163" s="8"/>
      <c r="P163" s="8"/>
      <c r="Q163" s="8"/>
      <c r="R163" s="8"/>
      <c r="S163" s="8"/>
      <c r="T163" s="8"/>
      <c r="U163" s="8"/>
      <c r="V163" s="8"/>
      <c r="W163" s="8"/>
      <c r="X163" s="8"/>
      <c r="Y163" s="8"/>
      <c r="Z163" s="8"/>
      <c r="AA163" s="8"/>
      <c r="AB163" s="8"/>
      <c r="AC163" s="8"/>
    </row>
    <row r="164" spans="1:29" ht="15">
      <c r="A164" s="58"/>
      <c r="B164" s="69">
        <v>132</v>
      </c>
      <c r="C164" s="43" t="s">
        <v>358</v>
      </c>
      <c r="D164" s="69">
        <v>6.1734151442090397</v>
      </c>
      <c r="E164" s="43">
        <f t="shared" si="12"/>
        <v>0.59546688938794734</v>
      </c>
      <c r="F164" s="71">
        <f t="shared" si="3"/>
        <v>59.54668893879473</v>
      </c>
      <c r="G164" s="84">
        <f t="shared" si="4"/>
        <v>609.16262784387015</v>
      </c>
      <c r="H164" s="43"/>
      <c r="I164" s="8"/>
      <c r="J164" s="8">
        <f t="shared" si="13"/>
        <v>39023.922596039127</v>
      </c>
      <c r="K164" s="8"/>
      <c r="L164" s="8"/>
      <c r="M164" s="8"/>
      <c r="N164" s="8"/>
      <c r="O164" s="8"/>
      <c r="P164" s="8"/>
      <c r="Q164" s="8"/>
      <c r="R164" s="8"/>
      <c r="S164" s="8"/>
      <c r="T164" s="8"/>
      <c r="U164" s="8"/>
      <c r="V164" s="8"/>
      <c r="W164" s="8"/>
      <c r="X164" s="8"/>
      <c r="Y164" s="8"/>
      <c r="Z164" s="8"/>
      <c r="AA164" s="8"/>
      <c r="AB164" s="8"/>
      <c r="AC164" s="8"/>
    </row>
    <row r="165" spans="1:29" ht="15">
      <c r="A165" s="58"/>
      <c r="B165" s="69">
        <v>133</v>
      </c>
      <c r="C165" s="43" t="s">
        <v>359</v>
      </c>
      <c r="D165" s="69">
        <v>6.6165025247829199</v>
      </c>
      <c r="E165" s="43">
        <f t="shared" si="12"/>
        <v>0.60191748269435563</v>
      </c>
      <c r="F165" s="71">
        <f t="shared" si="3"/>
        <v>60.191748269435564</v>
      </c>
      <c r="G165" s="84">
        <f t="shared" si="4"/>
        <v>615.76158479632579</v>
      </c>
      <c r="H165" s="43"/>
      <c r="I165" s="8"/>
      <c r="J165" s="8">
        <f t="shared" si="13"/>
        <v>39446.662228374596</v>
      </c>
      <c r="K165" s="8"/>
      <c r="L165" s="8"/>
      <c r="M165" s="8"/>
      <c r="N165" s="8"/>
      <c r="O165" s="8"/>
      <c r="P165" s="8"/>
      <c r="Q165" s="8"/>
      <c r="R165" s="8"/>
      <c r="S165" s="8"/>
      <c r="T165" s="8"/>
      <c r="U165" s="8"/>
      <c r="V165" s="8"/>
      <c r="W165" s="8"/>
      <c r="X165" s="8"/>
      <c r="Y165" s="8"/>
      <c r="Z165" s="8"/>
      <c r="AA165" s="8"/>
      <c r="AB165" s="8"/>
      <c r="AC165" s="8"/>
    </row>
    <row r="166" spans="1:29" ht="15">
      <c r="A166" s="58"/>
      <c r="B166" s="69">
        <v>134</v>
      </c>
      <c r="C166" s="43" t="s">
        <v>360</v>
      </c>
      <c r="D166" s="69">
        <v>7.0913918208667104</v>
      </c>
      <c r="E166" s="43">
        <f t="shared" si="12"/>
        <v>0.60837000651899542</v>
      </c>
      <c r="F166" s="71">
        <f t="shared" si="3"/>
        <v>60.837000651899544</v>
      </c>
      <c r="G166" s="84">
        <f t="shared" si="4"/>
        <v>622.36251666893236</v>
      </c>
      <c r="H166" s="43"/>
      <c r="I166" s="8"/>
      <c r="J166" s="8">
        <f t="shared" si="13"/>
        <v>39869.528377222363</v>
      </c>
      <c r="K166" s="8"/>
      <c r="L166" s="8"/>
      <c r="M166" s="8"/>
      <c r="N166" s="8"/>
      <c r="O166" s="8"/>
      <c r="P166" s="8"/>
      <c r="Q166" s="8"/>
      <c r="R166" s="8"/>
      <c r="S166" s="8"/>
      <c r="T166" s="8"/>
      <c r="U166" s="8"/>
      <c r="V166" s="8"/>
      <c r="W166" s="8"/>
      <c r="X166" s="8"/>
      <c r="Y166" s="8"/>
      <c r="Z166" s="8"/>
      <c r="AA166" s="8"/>
      <c r="AB166" s="8"/>
      <c r="AC166" s="8"/>
    </row>
    <row r="167" spans="1:29" ht="15">
      <c r="A167" s="58"/>
      <c r="B167" s="69">
        <v>135</v>
      </c>
      <c r="C167" s="43" t="s">
        <v>361</v>
      </c>
      <c r="D167" s="69">
        <v>7.6003655660518703</v>
      </c>
      <c r="E167" s="43">
        <f t="shared" si="12"/>
        <v>0.6148243326235816</v>
      </c>
      <c r="F167" s="71">
        <f t="shared" si="3"/>
        <v>61.482433262358157</v>
      </c>
      <c r="G167" s="84">
        <f t="shared" si="4"/>
        <v>628.96529227392398</v>
      </c>
      <c r="H167" s="43"/>
      <c r="I167" s="8"/>
      <c r="J167" s="8">
        <f t="shared" si="13"/>
        <v>40292.51263848642</v>
      </c>
      <c r="K167" s="8"/>
      <c r="L167" s="8"/>
      <c r="M167" s="8"/>
      <c r="N167" s="8"/>
      <c r="O167" s="8"/>
      <c r="P167" s="8"/>
      <c r="Q167" s="8"/>
      <c r="R167" s="8"/>
      <c r="S167" s="8"/>
      <c r="T167" s="8"/>
      <c r="U167" s="8"/>
      <c r="V167" s="8"/>
      <c r="W167" s="8"/>
      <c r="X167" s="8"/>
      <c r="Y167" s="8"/>
      <c r="Z167" s="8"/>
      <c r="AA167" s="8"/>
      <c r="AB167" s="8"/>
      <c r="AC167" s="8"/>
    </row>
    <row r="168" spans="1:29" ht="15">
      <c r="A168" s="58"/>
      <c r="B168" s="69">
        <v>136</v>
      </c>
      <c r="C168" s="43" t="s">
        <v>362</v>
      </c>
      <c r="D168" s="69">
        <v>8.1458701192690199</v>
      </c>
      <c r="E168" s="43">
        <f t="shared" si="12"/>
        <v>0.62128034122334264</v>
      </c>
      <c r="F168" s="71">
        <f t="shared" si="3"/>
        <v>62.128034122334263</v>
      </c>
      <c r="G168" s="84">
        <f t="shared" si="4"/>
        <v>635.56978907147948</v>
      </c>
      <c r="H168" s="43"/>
      <c r="I168" s="8"/>
      <c r="J168" s="8">
        <f t="shared" si="13"/>
        <v>40715.607162071763</v>
      </c>
      <c r="K168" s="8"/>
      <c r="L168" s="8"/>
      <c r="M168" s="8"/>
      <c r="N168" s="8"/>
      <c r="O168" s="8"/>
      <c r="P168" s="8"/>
      <c r="Q168" s="8"/>
      <c r="R168" s="8"/>
      <c r="S168" s="8"/>
      <c r="T168" s="8"/>
      <c r="U168" s="8"/>
      <c r="V168" s="8"/>
      <c r="W168" s="8"/>
      <c r="X168" s="8"/>
      <c r="Y168" s="8"/>
      <c r="Z168" s="8"/>
      <c r="AA168" s="8"/>
      <c r="AB168" s="8"/>
      <c r="AC168" s="8"/>
    </row>
    <row r="169" spans="1:29" ht="15">
      <c r="A169" s="58"/>
      <c r="B169" s="69">
        <v>137</v>
      </c>
      <c r="C169" s="43" t="s">
        <v>363</v>
      </c>
      <c r="D169" s="69">
        <v>8.7305274230998897</v>
      </c>
      <c r="E169" s="43">
        <f t="shared" si="12"/>
        <v>0.62773792043814702</v>
      </c>
      <c r="F169" s="71">
        <f t="shared" si="3"/>
        <v>62.773792043814701</v>
      </c>
      <c r="G169" s="84">
        <f t="shared" si="4"/>
        <v>642.17589260822444</v>
      </c>
      <c r="H169" s="43"/>
      <c r="I169" s="8"/>
      <c r="J169" s="8">
        <f t="shared" si="13"/>
        <v>41138.804615913963</v>
      </c>
      <c r="K169" s="8"/>
      <c r="L169" s="8"/>
      <c r="M169" s="8"/>
      <c r="N169" s="8"/>
      <c r="O169" s="8"/>
      <c r="P169" s="8"/>
      <c r="Q169" s="8"/>
      <c r="R169" s="8"/>
      <c r="S169" s="8"/>
      <c r="T169" s="8"/>
      <c r="U169" s="8"/>
      <c r="V169" s="8"/>
      <c r="W169" s="8"/>
      <c r="X169" s="8"/>
      <c r="Y169" s="8"/>
      <c r="Z169" s="8"/>
      <c r="AA169" s="8"/>
      <c r="AB169" s="8"/>
      <c r="AC169" s="8"/>
    </row>
    <row r="170" spans="1:29" ht="15">
      <c r="A170" s="58"/>
      <c r="B170" s="69">
        <v>138</v>
      </c>
      <c r="C170" s="43" t="s">
        <v>364</v>
      </c>
      <c r="D170" s="69">
        <v>9.3571476060238297</v>
      </c>
      <c r="E170" s="43">
        <f t="shared" si="12"/>
        <v>0.6341969657781813</v>
      </c>
      <c r="F170" s="71">
        <f t="shared" si="3"/>
        <v>63.419696577818129</v>
      </c>
      <c r="G170" s="84">
        <f t="shared" si="4"/>
        <v>648.78349599107946</v>
      </c>
      <c r="H170" s="43"/>
      <c r="I170" s="8"/>
      <c r="J170" s="8">
        <f t="shared" si="13"/>
        <v>41562.098152273109</v>
      </c>
      <c r="K170" s="8"/>
      <c r="L170" s="8"/>
      <c r="M170" s="8"/>
      <c r="N170" s="8"/>
      <c r="O170" s="8"/>
      <c r="P170" s="8"/>
      <c r="Q170" s="8"/>
      <c r="R170" s="8"/>
      <c r="S170" s="8"/>
      <c r="T170" s="8"/>
      <c r="U170" s="8"/>
      <c r="V170" s="8"/>
      <c r="W170" s="8"/>
      <c r="X170" s="8"/>
      <c r="Y170" s="8"/>
      <c r="Z170" s="8"/>
      <c r="AA170" s="8"/>
      <c r="AB170" s="8"/>
      <c r="AC170" s="8"/>
    </row>
    <row r="171" spans="1:29" ht="15">
      <c r="A171" s="58"/>
      <c r="B171" s="69">
        <v>139</v>
      </c>
      <c r="C171" s="43" t="s">
        <v>365</v>
      </c>
      <c r="D171" s="69">
        <v>10.0287424891713</v>
      </c>
      <c r="E171" s="43">
        <f t="shared" si="12"/>
        <v>0.64065737966214609</v>
      </c>
      <c r="F171" s="71">
        <f t="shared" si="3"/>
        <v>64.065737966214613</v>
      </c>
      <c r="G171" s="84">
        <f t="shared" si="4"/>
        <v>655.39249939437548</v>
      </c>
      <c r="H171" s="43"/>
      <c r="I171" s="8"/>
      <c r="J171" s="8">
        <f t="shared" si="13"/>
        <v>41985.481376158743</v>
      </c>
      <c r="K171" s="8"/>
      <c r="L171" s="8"/>
      <c r="M171" s="8"/>
      <c r="N171" s="8"/>
      <c r="O171" s="8"/>
      <c r="P171" s="8"/>
      <c r="Q171" s="8"/>
      <c r="R171" s="8"/>
      <c r="S171" s="8"/>
      <c r="T171" s="8"/>
      <c r="U171" s="8"/>
      <c r="V171" s="8"/>
      <c r="W171" s="8"/>
      <c r="X171" s="8"/>
      <c r="Y171" s="8"/>
      <c r="Z171" s="8"/>
      <c r="AA171" s="8"/>
      <c r="AB171" s="8"/>
      <c r="AC171" s="8"/>
    </row>
    <row r="172" spans="1:29" ht="15">
      <c r="A172" s="58"/>
      <c r="B172" s="69">
        <v>140</v>
      </c>
      <c r="C172" s="43" t="s">
        <v>366</v>
      </c>
      <c r="D172" s="69">
        <v>10.748540062504</v>
      </c>
      <c r="E172" s="43">
        <f t="shared" si="12"/>
        <v>0.64711907096604193</v>
      </c>
      <c r="F172" s="71">
        <f t="shared" si="3"/>
        <v>64.711907096604193</v>
      </c>
      <c r="G172" s="84">
        <f t="shared" si="4"/>
        <v>662.00280959826091</v>
      </c>
      <c r="H172" s="43"/>
      <c r="I172" s="8"/>
      <c r="J172" s="8">
        <f t="shared" si="13"/>
        <v>42408.948315759561</v>
      </c>
      <c r="K172" s="8"/>
      <c r="L172" s="8"/>
      <c r="M172" s="8"/>
      <c r="N172" s="8"/>
      <c r="O172" s="8"/>
      <c r="P172" s="8"/>
      <c r="Q172" s="8"/>
      <c r="R172" s="8"/>
      <c r="S172" s="8"/>
      <c r="T172" s="8"/>
      <c r="U172" s="8"/>
      <c r="V172" s="8"/>
      <c r="W172" s="8"/>
      <c r="X172" s="8"/>
      <c r="Y172" s="8"/>
      <c r="Z172" s="8"/>
      <c r="AA172" s="8"/>
      <c r="AB172" s="8"/>
      <c r="AC172" s="8"/>
    </row>
    <row r="173" spans="1:29" ht="15">
      <c r="A173" s="58"/>
      <c r="B173" s="69">
        <v>141</v>
      </c>
      <c r="C173" s="43" t="s">
        <v>367</v>
      </c>
      <c r="D173" s="69">
        <v>11.52</v>
      </c>
      <c r="E173" s="43">
        <f t="shared" si="12"/>
        <v>0.65358195460069957</v>
      </c>
      <c r="F173" s="71">
        <f t="shared" si="3"/>
        <v>65.35819546006995</v>
      </c>
      <c r="G173" s="84">
        <f t="shared" si="4"/>
        <v>668.61433955651569</v>
      </c>
      <c r="H173" s="43"/>
      <c r="I173" s="8"/>
      <c r="J173" s="8">
        <f t="shared" si="13"/>
        <v>42832.493394756842</v>
      </c>
      <c r="K173" s="8"/>
      <c r="L173" s="8"/>
      <c r="M173" s="8"/>
      <c r="N173" s="8"/>
      <c r="O173" s="8"/>
      <c r="P173" s="8"/>
      <c r="Q173" s="8"/>
      <c r="R173" s="8"/>
      <c r="S173" s="8"/>
      <c r="T173" s="8"/>
      <c r="U173" s="8"/>
      <c r="V173" s="8"/>
      <c r="W173" s="8"/>
      <c r="X173" s="8"/>
      <c r="Y173" s="8"/>
      <c r="Z173" s="8"/>
      <c r="AA173" s="8"/>
      <c r="AB173" s="8"/>
      <c r="AC173" s="8"/>
    </row>
    <row r="174" spans="1:29" ht="15">
      <c r="A174" s="58"/>
      <c r="B174" s="69">
        <v>142</v>
      </c>
      <c r="C174" s="43" t="s">
        <v>368</v>
      </c>
      <c r="D174" s="69">
        <v>12.346830288417999</v>
      </c>
      <c r="E174" s="43">
        <f t="shared" si="12"/>
        <v>0.66004595111633146</v>
      </c>
      <c r="F174" s="71">
        <f t="shared" si="3"/>
        <v>66.004595111633151</v>
      </c>
      <c r="G174" s="84">
        <f t="shared" si="4"/>
        <v>675.22700799200709</v>
      </c>
      <c r="H174" s="43"/>
      <c r="I174" s="8"/>
      <c r="J174" s="8">
        <f t="shared" si="13"/>
        <v>43256.111406408781</v>
      </c>
      <c r="K174" s="8"/>
      <c r="L174" s="8"/>
      <c r="M174" s="8"/>
      <c r="N174" s="8"/>
      <c r="O174" s="8"/>
      <c r="P174" s="8"/>
      <c r="Q174" s="8"/>
      <c r="R174" s="8"/>
      <c r="S174" s="8"/>
      <c r="T174" s="8"/>
      <c r="U174" s="8"/>
      <c r="V174" s="8"/>
      <c r="W174" s="8"/>
      <c r="X174" s="8"/>
      <c r="Y174" s="8"/>
      <c r="Z174" s="8"/>
      <c r="AA174" s="8"/>
      <c r="AB174" s="8"/>
      <c r="AC174" s="8"/>
    </row>
    <row r="175" spans="1:29" ht="15">
      <c r="A175" s="58"/>
      <c r="B175" s="69">
        <v>143</v>
      </c>
      <c r="C175" s="43" t="s">
        <v>369</v>
      </c>
      <c r="D175" s="69">
        <v>13.233005049565801</v>
      </c>
      <c r="E175" s="43">
        <f t="shared" si="12"/>
        <v>0.66651098633245021</v>
      </c>
      <c r="F175" s="71">
        <f t="shared" si="3"/>
        <v>66.651098633245027</v>
      </c>
      <c r="G175" s="84">
        <f t="shared" si="4"/>
        <v>681.84073901809654</v>
      </c>
      <c r="H175" s="43"/>
      <c r="I175" s="8"/>
      <c r="J175" s="8">
        <f t="shared" si="13"/>
        <v>43679.797489297125</v>
      </c>
      <c r="K175" s="8"/>
      <c r="L175" s="8"/>
      <c r="M175" s="8"/>
      <c r="N175" s="8"/>
      <c r="O175" s="8"/>
      <c r="P175" s="8"/>
      <c r="Q175" s="8"/>
      <c r="R175" s="8"/>
      <c r="S175" s="8"/>
      <c r="T175" s="8"/>
      <c r="U175" s="8"/>
      <c r="V175" s="8"/>
      <c r="W175" s="8"/>
      <c r="X175" s="8"/>
      <c r="Y175" s="8"/>
      <c r="Z175" s="8"/>
      <c r="AA175" s="8"/>
      <c r="AB175" s="8"/>
      <c r="AC175" s="8"/>
    </row>
    <row r="176" spans="1:29" ht="15">
      <c r="A176" s="58"/>
      <c r="B176" s="69">
        <v>144</v>
      </c>
      <c r="C176" s="43" t="s">
        <v>370</v>
      </c>
      <c r="D176" s="69">
        <v>14.182783641733399</v>
      </c>
      <c r="E176" s="43">
        <f t="shared" si="12"/>
        <v>0.67297699099158914</v>
      </c>
      <c r="F176" s="71">
        <f t="shared" si="3"/>
        <v>67.297699099158919</v>
      </c>
      <c r="G176" s="84">
        <f t="shared" si="4"/>
        <v>688.45546178439565</v>
      </c>
      <c r="H176" s="43"/>
      <c r="I176" s="8"/>
      <c r="J176" s="8">
        <f t="shared" si="13"/>
        <v>44103.547104633792</v>
      </c>
      <c r="K176" s="8"/>
      <c r="L176" s="8"/>
      <c r="M176" s="8"/>
      <c r="N176" s="8"/>
      <c r="O176" s="8"/>
      <c r="P176" s="8"/>
      <c r="Q176" s="8"/>
      <c r="R176" s="8"/>
      <c r="S176" s="8"/>
      <c r="T176" s="8"/>
      <c r="U176" s="8"/>
      <c r="V176" s="8"/>
      <c r="W176" s="8"/>
      <c r="X176" s="8"/>
      <c r="Y176" s="8"/>
      <c r="Z176" s="8"/>
      <c r="AA176" s="8"/>
      <c r="AB176" s="8"/>
      <c r="AC176" s="8"/>
    </row>
    <row r="177" spans="1:29" ht="15">
      <c r="A177" s="58"/>
      <c r="B177" s="69">
        <v>145</v>
      </c>
      <c r="C177" s="43" t="s">
        <v>371</v>
      </c>
      <c r="D177" s="69">
        <v>15.2007311321037</v>
      </c>
      <c r="E177" s="43">
        <f t="shared" si="12"/>
        <v>0.67944390043537728</v>
      </c>
      <c r="F177" s="71">
        <f t="shared" si="3"/>
        <v>67.944390043537723</v>
      </c>
      <c r="G177" s="84">
        <f t="shared" si="4"/>
        <v>695.071110145391</v>
      </c>
      <c r="H177" s="43"/>
      <c r="I177" s="8"/>
      <c r="J177" s="8">
        <f t="shared" si="13"/>
        <v>44527.356015032448</v>
      </c>
      <c r="K177" s="8"/>
      <c r="L177" s="8"/>
      <c r="M177" s="8"/>
      <c r="N177" s="8"/>
      <c r="O177" s="8"/>
      <c r="P177" s="8"/>
      <c r="Q177" s="8"/>
      <c r="R177" s="8"/>
      <c r="S177" s="8"/>
      <c r="T177" s="8"/>
      <c r="U177" s="8"/>
      <c r="V177" s="8"/>
      <c r="W177" s="8"/>
      <c r="X177" s="8"/>
      <c r="Y177" s="8"/>
      <c r="Z177" s="8"/>
      <c r="AA177" s="8"/>
      <c r="AB177" s="8"/>
      <c r="AC177" s="8"/>
    </row>
    <row r="178" spans="1:29" ht="15">
      <c r="A178" s="58"/>
      <c r="B178" s="69">
        <v>146</v>
      </c>
      <c r="C178" s="43" t="s">
        <v>372</v>
      </c>
      <c r="D178" s="69">
        <v>16.291740238538001</v>
      </c>
      <c r="E178" s="43">
        <f t="shared" si="12"/>
        <v>0.68591165430155887</v>
      </c>
      <c r="F178" s="71">
        <f t="shared" si="3"/>
        <v>68.591165430155883</v>
      </c>
      <c r="G178" s="84">
        <f t="shared" si="4"/>
        <v>701.68762235049473</v>
      </c>
      <c r="H178" s="43"/>
      <c r="I178" s="8"/>
      <c r="J178" s="8">
        <f t="shared" si="13"/>
        <v>44951.220264652664</v>
      </c>
      <c r="K178" s="8"/>
      <c r="L178" s="8"/>
      <c r="M178" s="8"/>
      <c r="N178" s="8"/>
      <c r="O178" s="8"/>
      <c r="P178" s="8"/>
      <c r="Q178" s="8"/>
      <c r="R178" s="8"/>
      <c r="S178" s="8"/>
      <c r="T178" s="8"/>
      <c r="U178" s="8"/>
      <c r="V178" s="8"/>
      <c r="W178" s="8"/>
      <c r="X178" s="8"/>
      <c r="Y178" s="8"/>
      <c r="Z178" s="8"/>
      <c r="AA178" s="8"/>
      <c r="AB178" s="8"/>
      <c r="AC178" s="8"/>
    </row>
    <row r="179" spans="1:29" ht="15">
      <c r="A179" s="58"/>
      <c r="B179" s="69">
        <v>147</v>
      </c>
      <c r="C179" s="43" t="s">
        <v>373</v>
      </c>
      <c r="D179" s="69">
        <v>17.461054846199701</v>
      </c>
      <c r="E179" s="43">
        <f t="shared" si="12"/>
        <v>0.69238019624066105</v>
      </c>
      <c r="F179" s="71">
        <f t="shared" si="3"/>
        <v>69.238019624066112</v>
      </c>
      <c r="G179" s="84">
        <f t="shared" si="4"/>
        <v>708.30494075419631</v>
      </c>
      <c r="H179" s="43"/>
      <c r="I179" s="8"/>
      <c r="J179" s="8">
        <f t="shared" si="13"/>
        <v>45375.136160631722</v>
      </c>
      <c r="K179" s="8"/>
      <c r="L179" s="8"/>
      <c r="M179" s="8"/>
      <c r="N179" s="8"/>
      <c r="O179" s="8"/>
      <c r="P179" s="8"/>
      <c r="Q179" s="8"/>
      <c r="R179" s="8"/>
      <c r="S179" s="8"/>
      <c r="T179" s="8"/>
      <c r="U179" s="8"/>
      <c r="V179" s="8"/>
      <c r="W179" s="8"/>
      <c r="X179" s="8"/>
      <c r="Y179" s="8"/>
      <c r="Z179" s="8"/>
      <c r="AA179" s="8"/>
      <c r="AB179" s="8"/>
      <c r="AC179" s="8"/>
    </row>
    <row r="180" spans="1:29" ht="15">
      <c r="A180" s="58"/>
      <c r="B180" s="69">
        <v>148</v>
      </c>
      <c r="C180" s="43" t="s">
        <v>374</v>
      </c>
      <c r="D180" s="69">
        <v>18.714295212047599</v>
      </c>
      <c r="E180" s="43">
        <f t="shared" si="12"/>
        <v>0.69884947365107419</v>
      </c>
      <c r="F180" s="71">
        <f t="shared" si="3"/>
        <v>69.884947365107422</v>
      </c>
      <c r="G180" s="84">
        <f t="shared" si="4"/>
        <v>714.92301154504889</v>
      </c>
      <c r="H180" s="43"/>
      <c r="I180" s="8"/>
      <c r="J180" s="8">
        <f t="shared" si="13"/>
        <v>45799.100255723148</v>
      </c>
      <c r="K180" s="8"/>
      <c r="L180" s="8"/>
      <c r="M180" s="8"/>
      <c r="N180" s="8"/>
      <c r="O180" s="8"/>
      <c r="P180" s="8"/>
      <c r="Q180" s="8"/>
      <c r="R180" s="8"/>
      <c r="S180" s="8"/>
      <c r="T180" s="8"/>
      <c r="U180" s="8"/>
      <c r="V180" s="8"/>
      <c r="W180" s="8"/>
      <c r="X180" s="8"/>
      <c r="Y180" s="8"/>
      <c r="Z180" s="8"/>
      <c r="AA180" s="8"/>
      <c r="AB180" s="8"/>
      <c r="AC180" s="8"/>
    </row>
    <row r="181" spans="1:29" ht="15">
      <c r="A181" s="58"/>
      <c r="B181" s="69">
        <v>149</v>
      </c>
      <c r="C181" s="43" t="s">
        <v>375</v>
      </c>
      <c r="D181" s="69">
        <v>20.0574849783426</v>
      </c>
      <c r="E181" s="43">
        <f t="shared" si="12"/>
        <v>0.70531943743138137</v>
      </c>
      <c r="F181" s="71">
        <f t="shared" si="3"/>
        <v>70.531943743138143</v>
      </c>
      <c r="G181" s="84">
        <f t="shared" si="4"/>
        <v>721.54178449230312</v>
      </c>
      <c r="H181" s="43"/>
      <c r="I181" s="8"/>
      <c r="J181" s="8">
        <f t="shared" si="13"/>
        <v>46223.109332065578</v>
      </c>
      <c r="K181" s="8"/>
      <c r="L181" s="8"/>
      <c r="M181" s="8"/>
      <c r="N181" s="8"/>
      <c r="O181" s="8"/>
      <c r="P181" s="8"/>
      <c r="Q181" s="8"/>
      <c r="R181" s="8"/>
      <c r="S181" s="8"/>
      <c r="T181" s="8"/>
      <c r="U181" s="8"/>
      <c r="V181" s="8"/>
      <c r="W181" s="8"/>
      <c r="X181" s="8"/>
      <c r="Y181" s="8"/>
      <c r="Z181" s="8"/>
      <c r="AA181" s="8"/>
      <c r="AB181" s="8"/>
      <c r="AC181" s="8"/>
    </row>
    <row r="182" spans="1:29" ht="15">
      <c r="A182" s="58"/>
      <c r="B182" s="69">
        <v>150</v>
      </c>
      <c r="C182" s="43" t="s">
        <v>376</v>
      </c>
      <c r="D182" s="69">
        <v>21.497080125008001</v>
      </c>
      <c r="E182" s="43">
        <f t="shared" si="12"/>
        <v>0.71179004174885041</v>
      </c>
      <c r="F182" s="71">
        <f t="shared" si="3"/>
        <v>71.179004174885037</v>
      </c>
      <c r="G182" s="84">
        <f t="shared" si="4"/>
        <v>728.16121270907399</v>
      </c>
      <c r="H182" s="43"/>
      <c r="I182" s="8"/>
      <c r="J182" s="8">
        <f t="shared" si="13"/>
        <v>46647.16038601091</v>
      </c>
      <c r="K182" s="8"/>
      <c r="L182" s="8"/>
      <c r="M182" s="8"/>
      <c r="N182" s="8"/>
      <c r="O182" s="8"/>
      <c r="P182" s="8"/>
      <c r="Q182" s="8"/>
      <c r="R182" s="8"/>
      <c r="S182" s="8"/>
      <c r="T182" s="8"/>
      <c r="U182" s="8"/>
      <c r="V182" s="8"/>
      <c r="W182" s="8"/>
      <c r="X182" s="8"/>
      <c r="Y182" s="8"/>
      <c r="Z182" s="8"/>
      <c r="AA182" s="8"/>
      <c r="AB182" s="8"/>
      <c r="AC182" s="8"/>
    </row>
    <row r="183" spans="1:29" ht="15">
      <c r="A183" s="58"/>
      <c r="B183" s="69">
        <v>151</v>
      </c>
      <c r="C183" s="43" t="s">
        <v>377</v>
      </c>
      <c r="D183" s="69">
        <v>23.04</v>
      </c>
      <c r="E183" s="43">
        <f t="shared" si="12"/>
        <v>0.7182612438230519</v>
      </c>
      <c r="F183" s="71">
        <f t="shared" si="3"/>
        <v>71.826124382305196</v>
      </c>
      <c r="G183" s="84">
        <f t="shared" si="4"/>
        <v>734.78125243098214</v>
      </c>
      <c r="H183" s="43"/>
      <c r="I183" s="8"/>
      <c r="J183" s="8">
        <f t="shared" si="13"/>
        <v>47071.250613943703</v>
      </c>
      <c r="K183" s="8"/>
      <c r="L183" s="8"/>
      <c r="M183" s="8"/>
      <c r="N183" s="8"/>
      <c r="O183" s="8"/>
      <c r="P183" s="8"/>
      <c r="Q183" s="8"/>
      <c r="R183" s="8"/>
      <c r="S183" s="8"/>
      <c r="T183" s="8"/>
      <c r="U183" s="8"/>
      <c r="V183" s="8"/>
      <c r="W183" s="8"/>
      <c r="X183" s="8"/>
      <c r="Y183" s="8"/>
      <c r="Z183" s="8"/>
      <c r="AA183" s="8"/>
      <c r="AB183" s="8"/>
      <c r="AC183" s="8"/>
    </row>
    <row r="184" spans="1:29" ht="15">
      <c r="A184" s="58"/>
      <c r="B184" s="69">
        <v>152</v>
      </c>
      <c r="C184" s="43" t="s">
        <v>378</v>
      </c>
      <c r="D184" s="69">
        <v>24.693660576836098</v>
      </c>
      <c r="E184" s="43">
        <f t="shared" si="12"/>
        <v>0.7247330037236499</v>
      </c>
      <c r="F184" s="71">
        <f t="shared" si="3"/>
        <v>72.473300372364989</v>
      </c>
      <c r="G184" s="84">
        <f t="shared" si="4"/>
        <v>741.4018628092939</v>
      </c>
      <c r="H184" s="43"/>
      <c r="I184" s="8"/>
      <c r="J184" s="8">
        <f t="shared" si="13"/>
        <v>47495.377399029399</v>
      </c>
      <c r="K184" s="8"/>
      <c r="L184" s="8"/>
      <c r="M184" s="8"/>
      <c r="N184" s="8"/>
      <c r="O184" s="8"/>
      <c r="P184" s="8"/>
      <c r="Q184" s="8"/>
      <c r="R184" s="8"/>
      <c r="S184" s="8"/>
      <c r="T184" s="8"/>
      <c r="U184" s="8"/>
      <c r="V184" s="8"/>
      <c r="W184" s="8"/>
      <c r="X184" s="8"/>
      <c r="Y184" s="8"/>
      <c r="Z184" s="8"/>
      <c r="AA184" s="8"/>
      <c r="AB184" s="8"/>
      <c r="AC184" s="8"/>
    </row>
    <row r="185" spans="1:29" ht="15">
      <c r="A185" s="58"/>
      <c r="B185" s="69">
        <v>153</v>
      </c>
      <c r="C185" s="43" t="s">
        <v>379</v>
      </c>
      <c r="D185" s="69">
        <v>26.466010099131601</v>
      </c>
      <c r="E185" s="43">
        <f t="shared" si="12"/>
        <v>0.73120528418144715</v>
      </c>
      <c r="F185" s="71">
        <f t="shared" si="3"/>
        <v>73.120528418144715</v>
      </c>
      <c r="G185" s="84">
        <f t="shared" si="4"/>
        <v>748.02300571762044</v>
      </c>
      <c r="H185" s="43"/>
      <c r="I185" s="8"/>
      <c r="J185" s="8">
        <f t="shared" si="13"/>
        <v>47919.538298831139</v>
      </c>
      <c r="K185" s="8"/>
      <c r="L185" s="8"/>
      <c r="M185" s="8"/>
      <c r="N185" s="8"/>
      <c r="O185" s="8"/>
      <c r="P185" s="8"/>
      <c r="Q185" s="8"/>
      <c r="R185" s="8"/>
      <c r="S185" s="8"/>
      <c r="T185" s="8"/>
      <c r="U185" s="8"/>
      <c r="V185" s="8"/>
      <c r="W185" s="8"/>
      <c r="X185" s="8"/>
      <c r="Y185" s="8"/>
      <c r="Z185" s="8"/>
      <c r="AA185" s="8"/>
      <c r="AB185" s="8"/>
      <c r="AC185" s="8"/>
    </row>
    <row r="186" spans="1:29" ht="15">
      <c r="A186" s="58"/>
      <c r="B186" s="69">
        <v>154</v>
      </c>
      <c r="C186" s="43" t="s">
        <v>380</v>
      </c>
      <c r="D186" s="69">
        <v>28.365567283466799</v>
      </c>
      <c r="E186" s="43">
        <f t="shared" si="12"/>
        <v>0.73767805041183943</v>
      </c>
      <c r="F186" s="71">
        <f t="shared" si="3"/>
        <v>73.767805041183948</v>
      </c>
      <c r="G186" s="84">
        <f t="shared" si="4"/>
        <v>754.64464557131168</v>
      </c>
      <c r="H186" s="43"/>
      <c r="I186" s="8"/>
      <c r="J186" s="8">
        <f t="shared" si="13"/>
        <v>48343.731033739896</v>
      </c>
      <c r="K186" s="8"/>
      <c r="L186" s="8"/>
      <c r="M186" s="8"/>
      <c r="N186" s="8"/>
      <c r="O186" s="8"/>
      <c r="P186" s="8"/>
      <c r="Q186" s="8"/>
      <c r="R186" s="8"/>
      <c r="S186" s="8"/>
      <c r="T186" s="8"/>
      <c r="U186" s="8"/>
      <c r="V186" s="8"/>
      <c r="W186" s="8"/>
      <c r="X186" s="8"/>
      <c r="Y186" s="8"/>
      <c r="Z186" s="8"/>
      <c r="AA186" s="8"/>
      <c r="AB186" s="8"/>
      <c r="AC186" s="8"/>
    </row>
    <row r="187" spans="1:29" ht="15">
      <c r="A187" s="58"/>
      <c r="B187" s="69">
        <v>155</v>
      </c>
      <c r="C187" s="43" t="s">
        <v>381</v>
      </c>
      <c r="D187" s="69">
        <v>30.401462264207399</v>
      </c>
      <c r="E187" s="43">
        <f t="shared" si="12"/>
        <v>0.74415126994987735</v>
      </c>
      <c r="F187" s="71">
        <f t="shared" si="3"/>
        <v>74.41512699498773</v>
      </c>
      <c r="G187" s="84">
        <f t="shared" si="4"/>
        <v>761.26674915872456</v>
      </c>
      <c r="H187" s="43"/>
      <c r="I187" s="8"/>
      <c r="J187" s="8">
        <f t="shared" si="13"/>
        <v>48767.95347616521</v>
      </c>
      <c r="K187" s="8"/>
      <c r="L187" s="8"/>
      <c r="M187" s="8"/>
      <c r="N187" s="8"/>
      <c r="O187" s="8"/>
      <c r="P187" s="8"/>
      <c r="Q187" s="8"/>
      <c r="R187" s="8"/>
      <c r="S187" s="8"/>
      <c r="T187" s="8"/>
      <c r="U187" s="8"/>
      <c r="V187" s="8"/>
      <c r="W187" s="8"/>
      <c r="X187" s="8"/>
      <c r="Y187" s="8"/>
      <c r="Z187" s="8"/>
      <c r="AA187" s="8"/>
      <c r="AB187" s="8"/>
      <c r="AC187" s="8"/>
    </row>
    <row r="188" spans="1:29" ht="15">
      <c r="A188" s="58"/>
      <c r="B188" s="69">
        <v>156</v>
      </c>
      <c r="C188" s="43" t="s">
        <v>382</v>
      </c>
      <c r="D188" s="69">
        <v>32.583480477076101</v>
      </c>
      <c r="E188" s="43">
        <f t="shared" si="12"/>
        <v>0.75062491249618812</v>
      </c>
      <c r="F188" s="71">
        <f t="shared" si="3"/>
        <v>75.062491249618816</v>
      </c>
      <c r="G188" s="84">
        <f t="shared" si="4"/>
        <v>767.88928548360047</v>
      </c>
      <c r="H188" s="43"/>
      <c r="I188" s="8"/>
      <c r="J188" s="8">
        <f t="shared" si="13"/>
        <v>49192.203640437692</v>
      </c>
      <c r="K188" s="8"/>
      <c r="L188" s="8"/>
      <c r="M188" s="8"/>
      <c r="N188" s="8"/>
      <c r="O188" s="8"/>
      <c r="P188" s="8"/>
      <c r="Q188" s="8"/>
      <c r="R188" s="8"/>
      <c r="S188" s="8"/>
      <c r="T188" s="8"/>
      <c r="U188" s="8"/>
      <c r="V188" s="8"/>
      <c r="W188" s="8"/>
      <c r="X188" s="8"/>
      <c r="Y188" s="8"/>
      <c r="Z188" s="8"/>
      <c r="AA188" s="8"/>
      <c r="AB188" s="8"/>
      <c r="AC188" s="8"/>
    </row>
    <row r="189" spans="1:29" ht="15">
      <c r="A189" s="58"/>
      <c r="B189" s="69">
        <v>157</v>
      </c>
      <c r="C189" s="43" t="s">
        <v>383</v>
      </c>
      <c r="D189" s="69">
        <v>34.922109692399502</v>
      </c>
      <c r="E189" s="43">
        <f t="shared" si="12"/>
        <v>0.75709894977305159</v>
      </c>
      <c r="F189" s="71">
        <f t="shared" si="3"/>
        <v>75.709894977305154</v>
      </c>
      <c r="G189" s="84">
        <f t="shared" si="4"/>
        <v>774.51222561783175</v>
      </c>
      <c r="H189" s="43"/>
      <c r="I189" s="8"/>
      <c r="J189" s="8">
        <f t="shared" si="13"/>
        <v>49616.479673376933</v>
      </c>
      <c r="K189" s="8"/>
      <c r="L189" s="8"/>
      <c r="M189" s="8"/>
      <c r="N189" s="8"/>
      <c r="O189" s="8"/>
      <c r="P189" s="8"/>
      <c r="Q189" s="8"/>
      <c r="R189" s="8"/>
      <c r="S189" s="8"/>
      <c r="T189" s="8"/>
      <c r="U189" s="8"/>
      <c r="V189" s="8"/>
      <c r="W189" s="8"/>
      <c r="X189" s="8"/>
      <c r="Y189" s="8"/>
      <c r="Z189" s="8"/>
      <c r="AA189" s="8"/>
      <c r="AB189" s="8"/>
      <c r="AC189" s="8"/>
    </row>
    <row r="190" spans="1:29" ht="15">
      <c r="A190" s="58"/>
      <c r="B190" s="69">
        <v>158</v>
      </c>
      <c r="C190" s="43" t="s">
        <v>384</v>
      </c>
      <c r="D190" s="69">
        <v>37.428590424095297</v>
      </c>
      <c r="E190" s="43">
        <f t="shared" si="12"/>
        <v>0.7635733553899734</v>
      </c>
      <c r="F190" s="71">
        <f t="shared" si="3"/>
        <v>76.357335538997333</v>
      </c>
      <c r="G190" s="84">
        <f t="shared" si="4"/>
        <v>781.13554256394275</v>
      </c>
      <c r="H190" s="43"/>
      <c r="I190" s="8"/>
      <c r="J190" s="8">
        <f t="shared" si="13"/>
        <v>50040.779845481906</v>
      </c>
      <c r="K190" s="8"/>
      <c r="L190" s="8"/>
      <c r="M190" s="8"/>
      <c r="N190" s="8"/>
      <c r="O190" s="8"/>
      <c r="P190" s="8"/>
      <c r="Q190" s="8"/>
      <c r="R190" s="8"/>
      <c r="S190" s="8"/>
      <c r="T190" s="8"/>
      <c r="U190" s="8"/>
      <c r="V190" s="8"/>
      <c r="W190" s="8"/>
      <c r="X190" s="8"/>
      <c r="Y190" s="8"/>
      <c r="Z190" s="8"/>
      <c r="AA190" s="8"/>
      <c r="AB190" s="8"/>
      <c r="AC190" s="8"/>
    </row>
    <row r="191" spans="1:29" ht="15">
      <c r="A191" s="58"/>
      <c r="B191" s="69">
        <v>159</v>
      </c>
      <c r="C191" s="43" t="s">
        <v>385</v>
      </c>
      <c r="D191" s="69">
        <v>40.1149699566853</v>
      </c>
      <c r="E191" s="43">
        <f t="shared" si="12"/>
        <v>0.7700481047181359</v>
      </c>
      <c r="F191" s="71">
        <f t="shared" si="3"/>
        <v>77.004810471813585</v>
      </c>
      <c r="G191" s="84">
        <f t="shared" si="4"/>
        <v>787.75921112665299</v>
      </c>
      <c r="H191" s="43"/>
      <c r="I191" s="8"/>
      <c r="J191" s="8">
        <f t="shared" si="13"/>
        <v>50465.102542703033</v>
      </c>
      <c r="K191" s="8"/>
      <c r="L191" s="8"/>
      <c r="M191" s="8"/>
      <c r="N191" s="8"/>
      <c r="O191" s="8"/>
      <c r="P191" s="8"/>
      <c r="Q191" s="8"/>
      <c r="R191" s="8"/>
      <c r="S191" s="8"/>
      <c r="T191" s="8"/>
      <c r="U191" s="8"/>
      <c r="V191" s="8"/>
      <c r="W191" s="8"/>
      <c r="X191" s="8"/>
      <c r="Y191" s="8"/>
      <c r="Z191" s="8"/>
      <c r="AA191" s="8"/>
      <c r="AB191" s="8"/>
      <c r="AC191" s="8"/>
    </row>
    <row r="192" spans="1:29" ht="15">
      <c r="A192" s="58"/>
      <c r="B192" s="69">
        <v>160</v>
      </c>
      <c r="C192" s="43" t="s">
        <v>386</v>
      </c>
      <c r="D192" s="69">
        <v>42.994160250016002</v>
      </c>
      <c r="E192" s="43">
        <f t="shared" si="12"/>
        <v>0.77652317477315014</v>
      </c>
      <c r="F192" s="71">
        <f t="shared" si="3"/>
        <v>77.652317477315009</v>
      </c>
      <c r="G192" s="84">
        <f t="shared" si="4"/>
        <v>794.38320779293258</v>
      </c>
      <c r="H192" s="43"/>
      <c r="I192" s="8"/>
      <c r="J192" s="8">
        <f t="shared" si="13"/>
        <v>50889.446258758391</v>
      </c>
      <c r="K192" s="8"/>
      <c r="L192" s="8"/>
      <c r="M192" s="8"/>
      <c r="N192" s="8"/>
      <c r="O192" s="8"/>
      <c r="P192" s="8"/>
      <c r="Q192" s="8"/>
      <c r="R192" s="8"/>
      <c r="S192" s="8"/>
      <c r="T192" s="8"/>
      <c r="U192" s="8"/>
      <c r="V192" s="8"/>
      <c r="W192" s="8"/>
      <c r="X192" s="8"/>
      <c r="Y192" s="8"/>
      <c r="Z192" s="8"/>
      <c r="AA192" s="8"/>
      <c r="AB192" s="8"/>
      <c r="AC192" s="8"/>
    </row>
    <row r="193" spans="1:29" ht="15">
      <c r="A193" s="58"/>
      <c r="B193" s="69">
        <v>161</v>
      </c>
      <c r="C193" s="43" t="s">
        <v>387</v>
      </c>
      <c r="D193" s="69">
        <v>46.08</v>
      </c>
      <c r="E193" s="43">
        <f t="shared" si="12"/>
        <v>0.78299854410556502</v>
      </c>
      <c r="F193" s="71">
        <f t="shared" si="3"/>
        <v>78.299854410556506</v>
      </c>
      <c r="G193" s="84">
        <f t="shared" si="4"/>
        <v>801.00751061999301</v>
      </c>
      <c r="H193" s="43"/>
      <c r="I193" s="8"/>
      <c r="J193" s="8">
        <f t="shared" si="13"/>
        <v>51313.809587958203</v>
      </c>
      <c r="K193" s="8"/>
      <c r="L193" s="8"/>
      <c r="M193" s="8"/>
      <c r="N193" s="8"/>
      <c r="O193" s="8"/>
      <c r="P193" s="8"/>
      <c r="Q193" s="8"/>
      <c r="R193" s="8"/>
      <c r="S193" s="8"/>
      <c r="T193" s="8"/>
      <c r="U193" s="8"/>
      <c r="V193" s="8"/>
      <c r="W193" s="8"/>
      <c r="X193" s="8"/>
      <c r="Y193" s="8"/>
      <c r="Z193" s="8"/>
      <c r="AA193" s="8"/>
      <c r="AB193" s="8"/>
      <c r="AC193" s="8"/>
    </row>
    <row r="194" spans="1:29" ht="15">
      <c r="A194" s="8"/>
      <c r="B194" s="69">
        <v>162</v>
      </c>
      <c r="C194" s="43" t="s">
        <v>388</v>
      </c>
      <c r="D194" s="43">
        <f>0.18*2^8.1</f>
        <v>49.387321153672374</v>
      </c>
      <c r="E194" s="43">
        <f t="shared" si="12"/>
        <v>0.78947419269862729</v>
      </c>
      <c r="F194" s="71">
        <f t="shared" si="3"/>
        <v>78.947419269862735</v>
      </c>
      <c r="G194" s="84">
        <f t="shared" si="4"/>
        <v>807.63209913069568</v>
      </c>
      <c r="H194" s="43"/>
      <c r="I194" s="8"/>
      <c r="J194" s="8">
        <f t="shared" si="13"/>
        <v>51738.191218504537</v>
      </c>
      <c r="K194" s="8"/>
      <c r="L194" s="8"/>
      <c r="M194" s="8"/>
      <c r="N194" s="8"/>
      <c r="O194" s="8"/>
      <c r="P194" s="8"/>
      <c r="Q194" s="8"/>
      <c r="R194" s="8"/>
      <c r="S194" s="8"/>
      <c r="T194" s="8"/>
      <c r="U194" s="8"/>
      <c r="V194" s="8"/>
      <c r="W194" s="8"/>
      <c r="X194" s="8"/>
      <c r="Y194" s="8"/>
      <c r="Z194" s="8"/>
      <c r="AA194" s="8"/>
      <c r="AB194" s="8"/>
      <c r="AC194" s="8"/>
    </row>
    <row r="195" spans="1:29" ht="15">
      <c r="A195" s="8"/>
      <c r="B195" s="69">
        <v>163</v>
      </c>
      <c r="C195" s="43" t="s">
        <v>389</v>
      </c>
      <c r="D195" s="43">
        <f>0.18*2^8.2</f>
        <v>52.932020198263317</v>
      </c>
      <c r="E195" s="43">
        <f t="shared" si="12"/>
        <v>0.79595010187281834</v>
      </c>
      <c r="F195" s="71">
        <f t="shared" si="3"/>
        <v>79.595010187281829</v>
      </c>
      <c r="G195" s="84">
        <f t="shared" si="4"/>
        <v>814.25695421589319</v>
      </c>
      <c r="H195" s="43"/>
      <c r="I195" s="8"/>
      <c r="J195" s="8">
        <f t="shared" si="13"/>
        <v>52162.589926235152</v>
      </c>
      <c r="K195" s="8"/>
      <c r="L195" s="8"/>
      <c r="M195" s="8"/>
      <c r="N195" s="8"/>
      <c r="O195" s="8"/>
      <c r="P195" s="8"/>
      <c r="Q195" s="8"/>
      <c r="R195" s="8"/>
      <c r="S195" s="8"/>
      <c r="T195" s="8"/>
      <c r="U195" s="8"/>
      <c r="V195" s="8"/>
      <c r="W195" s="8"/>
      <c r="X195" s="8"/>
      <c r="Y195" s="8"/>
      <c r="Z195" s="8"/>
      <c r="AA195" s="8"/>
      <c r="AB195" s="8"/>
      <c r="AC195" s="8"/>
    </row>
    <row r="196" spans="1:29" ht="15">
      <c r="A196" s="8"/>
      <c r="B196" s="69">
        <v>164</v>
      </c>
      <c r="C196" s="43" t="s">
        <v>390</v>
      </c>
      <c r="D196" s="43">
        <f>0.18*2^8.3</f>
        <v>56.731134566933783</v>
      </c>
      <c r="E196" s="43">
        <f t="shared" si="12"/>
        <v>0.80242625419671965</v>
      </c>
      <c r="F196" s="71">
        <f t="shared" si="3"/>
        <v>80.242625419671967</v>
      </c>
      <c r="G196" s="84">
        <f t="shared" si="4"/>
        <v>820.88205804324423</v>
      </c>
      <c r="H196" s="43"/>
      <c r="I196" s="8"/>
      <c r="J196" s="8">
        <f t="shared" si="13"/>
        <v>52587.004568782024</v>
      </c>
      <c r="K196" s="8"/>
      <c r="L196" s="8"/>
      <c r="M196" s="8"/>
      <c r="N196" s="8"/>
      <c r="O196" s="8"/>
      <c r="P196" s="8"/>
      <c r="Q196" s="8"/>
      <c r="R196" s="8"/>
      <c r="S196" s="8"/>
      <c r="T196" s="8"/>
      <c r="U196" s="8"/>
      <c r="V196" s="8"/>
      <c r="W196" s="8"/>
      <c r="X196" s="8"/>
      <c r="Y196" s="8"/>
      <c r="Z196" s="8"/>
      <c r="AA196" s="8"/>
      <c r="AB196" s="8"/>
      <c r="AC196" s="8"/>
    </row>
    <row r="197" spans="1:29" ht="15">
      <c r="A197" s="8"/>
      <c r="B197" s="69">
        <v>165</v>
      </c>
      <c r="C197" s="43" t="s">
        <v>391</v>
      </c>
      <c r="D197" s="43">
        <f>0.18*2^8.4</f>
        <v>60.802924528414955</v>
      </c>
      <c r="E197" s="43">
        <f t="shared" si="12"/>
        <v>0.8089026334037952</v>
      </c>
      <c r="F197" s="71">
        <f t="shared" si="3"/>
        <v>80.890263340379519</v>
      </c>
      <c r="G197" s="84">
        <f t="shared" si="4"/>
        <v>827.50739397208247</v>
      </c>
      <c r="H197" s="43"/>
      <c r="I197" s="8"/>
      <c r="J197" s="8">
        <f t="shared" si="13"/>
        <v>53011.434080117717</v>
      </c>
      <c r="K197" s="8"/>
      <c r="L197" s="8"/>
      <c r="M197" s="8"/>
      <c r="N197" s="8"/>
      <c r="O197" s="8"/>
      <c r="P197" s="8"/>
      <c r="Q197" s="8"/>
      <c r="R197" s="8"/>
      <c r="S197" s="8"/>
      <c r="T197" s="8"/>
      <c r="U197" s="8"/>
      <c r="V197" s="8"/>
      <c r="W197" s="8"/>
      <c r="X197" s="8"/>
      <c r="Y197" s="8"/>
      <c r="Z197" s="8"/>
      <c r="AA197" s="8"/>
      <c r="AB197" s="8"/>
      <c r="AC197" s="8"/>
    </row>
    <row r="198" spans="1:29" ht="15">
      <c r="A198" s="8"/>
      <c r="B198" s="69">
        <v>166</v>
      </c>
      <c r="C198" s="43" t="s">
        <v>392</v>
      </c>
      <c r="D198" s="43">
        <f>0.18*2^8.5</f>
        <v>65.166960954152216</v>
      </c>
      <c r="E198" s="43">
        <f t="shared" si="12"/>
        <v>0.81537922431470045</v>
      </c>
      <c r="F198" s="71">
        <f t="shared" si="3"/>
        <v>81.537922431470051</v>
      </c>
      <c r="G198" s="84">
        <f t="shared" si="4"/>
        <v>834.13294647393855</v>
      </c>
      <c r="H198" s="43"/>
      <c r="I198" s="8"/>
      <c r="J198" s="8">
        <f t="shared" si="13"/>
        <v>53435.877465463891</v>
      </c>
      <c r="K198" s="8"/>
      <c r="L198" s="8"/>
      <c r="M198" s="8"/>
      <c r="N198" s="8"/>
      <c r="O198" s="8"/>
      <c r="P198" s="8"/>
      <c r="Q198" s="8"/>
      <c r="R198" s="8"/>
      <c r="S198" s="8"/>
      <c r="T198" s="8"/>
      <c r="U198" s="8"/>
      <c r="V198" s="8"/>
      <c r="W198" s="8"/>
      <c r="X198" s="8"/>
      <c r="Y198" s="8"/>
      <c r="Z198" s="8"/>
      <c r="AA198" s="8"/>
      <c r="AB198" s="8"/>
      <c r="AC198" s="8"/>
    </row>
    <row r="199" spans="1:29" ht="15">
      <c r="A199" s="8"/>
      <c r="B199" s="69">
        <v>167</v>
      </c>
      <c r="C199" s="43" t="s">
        <v>393</v>
      </c>
      <c r="D199" s="43">
        <f>0.18*2^8.6</f>
        <v>69.844219384799132</v>
      </c>
      <c r="E199" s="43">
        <f t="shared" si="12"/>
        <v>0.82185601276474907</v>
      </c>
      <c r="F199" s="71">
        <f t="shared" si="3"/>
        <v>82.185601276474912</v>
      </c>
      <c r="G199" s="84">
        <f t="shared" si="4"/>
        <v>840.75870105833826</v>
      </c>
      <c r="H199" s="43"/>
      <c r="I199" s="8"/>
      <c r="J199" s="8">
        <f t="shared" si="13"/>
        <v>53860.33379653783</v>
      </c>
      <c r="K199" s="8"/>
      <c r="L199" s="8"/>
      <c r="M199" s="8"/>
      <c r="N199" s="8"/>
      <c r="O199" s="8"/>
      <c r="P199" s="8"/>
      <c r="Q199" s="8"/>
      <c r="R199" s="8"/>
      <c r="S199" s="8"/>
      <c r="T199" s="8"/>
      <c r="U199" s="8"/>
      <c r="V199" s="8"/>
      <c r="W199" s="8"/>
      <c r="X199" s="8"/>
      <c r="Y199" s="8"/>
      <c r="Z199" s="8"/>
      <c r="AA199" s="8"/>
      <c r="AB199" s="8"/>
      <c r="AC199" s="8"/>
    </row>
    <row r="200" spans="1:29" ht="15">
      <c r="A200" s="8"/>
      <c r="B200" s="69">
        <v>168</v>
      </c>
      <c r="C200" s="43" t="s">
        <v>394</v>
      </c>
      <c r="D200" s="43">
        <f>0.18*2^8.7</f>
        <v>74.85718084819058</v>
      </c>
      <c r="E200" s="43">
        <f t="shared" si="12"/>
        <v>0.82833298553620716</v>
      </c>
      <c r="F200" s="71">
        <f t="shared" si="3"/>
        <v>82.833298553620722</v>
      </c>
      <c r="G200" s="84">
        <f t="shared" si="4"/>
        <v>847.38464420353989</v>
      </c>
      <c r="H200" s="43"/>
      <c r="I200" s="8"/>
      <c r="J200" s="8">
        <f t="shared" si="13"/>
        <v>54284.802207115339</v>
      </c>
      <c r="K200" s="8"/>
      <c r="L200" s="8"/>
      <c r="M200" s="8"/>
      <c r="N200" s="8"/>
      <c r="O200" s="8"/>
      <c r="P200" s="8"/>
      <c r="Q200" s="8"/>
      <c r="R200" s="8"/>
      <c r="S200" s="8"/>
      <c r="T200" s="8"/>
      <c r="U200" s="8"/>
      <c r="V200" s="8"/>
      <c r="W200" s="8"/>
      <c r="X200" s="8"/>
      <c r="Y200" s="8"/>
      <c r="Z200" s="8"/>
      <c r="AA200" s="8"/>
      <c r="AB200" s="8"/>
      <c r="AC200" s="8"/>
    </row>
    <row r="201" spans="1:29" ht="15">
      <c r="A201" s="8"/>
      <c r="B201" s="69">
        <v>169</v>
      </c>
      <c r="C201" s="43" t="s">
        <v>395</v>
      </c>
      <c r="D201" s="43">
        <f>0.18*2^8.8</f>
        <v>80.229939913370785</v>
      </c>
      <c r="E201" s="43">
        <f t="shared" si="12"/>
        <v>0.83481013029508644</v>
      </c>
      <c r="F201" s="71">
        <f t="shared" si="3"/>
        <v>83.481013029508645</v>
      </c>
      <c r="G201" s="84">
        <f t="shared" si="4"/>
        <v>854.01076329187345</v>
      </c>
      <c r="H201" s="43"/>
      <c r="I201" s="8"/>
      <c r="J201" s="8">
        <f t="shared" si="13"/>
        <v>54709.281888888487</v>
      </c>
      <c r="K201" s="8"/>
      <c r="L201" s="8"/>
      <c r="M201" s="8"/>
      <c r="N201" s="8"/>
      <c r="O201" s="8"/>
      <c r="P201" s="8"/>
      <c r="Q201" s="8"/>
      <c r="R201" s="8"/>
      <c r="S201" s="8"/>
      <c r="T201" s="8"/>
      <c r="U201" s="8"/>
      <c r="V201" s="8"/>
      <c r="W201" s="8"/>
      <c r="X201" s="8"/>
      <c r="Y201" s="8"/>
      <c r="Z201" s="8"/>
      <c r="AA201" s="8"/>
      <c r="AB201" s="8"/>
      <c r="AC201" s="8"/>
    </row>
    <row r="202" spans="1:29" ht="15">
      <c r="A202" s="8"/>
      <c r="B202" s="69">
        <v>170</v>
      </c>
      <c r="C202" s="43" t="s">
        <v>396</v>
      </c>
      <c r="D202" s="43">
        <f>0.18*2^8.9</f>
        <v>85.98832050003216</v>
      </c>
      <c r="E202" s="43">
        <f t="shared" si="12"/>
        <v>0.84128743553214402</v>
      </c>
      <c r="F202" s="71">
        <f t="shared" si="3"/>
        <v>84.128743553214406</v>
      </c>
      <c r="G202" s="84">
        <f t="shared" si="4"/>
        <v>860.63704654938329</v>
      </c>
      <c r="H202" s="43"/>
      <c r="I202" s="8"/>
      <c r="J202" s="8">
        <f t="shared" si="13"/>
        <v>55133.772087599056</v>
      </c>
      <c r="K202" s="8"/>
      <c r="L202" s="8"/>
      <c r="M202" s="8"/>
      <c r="N202" s="8"/>
      <c r="O202" s="8"/>
      <c r="P202" s="8"/>
      <c r="Q202" s="8"/>
      <c r="R202" s="8"/>
      <c r="S202" s="8"/>
      <c r="T202" s="8"/>
      <c r="U202" s="8"/>
      <c r="V202" s="8"/>
      <c r="W202" s="8"/>
      <c r="X202" s="8"/>
      <c r="Y202" s="8"/>
      <c r="Z202" s="8"/>
      <c r="AA202" s="8"/>
      <c r="AB202" s="8"/>
      <c r="AC202" s="8"/>
    </row>
    <row r="203" spans="1:29" ht="15">
      <c r="A203" s="8"/>
      <c r="B203" s="69">
        <v>171</v>
      </c>
      <c r="C203" s="43" t="s">
        <v>397</v>
      </c>
      <c r="D203" s="43">
        <f>0.18*2^9</f>
        <v>92.16</v>
      </c>
      <c r="E203" s="43">
        <f t="shared" si="12"/>
        <v>0.84776489050781045</v>
      </c>
      <c r="F203" s="71">
        <f t="shared" si="3"/>
        <v>84.776489050781052</v>
      </c>
      <c r="G203" s="84">
        <f t="shared" si="4"/>
        <v>867.26348298949006</v>
      </c>
      <c r="H203" s="43"/>
      <c r="I203" s="8"/>
      <c r="J203" s="8">
        <f t="shared" si="13"/>
        <v>55558.272099429356</v>
      </c>
      <c r="K203" s="8"/>
      <c r="L203" s="8"/>
      <c r="M203" s="8"/>
      <c r="N203" s="8"/>
      <c r="O203" s="8"/>
      <c r="P203" s="8"/>
      <c r="Q203" s="8"/>
      <c r="R203" s="8"/>
      <c r="S203" s="8"/>
      <c r="T203" s="8"/>
      <c r="U203" s="8"/>
      <c r="V203" s="8"/>
      <c r="W203" s="8"/>
      <c r="X203" s="8"/>
      <c r="Y203" s="8"/>
      <c r="Z203" s="8"/>
      <c r="AA203" s="8"/>
      <c r="AB203" s="8"/>
      <c r="AC203" s="8"/>
    </row>
    <row r="204" spans="1:29" ht="15">
      <c r="A204" s="8"/>
      <c r="C204" s="133" t="s">
        <v>546</v>
      </c>
      <c r="D204" s="43">
        <f>0.18*2^9.1</f>
        <v>98.774642307344777</v>
      </c>
      <c r="E204" s="43">
        <f t="shared" si="12"/>
        <v>0.85424248520078461</v>
      </c>
      <c r="F204" s="71">
        <f t="shared" ref="F204:F226" si="14">E204*100</f>
        <v>85.424248520078464</v>
      </c>
      <c r="G204" s="84">
        <f t="shared" ref="G204:G226" si="15">E204*1023</f>
        <v>873.89006236040268</v>
      </c>
      <c r="J204" s="8">
        <f t="shared" si="13"/>
        <v>55982.781267633422</v>
      </c>
      <c r="K204" s="8"/>
      <c r="L204" s="8"/>
      <c r="M204" s="8"/>
      <c r="N204" s="8"/>
      <c r="O204" s="8"/>
      <c r="P204" s="8"/>
      <c r="Q204" s="8"/>
      <c r="R204" s="8"/>
      <c r="S204" s="8"/>
      <c r="T204" s="8"/>
      <c r="U204" s="8"/>
      <c r="V204" s="8"/>
      <c r="W204" s="8"/>
      <c r="X204" s="8"/>
      <c r="Y204" s="8"/>
      <c r="Z204" s="8"/>
      <c r="AA204" s="8"/>
      <c r="AB204" s="8"/>
      <c r="AC204" s="8"/>
    </row>
    <row r="205" spans="1:29" ht="15">
      <c r="A205" s="8"/>
      <c r="C205" s="133" t="s">
        <v>547</v>
      </c>
      <c r="D205" s="43">
        <f>0.18*2^9.2</f>
        <v>105.86404039652665</v>
      </c>
      <c r="E205" s="43">
        <f t="shared" si="12"/>
        <v>0.8607202102600543</v>
      </c>
      <c r="F205" s="71">
        <f t="shared" si="14"/>
        <v>86.07202102600543</v>
      </c>
      <c r="G205" s="84">
        <f t="shared" si="15"/>
        <v>880.51677509603553</v>
      </c>
      <c r="J205" s="8">
        <f t="shared" si="13"/>
        <v>56407.298979392661</v>
      </c>
      <c r="K205" s="8"/>
      <c r="L205" s="8"/>
      <c r="M205" s="8"/>
      <c r="N205" s="8"/>
      <c r="O205" s="8"/>
      <c r="P205" s="8"/>
      <c r="Q205" s="8"/>
      <c r="R205" s="8"/>
      <c r="S205" s="8"/>
      <c r="T205" s="8"/>
      <c r="U205" s="8"/>
      <c r="V205" s="8"/>
      <c r="W205" s="8"/>
      <c r="X205" s="8"/>
      <c r="Y205" s="8"/>
      <c r="Z205" s="8"/>
      <c r="AA205" s="8"/>
      <c r="AB205" s="8"/>
      <c r="AC205" s="8"/>
    </row>
    <row r="206" spans="1:29" ht="15">
      <c r="A206" s="8"/>
      <c r="C206" s="133" t="s">
        <v>548</v>
      </c>
      <c r="D206" s="43">
        <f>0.18*2^9.3</f>
        <v>113.46226913386747</v>
      </c>
      <c r="E206" s="43">
        <f t="shared" si="12"/>
        <v>0.86719805696011287</v>
      </c>
      <c r="F206" s="71">
        <f t="shared" si="14"/>
        <v>86.719805696011292</v>
      </c>
      <c r="G206" s="84">
        <f t="shared" si="15"/>
        <v>887.14361227019549</v>
      </c>
      <c r="J206" s="8">
        <f t="shared" si="13"/>
        <v>56831.824662880994</v>
      </c>
      <c r="K206" s="8"/>
      <c r="L206" s="8"/>
      <c r="M206" s="8"/>
      <c r="N206" s="8"/>
      <c r="O206" s="8"/>
      <c r="P206" s="8"/>
      <c r="Q206" s="8"/>
      <c r="R206" s="8"/>
      <c r="S206" s="8"/>
      <c r="T206" s="8"/>
      <c r="U206" s="8"/>
      <c r="V206" s="8"/>
      <c r="W206" s="8"/>
      <c r="X206" s="8"/>
      <c r="Y206" s="8"/>
      <c r="Z206" s="8"/>
      <c r="AA206" s="8"/>
      <c r="AB206" s="8"/>
      <c r="AC206" s="8"/>
    </row>
    <row r="207" spans="1:29" ht="15">
      <c r="A207" s="8"/>
      <c r="C207" s="133" t="s">
        <v>549</v>
      </c>
      <c r="D207" s="43">
        <f>0.18*2^9.4</f>
        <v>121.60584905682992</v>
      </c>
      <c r="E207" s="43">
        <f t="shared" ref="E207:E211" si="16">(LOG(((2^18-16)/117.45)*D207+64,2)-6)/14*(928/1023)+(95/1023)</f>
        <v>0.87367601715916188</v>
      </c>
      <c r="F207" s="71">
        <f t="shared" si="14"/>
        <v>87.367601715916194</v>
      </c>
      <c r="G207" s="84">
        <f t="shared" si="15"/>
        <v>893.77056555382262</v>
      </c>
      <c r="J207" s="8">
        <f t="shared" si="13"/>
        <v>57256.357784525673</v>
      </c>
      <c r="K207" s="8"/>
      <c r="L207" s="8"/>
      <c r="M207" s="8"/>
      <c r="N207" s="8"/>
      <c r="O207" s="8"/>
      <c r="P207" s="8"/>
      <c r="Q207" s="8"/>
      <c r="R207" s="8"/>
      <c r="S207" s="8"/>
      <c r="T207" s="8"/>
      <c r="U207" s="8"/>
      <c r="V207" s="8"/>
      <c r="W207" s="8"/>
      <c r="X207" s="8"/>
      <c r="Y207" s="8"/>
      <c r="Z207" s="8"/>
      <c r="AA207" s="8"/>
      <c r="AB207" s="8"/>
      <c r="AC207" s="8"/>
    </row>
    <row r="208" spans="1:29" ht="15">
      <c r="A208" s="8"/>
      <c r="C208" s="133" t="s">
        <v>550</v>
      </c>
      <c r="D208" s="43">
        <f>0.18*2^9.5</f>
        <v>130.33392190830443</v>
      </c>
      <c r="E208" s="43">
        <f t="shared" si="16"/>
        <v>0.88015408326010203</v>
      </c>
      <c r="F208" s="71">
        <f t="shared" si="14"/>
        <v>88.015408326010203</v>
      </c>
      <c r="G208" s="84">
        <f t="shared" si="15"/>
        <v>900.39762717508438</v>
      </c>
      <c r="J208" s="8">
        <f t="shared" si="13"/>
        <v>57680.897846450789</v>
      </c>
      <c r="K208" s="8"/>
      <c r="L208" s="8"/>
      <c r="M208" s="8"/>
      <c r="N208" s="8"/>
      <c r="O208" s="8"/>
      <c r="P208" s="8"/>
      <c r="Q208" s="8"/>
      <c r="R208" s="8"/>
      <c r="S208" s="8"/>
      <c r="T208" s="8"/>
      <c r="U208" s="8"/>
      <c r="V208" s="8"/>
      <c r="W208" s="8"/>
      <c r="X208" s="8"/>
      <c r="Y208" s="8"/>
      <c r="Z208" s="8"/>
      <c r="AA208" s="8"/>
      <c r="AB208" s="8"/>
      <c r="AC208" s="8"/>
    </row>
    <row r="209" spans="1:29" ht="15">
      <c r="A209" s="8"/>
      <c r="C209" s="133" t="s">
        <v>551</v>
      </c>
      <c r="D209" s="43">
        <f>0.18*2^9.6</f>
        <v>139.68843876959826</v>
      </c>
      <c r="E209" s="43">
        <f t="shared" si="16"/>
        <v>0.88663224817412367</v>
      </c>
      <c r="F209" s="71">
        <f t="shared" si="14"/>
        <v>88.66322481741237</v>
      </c>
      <c r="G209" s="84">
        <f t="shared" si="15"/>
        <v>907.02478988212852</v>
      </c>
      <c r="J209" s="8">
        <f t="shared" si="13"/>
        <v>58105.444384091192</v>
      </c>
      <c r="K209" s="8"/>
      <c r="L209" s="8"/>
      <c r="M209" s="8"/>
      <c r="N209" s="8"/>
      <c r="O209" s="8"/>
      <c r="P209" s="8"/>
      <c r="Q209" s="8"/>
      <c r="R209" s="8"/>
      <c r="S209" s="8"/>
      <c r="T209" s="8"/>
      <c r="U209" s="8"/>
      <c r="V209" s="8"/>
      <c r="W209" s="8"/>
      <c r="X209" s="8"/>
      <c r="Y209" s="8"/>
      <c r="Z209" s="8"/>
      <c r="AA209" s="8"/>
      <c r="AB209" s="8"/>
      <c r="AC209" s="8"/>
    </row>
    <row r="210" spans="1:29" ht="15">
      <c r="A210" s="8"/>
      <c r="C210" s="133" t="s">
        <v>552</v>
      </c>
      <c r="D210" s="43">
        <f>0.18*2^9.7</f>
        <v>149.71436169638119</v>
      </c>
      <c r="E210" s="43">
        <f t="shared" si="16"/>
        <v>0.89311050528673042</v>
      </c>
      <c r="F210" s="71">
        <f t="shared" si="14"/>
        <v>89.311050528673036</v>
      </c>
      <c r="G210" s="84">
        <f t="shared" si="15"/>
        <v>913.65204690832525</v>
      </c>
      <c r="J210" s="8">
        <f t="shared" si="13"/>
        <v>58529.996963965881</v>
      </c>
      <c r="K210" s="8"/>
      <c r="L210" s="8"/>
      <c r="M210" s="8"/>
      <c r="N210" s="8"/>
      <c r="O210" s="8"/>
      <c r="P210" s="8"/>
      <c r="Q210" s="8"/>
      <c r="R210" s="8"/>
      <c r="S210" s="8"/>
      <c r="T210" s="8"/>
      <c r="U210" s="8"/>
      <c r="V210" s="8"/>
      <c r="W210" s="8"/>
      <c r="X210" s="8"/>
      <c r="Y210" s="8"/>
      <c r="Z210" s="8"/>
      <c r="AA210" s="8"/>
      <c r="AB210" s="8"/>
      <c r="AC210" s="8"/>
    </row>
    <row r="211" spans="1:29" ht="15">
      <c r="A211" s="8"/>
      <c r="C211" s="133" t="s">
        <v>553</v>
      </c>
      <c r="D211" s="43">
        <f>0.18*2^9.8</f>
        <v>160.4598798267416</v>
      </c>
      <c r="E211" s="43">
        <f t="shared" si="16"/>
        <v>0.89958884842602627</v>
      </c>
      <c r="F211" s="71">
        <f t="shared" si="14"/>
        <v>89.958884842602629</v>
      </c>
      <c r="G211" s="84">
        <f t="shared" si="15"/>
        <v>920.2793919398249</v>
      </c>
      <c r="J211" s="8">
        <f t="shared" si="13"/>
        <v>58954.55518159963</v>
      </c>
      <c r="K211" s="8"/>
      <c r="L211" s="8"/>
      <c r="M211" s="8"/>
      <c r="N211" s="8"/>
      <c r="O211" s="8"/>
      <c r="P211" s="8"/>
      <c r="Q211" s="8"/>
      <c r="R211" s="8"/>
      <c r="S211" s="8"/>
      <c r="T211" s="8"/>
      <c r="U211" s="8"/>
      <c r="V211" s="8"/>
      <c r="W211" s="8"/>
      <c r="X211" s="8"/>
      <c r="Y211" s="8"/>
      <c r="Z211" s="8"/>
      <c r="AA211" s="8"/>
      <c r="AB211" s="8"/>
      <c r="AC211" s="8"/>
    </row>
    <row r="212" spans="1:29" ht="15">
      <c r="A212" s="8"/>
      <c r="C212" s="133" t="s">
        <v>554</v>
      </c>
      <c r="D212" s="43">
        <f>0.18*2^9.9</f>
        <v>171.97664100006435</v>
      </c>
      <c r="E212" s="43">
        <f t="shared" ref="E192:E212" si="17">(LOG(((2^18-16)/117.45)*D212+64,2)-6)/14*(928/1023)+(95/1023)</f>
        <v>0.90606727183312252</v>
      </c>
      <c r="F212" s="71">
        <f t="shared" si="14"/>
        <v>90.606727183312259</v>
      </c>
      <c r="G212" s="84">
        <f t="shared" si="15"/>
        <v>926.90681908528438</v>
      </c>
      <c r="J212" s="8">
        <f t="shared" si="13"/>
        <v>59379.118659583684</v>
      </c>
      <c r="K212" s="8"/>
      <c r="L212" s="8"/>
      <c r="M212" s="8"/>
      <c r="N212" s="8"/>
      <c r="O212" s="8"/>
      <c r="P212" s="8"/>
      <c r="Q212" s="8"/>
      <c r="R212" s="8"/>
      <c r="S212" s="8"/>
      <c r="T212" s="8"/>
      <c r="U212" s="8"/>
      <c r="V212" s="8"/>
      <c r="W212" s="8"/>
      <c r="X212" s="8"/>
      <c r="Y212" s="8"/>
      <c r="Z212" s="8"/>
      <c r="AA212" s="8"/>
      <c r="AB212" s="8"/>
      <c r="AC212" s="8"/>
    </row>
    <row r="213" spans="1:29" ht="15">
      <c r="A213" s="8"/>
      <c r="C213" s="133" t="s">
        <v>555</v>
      </c>
      <c r="D213" s="43">
        <f>0.18*2^10</f>
        <v>184.32</v>
      </c>
      <c r="E213" s="43">
        <f t="shared" ref="E213:E227" si="18">(LOG(((2^18-16)/117.45)*D213+64,2)-6)/14*(928/1023)+(95/1023)</f>
        <v>0.91254577013451876</v>
      </c>
      <c r="F213" s="71">
        <f t="shared" si="14"/>
        <v>91.254577013451879</v>
      </c>
      <c r="G213" s="84">
        <f t="shared" si="15"/>
        <v>933.53432284761266</v>
      </c>
      <c r="J213" s="8">
        <f t="shared" si="13"/>
        <v>59803.687045765684</v>
      </c>
      <c r="K213" s="8"/>
      <c r="L213" s="8"/>
      <c r="M213" s="8"/>
      <c r="N213" s="8"/>
      <c r="O213" s="8"/>
      <c r="P213" s="8"/>
      <c r="Q213" s="8"/>
      <c r="R213" s="8"/>
      <c r="S213" s="8"/>
      <c r="T213" s="8"/>
      <c r="U213" s="8"/>
      <c r="V213" s="8"/>
      <c r="W213" s="8"/>
      <c r="X213" s="8"/>
      <c r="Y213" s="8"/>
      <c r="Z213" s="8"/>
      <c r="AA213" s="8"/>
      <c r="AB213" s="8"/>
      <c r="AC213" s="8"/>
    </row>
    <row r="214" spans="1:29" ht="15">
      <c r="A214" s="8"/>
      <c r="C214" s="133" t="s">
        <v>556</v>
      </c>
      <c r="D214" s="43">
        <f>0.18*2^10.1</f>
        <v>197.54928461468938</v>
      </c>
      <c r="E214" s="43">
        <f t="shared" si="18"/>
        <v>0.91902433831633057</v>
      </c>
      <c r="F214" s="71">
        <f t="shared" si="14"/>
        <v>91.902433831633061</v>
      </c>
      <c r="G214" s="84">
        <f t="shared" si="15"/>
        <v>940.16189809760613</v>
      </c>
      <c r="J214" s="8">
        <f t="shared" si="13"/>
        <v>60228.260011560727</v>
      </c>
      <c r="K214" s="8"/>
      <c r="L214" s="8"/>
      <c r="M214" s="8"/>
      <c r="N214" s="8"/>
      <c r="O214" s="8"/>
      <c r="P214" s="8"/>
      <c r="Q214" s="8"/>
      <c r="R214" s="8"/>
      <c r="S214" s="8"/>
      <c r="T214" s="8"/>
      <c r="U214" s="8"/>
      <c r="V214" s="8"/>
      <c r="W214" s="8"/>
      <c r="X214" s="8"/>
      <c r="Y214" s="8"/>
      <c r="Z214" s="8"/>
      <c r="AA214" s="8"/>
      <c r="AB214" s="8"/>
      <c r="AC214" s="8"/>
    </row>
    <row r="215" spans="1:29" ht="15">
      <c r="A215" s="8"/>
      <c r="C215" s="134" t="s">
        <v>557</v>
      </c>
      <c r="D215" s="43">
        <f>0.18*2^10.2</f>
        <v>211.72808079305329</v>
      </c>
      <c r="E215" s="43">
        <f t="shared" si="18"/>
        <v>0.9255029717002351</v>
      </c>
      <c r="F215" s="71">
        <f t="shared" si="14"/>
        <v>92.550297170023512</v>
      </c>
      <c r="G215" s="84">
        <f t="shared" si="15"/>
        <v>946.78954004934053</v>
      </c>
      <c r="J215" s="8">
        <f t="shared" si="13"/>
        <v>60652.837250374905</v>
      </c>
      <c r="K215" s="8"/>
      <c r="L215" s="8"/>
      <c r="M215" s="8"/>
      <c r="N215" s="8"/>
      <c r="O215" s="8"/>
      <c r="P215" s="8"/>
      <c r="Q215" s="8"/>
      <c r="R215" s="8"/>
      <c r="S215" s="8"/>
      <c r="T215" s="8"/>
      <c r="U215" s="8"/>
      <c r="V215" s="8"/>
      <c r="W215" s="8"/>
      <c r="X215" s="8"/>
      <c r="Y215" s="8"/>
      <c r="Z215" s="8"/>
      <c r="AA215" s="8"/>
      <c r="AB215" s="8"/>
      <c r="AC215" s="8"/>
    </row>
    <row r="216" spans="1:29" ht="15">
      <c r="A216" s="8"/>
      <c r="C216" s="133" t="s">
        <v>558</v>
      </c>
      <c r="D216" s="43">
        <f>0.18*2^10.3</f>
        <v>226.92453826773496</v>
      </c>
      <c r="E216" s="43">
        <f t="shared" si="18"/>
        <v>0.93198166592102771</v>
      </c>
      <c r="F216" s="71">
        <f t="shared" si="14"/>
        <v>93.198166592102766</v>
      </c>
      <c r="G216" s="84">
        <f t="shared" si="15"/>
        <v>953.41724423721132</v>
      </c>
      <c r="J216" s="8">
        <f t="shared" si="13"/>
        <v>61077.418476134553</v>
      </c>
      <c r="K216" s="8"/>
      <c r="L216" s="8"/>
      <c r="M216" s="8"/>
      <c r="N216" s="8"/>
      <c r="O216" s="8"/>
      <c r="P216" s="8"/>
      <c r="Q216" s="8"/>
      <c r="R216" s="8"/>
      <c r="S216" s="8"/>
      <c r="T216" s="8"/>
      <c r="U216" s="8"/>
      <c r="V216" s="8"/>
      <c r="W216" s="8"/>
      <c r="X216" s="8"/>
      <c r="Y216" s="8"/>
      <c r="Z216" s="8"/>
      <c r="AA216" s="8"/>
      <c r="AB216" s="8"/>
      <c r="AC216" s="8"/>
    </row>
    <row r="217" spans="1:29" ht="15">
      <c r="A217" s="8"/>
      <c r="C217" s="133" t="s">
        <v>559</v>
      </c>
      <c r="D217" s="43">
        <f>0.18*2^10.4</f>
        <v>243.21169811365985</v>
      </c>
      <c r="E217" s="43">
        <f t="shared" si="18"/>
        <v>0.9384604169056745</v>
      </c>
      <c r="F217" s="71">
        <f t="shared" si="14"/>
        <v>93.846041690567446</v>
      </c>
      <c r="G217" s="84">
        <f t="shared" si="15"/>
        <v>960.04500649450506</v>
      </c>
      <c r="J217" s="8">
        <f t="shared" si="13"/>
        <v>61502.003421913381</v>
      </c>
      <c r="K217" s="8"/>
      <c r="L217" s="8"/>
      <c r="M217" s="8"/>
      <c r="N217" s="8"/>
      <c r="O217" s="8"/>
      <c r="P217" s="8"/>
      <c r="Q217" s="8"/>
      <c r="R217" s="8"/>
      <c r="S217" s="8"/>
      <c r="T217" s="8"/>
      <c r="U217" s="8"/>
      <c r="V217" s="8"/>
      <c r="W217" s="8"/>
      <c r="X217" s="8"/>
      <c r="Y217" s="8"/>
      <c r="Z217" s="8"/>
      <c r="AA217" s="8"/>
      <c r="AB217" s="8"/>
      <c r="AC217" s="8"/>
    </row>
    <row r="218" spans="1:29" ht="15">
      <c r="A218" s="8"/>
      <c r="C218" s="134" t="s">
        <v>560</v>
      </c>
      <c r="D218" s="43">
        <f>0.18*2^10.5</f>
        <v>260.66784381660887</v>
      </c>
      <c r="E218" s="43">
        <f t="shared" si="18"/>
        <v>0.94493922085376769</v>
      </c>
      <c r="F218" s="71">
        <f t="shared" si="14"/>
        <v>94.493922085376767</v>
      </c>
      <c r="G218" s="84">
        <f t="shared" si="15"/>
        <v>966.6728229334044</v>
      </c>
      <c r="J218" s="8">
        <f t="shared" si="13"/>
        <v>61926.591838651664</v>
      </c>
      <c r="K218" s="8"/>
      <c r="L218" s="8"/>
      <c r="M218" s="8"/>
      <c r="N218" s="8"/>
      <c r="O218" s="8"/>
      <c r="P218" s="8"/>
      <c r="Q218" s="8"/>
      <c r="R218" s="8"/>
      <c r="S218" s="8"/>
      <c r="T218" s="8"/>
      <c r="U218" s="8"/>
      <c r="V218" s="8"/>
      <c r="W218" s="8"/>
      <c r="X218" s="8"/>
      <c r="Y218" s="8"/>
      <c r="Z218" s="8"/>
      <c r="AA218" s="8"/>
      <c r="AB218" s="8"/>
      <c r="AC218" s="8"/>
    </row>
    <row r="219" spans="1:29" ht="15">
      <c r="A219" s="8"/>
      <c r="C219" s="133" t="s">
        <v>759</v>
      </c>
      <c r="D219" s="43">
        <f>0.18*2^10.6</f>
        <v>279.37687753919636</v>
      </c>
      <c r="E219" s="43">
        <f t="shared" si="18"/>
        <v>0.95141807421928415</v>
      </c>
      <c r="F219" s="71">
        <f t="shared" si="14"/>
        <v>95.141807421928419</v>
      </c>
      <c r="G219" s="84">
        <f t="shared" si="15"/>
        <v>973.30068992632766</v>
      </c>
      <c r="J219" s="8">
        <f t="shared" si="13"/>
        <v>62351.183493960787</v>
      </c>
      <c r="K219" s="8"/>
      <c r="L219" s="8"/>
      <c r="M219" s="8"/>
      <c r="N219" s="8"/>
      <c r="O219" s="8"/>
      <c r="P219" s="8"/>
      <c r="Q219" s="8"/>
      <c r="R219" s="8"/>
      <c r="S219" s="8"/>
      <c r="T219" s="8"/>
      <c r="U219" s="8"/>
      <c r="V219" s="8"/>
      <c r="W219" s="8"/>
      <c r="X219" s="8"/>
      <c r="Y219" s="8"/>
      <c r="Z219" s="8"/>
      <c r="AA219" s="8"/>
      <c r="AB219" s="8"/>
      <c r="AC219" s="8"/>
    </row>
    <row r="220" spans="1:29" ht="15">
      <c r="A220" s="8"/>
      <c r="B220" s="8"/>
      <c r="C220" s="133" t="s">
        <v>760</v>
      </c>
      <c r="D220" s="43">
        <f>0.18*2^10.7</f>
        <v>299.42872339276238</v>
      </c>
      <c r="E220" s="43">
        <f t="shared" si="18"/>
        <v>0.95789697369356774</v>
      </c>
      <c r="F220" s="71">
        <f t="shared" si="14"/>
        <v>95.789697369356773</v>
      </c>
      <c r="G220" s="84">
        <f t="shared" si="15"/>
        <v>979.92860408851982</v>
      </c>
      <c r="H220" s="8"/>
      <c r="I220" s="8"/>
      <c r="J220" s="8">
        <f t="shared" si="13"/>
        <v>62775.778171007965</v>
      </c>
      <c r="K220" s="8"/>
      <c r="L220" s="8"/>
      <c r="M220" s="8"/>
      <c r="N220" s="8"/>
      <c r="O220" s="8"/>
      <c r="P220" s="8"/>
      <c r="Q220" s="8"/>
      <c r="R220" s="8"/>
      <c r="S220" s="8"/>
      <c r="T220" s="8"/>
      <c r="U220" s="8"/>
      <c r="V220" s="8"/>
      <c r="W220" s="8"/>
      <c r="X220" s="8"/>
      <c r="Y220" s="8"/>
      <c r="Z220" s="8"/>
      <c r="AA220" s="8"/>
      <c r="AB220" s="8"/>
      <c r="AC220" s="8"/>
    </row>
    <row r="221" spans="1:29" ht="15">
      <c r="A221" s="8"/>
      <c r="B221" s="8"/>
      <c r="C221" s="134" t="s">
        <v>761</v>
      </c>
      <c r="D221" s="43">
        <f>0.18*2^10.8</f>
        <v>320.91975965348325</v>
      </c>
      <c r="E221" s="43">
        <f t="shared" si="18"/>
        <v>0.9643759161894444</v>
      </c>
      <c r="F221" s="71">
        <f t="shared" si="14"/>
        <v>96.437591618944438</v>
      </c>
      <c r="G221" s="84">
        <f t="shared" si="15"/>
        <v>986.55656226180167</v>
      </c>
      <c r="H221" s="8"/>
      <c r="I221" s="8"/>
      <c r="J221" s="8">
        <f t="shared" si="13"/>
        <v>63200.375667475237</v>
      </c>
      <c r="K221" s="8"/>
      <c r="L221" s="8"/>
      <c r="M221" s="8"/>
      <c r="N221" s="8"/>
      <c r="O221" s="8"/>
      <c r="P221" s="8"/>
      <c r="Q221" s="8"/>
      <c r="R221" s="8"/>
      <c r="S221" s="8"/>
      <c r="T221" s="8"/>
      <c r="U221" s="8"/>
      <c r="V221" s="8"/>
      <c r="W221" s="8"/>
      <c r="X221" s="8"/>
      <c r="Y221" s="8"/>
      <c r="Z221" s="8"/>
      <c r="AA221" s="8"/>
      <c r="AB221" s="8"/>
      <c r="AC221" s="8"/>
    </row>
    <row r="222" spans="1:29" ht="15">
      <c r="A222" s="8"/>
      <c r="B222" s="8"/>
      <c r="C222" s="133" t="s">
        <v>762</v>
      </c>
      <c r="D222" s="43">
        <f>0.18*2^10.9</f>
        <v>343.9532820001287</v>
      </c>
      <c r="E222" s="43">
        <f t="shared" si="18"/>
        <v>0.97085489882640141</v>
      </c>
      <c r="F222" s="71">
        <f t="shared" si="14"/>
        <v>97.085489882640147</v>
      </c>
      <c r="G222" s="84">
        <f t="shared" si="15"/>
        <v>993.18456149940869</v>
      </c>
      <c r="H222" s="8"/>
      <c r="I222" s="8"/>
      <c r="J222" s="8">
        <f t="shared" si="13"/>
        <v>63624.975794588216</v>
      </c>
      <c r="K222" s="8"/>
      <c r="L222" s="8"/>
      <c r="M222" s="8"/>
      <c r="N222" s="8"/>
      <c r="O222" s="8"/>
      <c r="P222" s="8"/>
      <c r="Q222" s="8"/>
      <c r="R222" s="8"/>
      <c r="S222" s="8"/>
      <c r="T222" s="8"/>
      <c r="U222" s="8"/>
      <c r="V222" s="8"/>
      <c r="W222" s="8"/>
      <c r="X222" s="8"/>
      <c r="Y222" s="8"/>
      <c r="Z222" s="8"/>
      <c r="AA222" s="8"/>
      <c r="AB222" s="8"/>
      <c r="AC222" s="8"/>
    </row>
    <row r="223" spans="1:29" ht="15">
      <c r="A223" s="8"/>
      <c r="B223" s="8"/>
      <c r="C223" s="133" t="s">
        <v>758</v>
      </c>
      <c r="D223" s="43">
        <f>0.18*2^11</f>
        <v>368.64</v>
      </c>
      <c r="E223" s="43">
        <f t="shared" si="18"/>
        <v>0.97733391891676047</v>
      </c>
      <c r="F223" s="71">
        <f t="shared" si="14"/>
        <v>97.73339189167605</v>
      </c>
      <c r="G223" s="84">
        <f t="shared" si="15"/>
        <v>999.81259905184595</v>
      </c>
      <c r="H223" s="8"/>
      <c r="I223" s="8"/>
      <c r="J223" s="8">
        <f t="shared" si="13"/>
        <v>64049.578376209894</v>
      </c>
      <c r="K223" s="8"/>
      <c r="L223" s="8"/>
      <c r="M223" s="8"/>
      <c r="N223" s="8"/>
      <c r="O223" s="8"/>
      <c r="P223" s="8"/>
      <c r="Q223" s="8"/>
      <c r="R223" s="8"/>
      <c r="S223" s="8"/>
      <c r="T223" s="8"/>
      <c r="U223" s="8"/>
      <c r="V223" s="8"/>
      <c r="W223" s="8"/>
      <c r="X223" s="8"/>
      <c r="Y223" s="8"/>
      <c r="Z223" s="8"/>
      <c r="AA223" s="8"/>
      <c r="AB223" s="8"/>
      <c r="AC223" s="8"/>
    </row>
    <row r="224" spans="1:29" ht="15">
      <c r="A224" s="8"/>
      <c r="B224" s="8"/>
      <c r="C224" s="133" t="s">
        <v>763</v>
      </c>
      <c r="D224" s="43">
        <f>0.18*2^11.1</f>
        <v>395.09856922937877</v>
      </c>
      <c r="E224" s="43">
        <f t="shared" si="18"/>
        <v>0.98381297395276879</v>
      </c>
      <c r="F224" s="71">
        <f t="shared" si="14"/>
        <v>98.381297395276874</v>
      </c>
      <c r="G224" s="84">
        <f t="shared" si="15"/>
        <v>1006.4406723536824</v>
      </c>
      <c r="H224" s="8"/>
      <c r="I224" s="8"/>
      <c r="J224" s="8">
        <f t="shared" si="13"/>
        <v>64474.183247994704</v>
      </c>
      <c r="K224" s="8"/>
      <c r="L224" s="8"/>
      <c r="M224" s="8"/>
      <c r="N224" s="8"/>
      <c r="O224" s="8"/>
      <c r="P224" s="8"/>
      <c r="Q224" s="8"/>
      <c r="R224" s="8"/>
      <c r="S224" s="8"/>
      <c r="T224" s="8"/>
      <c r="U224" s="8"/>
      <c r="V224" s="8"/>
      <c r="W224" s="8"/>
      <c r="X224" s="8"/>
      <c r="Y224" s="8"/>
      <c r="Z224" s="8"/>
      <c r="AA224" s="8"/>
      <c r="AB224" s="8"/>
      <c r="AC224" s="8"/>
    </row>
    <row r="225" spans="1:29" ht="15">
      <c r="A225" s="8"/>
      <c r="B225" s="8"/>
      <c r="C225" s="134" t="s">
        <v>764</v>
      </c>
      <c r="D225" s="43">
        <f>0.18*2^11.2</f>
        <v>423.45616158610659</v>
      </c>
      <c r="E225" s="43">
        <f t="shared" si="18"/>
        <v>0.99029206159456185</v>
      </c>
      <c r="F225" s="71">
        <f t="shared" si="14"/>
        <v>99.02920615945618</v>
      </c>
      <c r="G225" s="84">
        <f t="shared" si="15"/>
        <v>1013.0687790112368</v>
      </c>
      <c r="H225" s="8"/>
      <c r="I225" s="8"/>
      <c r="J225" s="8">
        <f t="shared" si="13"/>
        <v>64898.790256599612</v>
      </c>
      <c r="K225" s="8"/>
      <c r="L225" s="8"/>
      <c r="M225" s="8"/>
      <c r="N225" s="8"/>
      <c r="O225" s="8"/>
      <c r="P225" s="8"/>
      <c r="Q225" s="8"/>
      <c r="R225" s="8"/>
      <c r="S225" s="8"/>
      <c r="T225" s="8"/>
      <c r="U225" s="8"/>
      <c r="V225" s="8"/>
      <c r="W225" s="8"/>
      <c r="X225" s="8"/>
      <c r="Y225" s="8"/>
      <c r="Z225" s="8"/>
      <c r="AA225" s="8"/>
      <c r="AB225" s="8"/>
      <c r="AC225" s="8"/>
    </row>
    <row r="226" spans="1:29" ht="15">
      <c r="A226" s="8"/>
      <c r="B226" s="8"/>
      <c r="C226" s="133" t="s">
        <v>765</v>
      </c>
      <c r="D226" s="43">
        <f>0.18*2^11.3</f>
        <v>453.84907653546992</v>
      </c>
      <c r="E226" s="43">
        <f t="shared" si="18"/>
        <v>0.99677117965892315</v>
      </c>
      <c r="F226" s="71">
        <f t="shared" si="14"/>
        <v>99.677117965892307</v>
      </c>
      <c r="G226" s="84">
        <f t="shared" si="15"/>
        <v>1019.6969167910784</v>
      </c>
      <c r="H226" s="8"/>
      <c r="I226" s="8"/>
      <c r="J226" s="8">
        <f t="shared" ref="J226:J227" si="19">E226*(2^16-1)</f>
        <v>65323.399258947531</v>
      </c>
      <c r="K226" s="8"/>
      <c r="L226" s="8"/>
      <c r="M226" s="8"/>
      <c r="N226" s="8"/>
      <c r="O226" s="8"/>
      <c r="P226" s="8"/>
      <c r="Q226" s="8"/>
      <c r="R226" s="8"/>
      <c r="S226" s="8"/>
      <c r="T226" s="8"/>
      <c r="U226" s="8"/>
      <c r="V226" s="8"/>
      <c r="W226" s="8"/>
      <c r="X226" s="8"/>
      <c r="Y226" s="8"/>
      <c r="Z226" s="8"/>
      <c r="AA226" s="8"/>
      <c r="AB226" s="8"/>
      <c r="AC226" s="8"/>
    </row>
    <row r="227" spans="1:29" ht="15">
      <c r="A227" s="8"/>
      <c r="B227" s="69">
        <v>187</v>
      </c>
      <c r="C227" s="135" t="s">
        <v>766</v>
      </c>
      <c r="D227" s="43">
        <f>0.18*2^11.35</f>
        <v>469.85402965497263</v>
      </c>
      <c r="E227" s="43">
        <f t="shared" si="18"/>
        <v>1.0000107494575514</v>
      </c>
      <c r="F227" s="71">
        <f t="shared" ref="F227" si="20">E227*100</f>
        <v>100.00107494575514</v>
      </c>
      <c r="G227" s="84">
        <f t="shared" ref="G227" si="21">E227*1023</f>
        <v>1023.0109966950751</v>
      </c>
      <c r="H227" s="43" t="s">
        <v>463</v>
      </c>
      <c r="I227" s="8"/>
      <c r="J227" s="8">
        <f t="shared" si="19"/>
        <v>65535.704465700634</v>
      </c>
      <c r="K227" s="8"/>
      <c r="L227" s="8"/>
      <c r="M227" s="8"/>
      <c r="N227" s="8"/>
      <c r="O227" s="8"/>
      <c r="P227" s="8"/>
      <c r="Q227" s="8"/>
      <c r="R227" s="8"/>
      <c r="S227" s="8"/>
      <c r="T227" s="8"/>
      <c r="U227" s="8"/>
      <c r="V227" s="8"/>
      <c r="W227" s="8"/>
      <c r="X227" s="8"/>
      <c r="Y227" s="8"/>
      <c r="Z227" s="8"/>
      <c r="AA227" s="8"/>
      <c r="AB227" s="8"/>
      <c r="AC227" s="8"/>
    </row>
    <row r="228" spans="1:29" ht="13">
      <c r="A228" s="8"/>
      <c r="B228" s="8"/>
      <c r="C228" s="134"/>
      <c r="D228" s="43">
        <f>0.18*2^11.35</f>
        <v>469.85402965497263</v>
      </c>
      <c r="E228" s="43">
        <f>(LOG(((2^18-16)/117.45)*D228+64,2)-6)/14*(928/1023)+(95/1023)</f>
        <v>1.0000107494575514</v>
      </c>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C229" s="133"/>
      <c r="K229" s="8"/>
      <c r="L229" s="8"/>
      <c r="M229" s="8"/>
      <c r="N229" s="8"/>
      <c r="O229" s="8"/>
      <c r="P229" s="8"/>
      <c r="Q229" s="8"/>
      <c r="R229" s="8"/>
      <c r="S229" s="8"/>
      <c r="T229" s="8"/>
      <c r="U229" s="8"/>
      <c r="V229" s="8"/>
      <c r="W229" s="8"/>
      <c r="X229" s="8"/>
      <c r="Y229" s="8"/>
      <c r="Z229" s="8"/>
      <c r="AA229" s="8"/>
      <c r="AB229" s="8"/>
      <c r="AC229" s="8"/>
    </row>
    <row r="230" spans="1:29" ht="13">
      <c r="A230" s="8"/>
      <c r="C230" s="133"/>
      <c r="K230" s="8"/>
      <c r="L230" s="8"/>
      <c r="M230" s="8"/>
      <c r="N230" s="8"/>
      <c r="O230" s="8"/>
      <c r="P230" s="8"/>
      <c r="Q230" s="8"/>
      <c r="R230" s="8"/>
      <c r="S230" s="8"/>
      <c r="T230" s="8"/>
      <c r="U230" s="8"/>
      <c r="V230" s="8"/>
      <c r="W230" s="8"/>
      <c r="X230" s="8"/>
      <c r="Y230" s="8"/>
      <c r="Z230" s="8"/>
      <c r="AA230" s="8"/>
      <c r="AB230" s="8"/>
      <c r="AC230" s="8"/>
    </row>
    <row r="231" spans="1:29" ht="13">
      <c r="A231" s="8"/>
      <c r="C231" s="134"/>
      <c r="K231" s="8"/>
      <c r="L231" s="8"/>
      <c r="M231" s="8"/>
      <c r="N231" s="8"/>
      <c r="O231" s="8"/>
      <c r="P231" s="8"/>
      <c r="Q231" s="8"/>
      <c r="R231" s="8"/>
      <c r="S231" s="8"/>
      <c r="T231" s="8"/>
      <c r="U231" s="8"/>
      <c r="V231" s="8"/>
      <c r="W231" s="8"/>
      <c r="X231" s="8"/>
      <c r="Y231" s="8"/>
      <c r="Z231" s="8"/>
      <c r="AA231" s="8"/>
      <c r="AB231" s="8"/>
      <c r="AC231" s="8"/>
    </row>
    <row r="232" spans="1:29" ht="13">
      <c r="A232" s="8"/>
      <c r="C232" s="133"/>
      <c r="K232" s="8"/>
      <c r="L232" s="8"/>
      <c r="M232" s="8"/>
      <c r="N232" s="8"/>
      <c r="O232" s="8"/>
      <c r="P232" s="8"/>
      <c r="Q232" s="8"/>
      <c r="R232" s="8"/>
      <c r="S232" s="8"/>
      <c r="T232" s="8"/>
      <c r="U232" s="8"/>
      <c r="V232" s="8"/>
      <c r="W232" s="8"/>
      <c r="X232" s="8"/>
      <c r="Y232" s="8"/>
      <c r="Z232" s="8"/>
      <c r="AA232" s="8"/>
      <c r="AB232" s="8"/>
      <c r="AC232" s="8"/>
    </row>
    <row r="233" spans="1:29" ht="13">
      <c r="A233" s="8"/>
      <c r="K233" s="8"/>
      <c r="L233" s="8"/>
      <c r="M233" s="8"/>
      <c r="N233" s="8"/>
      <c r="O233" s="8"/>
      <c r="P233" s="8"/>
      <c r="Q233" s="8"/>
      <c r="R233" s="8"/>
      <c r="S233" s="8"/>
      <c r="T233" s="8"/>
      <c r="U233" s="8"/>
      <c r="V233" s="8"/>
      <c r="W233" s="8"/>
      <c r="X233" s="8"/>
      <c r="Y233" s="8"/>
      <c r="Z233" s="8"/>
      <c r="AA233" s="8"/>
      <c r="AB233" s="8"/>
      <c r="AC233" s="8"/>
    </row>
    <row r="234" spans="1:29" ht="13">
      <c r="A234" s="8"/>
      <c r="K234" s="8"/>
      <c r="L234" s="8"/>
      <c r="M234" s="8"/>
      <c r="N234" s="8"/>
      <c r="O234" s="8"/>
      <c r="P234" s="8"/>
      <c r="Q234" s="8"/>
      <c r="R234" s="8"/>
      <c r="S234" s="8"/>
      <c r="T234" s="8"/>
      <c r="U234" s="8"/>
      <c r="V234" s="8"/>
      <c r="W234" s="8"/>
      <c r="X234" s="8"/>
      <c r="Y234" s="8"/>
      <c r="Z234" s="8"/>
      <c r="AA234" s="8"/>
      <c r="AB234" s="8"/>
      <c r="AC234" s="8"/>
    </row>
    <row r="235" spans="1:29" ht="13">
      <c r="A235" s="8"/>
      <c r="K235" s="8"/>
      <c r="L235" s="8"/>
      <c r="M235" s="8"/>
      <c r="N235" s="8"/>
      <c r="O235" s="8"/>
      <c r="P235" s="8"/>
      <c r="Q235" s="8"/>
      <c r="R235" s="8"/>
      <c r="S235" s="8"/>
      <c r="T235" s="8"/>
      <c r="U235" s="8"/>
      <c r="V235" s="8"/>
      <c r="W235" s="8"/>
      <c r="X235" s="8"/>
      <c r="Y235" s="8"/>
      <c r="Z235" s="8"/>
      <c r="AA235" s="8"/>
      <c r="AB235" s="8"/>
      <c r="AC235" s="8"/>
    </row>
    <row r="236" spans="1:29" ht="13">
      <c r="A236" s="8"/>
      <c r="K236" s="8"/>
      <c r="L236" s="8"/>
      <c r="M236" s="8"/>
      <c r="N236" s="8"/>
      <c r="O236" s="8"/>
      <c r="P236" s="8"/>
      <c r="Q236" s="8"/>
      <c r="R236" s="8"/>
      <c r="S236" s="8"/>
      <c r="T236" s="8"/>
      <c r="U236" s="8"/>
      <c r="V236" s="8"/>
      <c r="W236" s="8"/>
      <c r="X236" s="8"/>
      <c r="Y236" s="8"/>
      <c r="Z236" s="8"/>
      <c r="AA236" s="8"/>
      <c r="AB236" s="8"/>
      <c r="AC236" s="8"/>
    </row>
    <row r="237" spans="1:29" ht="13">
      <c r="A237" s="8"/>
      <c r="K237" s="8"/>
      <c r="L237" s="8"/>
      <c r="M237" s="8"/>
      <c r="N237" s="8"/>
      <c r="O237" s="8"/>
      <c r="P237" s="8"/>
      <c r="Q237" s="8"/>
      <c r="R237" s="8"/>
      <c r="S237" s="8"/>
      <c r="T237" s="8"/>
      <c r="U237" s="8"/>
      <c r="V237" s="8"/>
      <c r="W237" s="8"/>
      <c r="X237" s="8"/>
      <c r="Y237" s="8"/>
      <c r="Z237" s="8"/>
      <c r="AA237" s="8"/>
      <c r="AB237" s="8"/>
      <c r="AC237" s="8"/>
    </row>
    <row r="238" spans="1:29" ht="13">
      <c r="A238" s="8"/>
      <c r="K238" s="8"/>
      <c r="L238" s="8"/>
      <c r="M238" s="8"/>
      <c r="N238" s="8"/>
      <c r="O238" s="8"/>
      <c r="P238" s="8"/>
      <c r="Q238" s="8"/>
      <c r="R238" s="8"/>
      <c r="S238" s="8"/>
      <c r="T238" s="8"/>
      <c r="U238" s="8"/>
      <c r="V238" s="8"/>
      <c r="W238" s="8"/>
      <c r="X238" s="8"/>
      <c r="Y238" s="8"/>
      <c r="Z238" s="8"/>
      <c r="AA238" s="8"/>
      <c r="AB238" s="8"/>
      <c r="AC238" s="8"/>
    </row>
    <row r="239" spans="1:29" ht="13">
      <c r="A239" s="8"/>
      <c r="K239" s="8"/>
      <c r="L239" s="8"/>
      <c r="M239" s="8"/>
      <c r="N239" s="8"/>
      <c r="O239" s="8"/>
      <c r="P239" s="8"/>
      <c r="Q239" s="8"/>
      <c r="R239" s="8"/>
      <c r="S239" s="8"/>
      <c r="T239" s="8"/>
      <c r="U239" s="8"/>
      <c r="V239" s="8"/>
      <c r="W239" s="8"/>
      <c r="X239" s="8"/>
      <c r="Y239" s="8"/>
      <c r="Z239" s="8"/>
      <c r="AA239" s="8"/>
      <c r="AB239" s="8"/>
      <c r="AC239" s="8"/>
    </row>
    <row r="240" spans="1:29" ht="13">
      <c r="A240" s="8"/>
      <c r="K240" s="8"/>
      <c r="L240" s="8"/>
      <c r="M240" s="8"/>
      <c r="N240" s="8"/>
      <c r="O240" s="8"/>
      <c r="P240" s="8"/>
      <c r="Q240" s="8"/>
      <c r="R240" s="8"/>
      <c r="S240" s="8"/>
      <c r="T240" s="8"/>
      <c r="U240" s="8"/>
      <c r="V240" s="8"/>
      <c r="W240" s="8"/>
      <c r="X240" s="8"/>
      <c r="Y240" s="8"/>
      <c r="Z240" s="8"/>
      <c r="AA240" s="8"/>
      <c r="AB240" s="8"/>
      <c r="AC240" s="8"/>
    </row>
    <row r="241" spans="1:29" ht="15">
      <c r="A241" s="8"/>
      <c r="B241" s="69">
        <v>172</v>
      </c>
      <c r="C241" s="91">
        <v>9.0299999999999994</v>
      </c>
      <c r="D241" s="43">
        <f>0.18*2^9.03</f>
        <v>94.096477505174832</v>
      </c>
      <c r="E241" s="43">
        <v>0.84970815468819905</v>
      </c>
      <c r="F241" s="92">
        <v>0.85</v>
      </c>
      <c r="G241" s="93">
        <v>870</v>
      </c>
      <c r="H241" s="43"/>
      <c r="I241" s="8"/>
      <c r="J241" s="8">
        <f t="shared" ref="J241:J255" si="22">E241*2^16</f>
        <v>55686.473625645813</v>
      </c>
      <c r="K241" s="8"/>
      <c r="L241" s="8"/>
      <c r="M241" s="8"/>
      <c r="N241" s="8"/>
      <c r="O241" s="8"/>
      <c r="P241" s="8"/>
      <c r="Q241" s="8"/>
      <c r="R241" s="8"/>
      <c r="S241" s="8"/>
      <c r="T241" s="8"/>
      <c r="U241" s="8"/>
      <c r="V241" s="8"/>
      <c r="W241" s="8"/>
      <c r="X241" s="8"/>
      <c r="Y241" s="8"/>
      <c r="Z241" s="8"/>
      <c r="AA241" s="8"/>
      <c r="AB241" s="8"/>
      <c r="AC241" s="8"/>
    </row>
    <row r="242" spans="1:29" ht="15">
      <c r="A242" s="8"/>
      <c r="B242" s="69">
        <v>173</v>
      </c>
      <c r="C242" s="91">
        <v>9.19</v>
      </c>
      <c r="D242" s="43">
        <f>0.18*2^9.19</f>
        <v>105.13278405443387</v>
      </c>
      <c r="E242" s="43">
        <v>0.86007243218153295</v>
      </c>
      <c r="F242" s="92">
        <v>0.86</v>
      </c>
      <c r="G242" s="93">
        <v>880</v>
      </c>
      <c r="H242" s="43"/>
      <c r="I242" s="8"/>
      <c r="J242" s="8">
        <f t="shared" si="22"/>
        <v>56365.706915448944</v>
      </c>
      <c r="K242" s="8"/>
      <c r="L242" s="8"/>
      <c r="M242" s="8"/>
      <c r="N242" s="8"/>
      <c r="O242" s="8"/>
      <c r="P242" s="8"/>
      <c r="Q242" s="8"/>
      <c r="R242" s="8"/>
      <c r="S242" s="8"/>
      <c r="T242" s="8"/>
      <c r="U242" s="8"/>
      <c r="V242" s="8"/>
      <c r="W242" s="8"/>
      <c r="X242" s="8"/>
      <c r="Y242" s="8"/>
      <c r="Z242" s="8"/>
      <c r="AA242" s="8"/>
      <c r="AB242" s="8"/>
      <c r="AC242" s="8"/>
    </row>
    <row r="243" spans="1:29" ht="15">
      <c r="A243" s="8"/>
      <c r="B243" s="69">
        <v>174</v>
      </c>
      <c r="C243" s="91">
        <v>9.34</v>
      </c>
      <c r="D243" s="43">
        <f>0.18*2^9.34</f>
        <v>116.65212770030102</v>
      </c>
      <c r="E243" s="43">
        <v>0.86978922785684798</v>
      </c>
      <c r="F243" s="92">
        <v>0.87</v>
      </c>
      <c r="G243" s="93">
        <v>890</v>
      </c>
      <c r="H243" s="43"/>
      <c r="I243" s="8"/>
      <c r="J243" s="8">
        <f t="shared" si="22"/>
        <v>57002.506836826389</v>
      </c>
      <c r="K243" s="8"/>
      <c r="L243" s="8"/>
      <c r="M243" s="8"/>
      <c r="N243" s="8"/>
      <c r="O243" s="8"/>
      <c r="P243" s="8"/>
      <c r="Q243" s="8"/>
      <c r="R243" s="8"/>
      <c r="S243" s="8"/>
      <c r="T243" s="8"/>
      <c r="U243" s="8"/>
      <c r="V243" s="8"/>
      <c r="W243" s="8"/>
      <c r="X243" s="8"/>
      <c r="Y243" s="8"/>
      <c r="Z243" s="8"/>
      <c r="AA243" s="8"/>
      <c r="AB243" s="8"/>
      <c r="AC243" s="8"/>
    </row>
    <row r="244" spans="1:29" ht="15">
      <c r="A244" s="8"/>
      <c r="B244" s="69">
        <v>175</v>
      </c>
      <c r="C244" s="91">
        <v>9.5</v>
      </c>
      <c r="D244" s="43">
        <f>0.18*2^9.5</f>
        <v>130.33392190830443</v>
      </c>
      <c r="E244" s="43">
        <v>0.88015408325414701</v>
      </c>
      <c r="F244" s="92">
        <v>0.88</v>
      </c>
      <c r="G244" s="93">
        <v>900</v>
      </c>
      <c r="H244" s="43"/>
      <c r="I244" s="8"/>
      <c r="J244" s="8">
        <f t="shared" si="22"/>
        <v>57681.778000143779</v>
      </c>
      <c r="K244" s="8"/>
      <c r="L244" s="8"/>
      <c r="M244" s="8"/>
      <c r="N244" s="8"/>
      <c r="O244" s="8"/>
      <c r="P244" s="8"/>
      <c r="Q244" s="8"/>
      <c r="R244" s="8"/>
      <c r="S244" s="8"/>
      <c r="T244" s="8"/>
      <c r="U244" s="8"/>
      <c r="V244" s="8"/>
      <c r="W244" s="8"/>
      <c r="X244" s="8"/>
      <c r="Y244" s="8"/>
      <c r="Z244" s="8"/>
      <c r="AA244" s="8"/>
      <c r="AB244" s="8"/>
      <c r="AC244" s="8"/>
    </row>
    <row r="245" spans="1:29" ht="15">
      <c r="A245" s="8"/>
      <c r="B245" s="69">
        <v>176</v>
      </c>
      <c r="C245" s="91">
        <v>9.65</v>
      </c>
      <c r="D245" s="43">
        <f>0.18*2^9.65</f>
        <v>144.61454092432916</v>
      </c>
      <c r="E245" s="43">
        <v>0.88987136558563995</v>
      </c>
      <c r="F245" s="92">
        <v>0.89</v>
      </c>
      <c r="G245" s="93">
        <v>910</v>
      </c>
      <c r="H245" s="43"/>
      <c r="I245" s="8"/>
      <c r="J245" s="8">
        <f t="shared" si="22"/>
        <v>58318.6098150205</v>
      </c>
      <c r="K245" s="8"/>
      <c r="L245" s="8"/>
      <c r="M245" s="8"/>
      <c r="N245" s="8"/>
      <c r="O245" s="8"/>
      <c r="P245" s="8"/>
      <c r="Q245" s="8"/>
      <c r="R245" s="8"/>
      <c r="S245" s="8"/>
      <c r="T245" s="8"/>
      <c r="U245" s="8"/>
      <c r="V245" s="8"/>
      <c r="W245" s="8"/>
      <c r="X245" s="8"/>
      <c r="Y245" s="8"/>
      <c r="Z245" s="8"/>
      <c r="AA245" s="8"/>
      <c r="AB245" s="8"/>
      <c r="AC245" s="8"/>
    </row>
    <row r="246" spans="1:29" ht="15">
      <c r="A246" s="8"/>
      <c r="B246" s="69">
        <v>177</v>
      </c>
      <c r="C246" s="91">
        <v>9.81</v>
      </c>
      <c r="D246" s="43">
        <f>0.18*2^9.81</f>
        <v>161.57596655297164</v>
      </c>
      <c r="E246" s="43">
        <v>0.90023668727348305</v>
      </c>
      <c r="F246" s="92">
        <v>0.9</v>
      </c>
      <c r="G246" s="93">
        <v>921</v>
      </c>
      <c r="H246" s="43"/>
      <c r="I246" s="8"/>
      <c r="J246" s="8">
        <f t="shared" si="22"/>
        <v>58997.911537154985</v>
      </c>
      <c r="K246" s="8"/>
      <c r="L246" s="8"/>
      <c r="M246" s="8"/>
      <c r="N246" s="8"/>
      <c r="O246" s="8"/>
      <c r="P246" s="8"/>
      <c r="Q246" s="8"/>
      <c r="R246" s="8"/>
      <c r="S246" s="8"/>
      <c r="T246" s="8"/>
      <c r="U246" s="8"/>
      <c r="V246" s="8"/>
      <c r="W246" s="8"/>
      <c r="X246" s="8"/>
      <c r="Y246" s="8"/>
      <c r="Z246" s="8"/>
      <c r="AA246" s="8"/>
      <c r="AB246" s="8"/>
      <c r="AC246" s="8"/>
    </row>
    <row r="247" spans="1:29" ht="15">
      <c r="A247" s="8"/>
      <c r="B247" s="69">
        <v>178</v>
      </c>
      <c r="C247" s="91">
        <v>9.9600000000000009</v>
      </c>
      <c r="D247" s="43">
        <f>0.18*2^9.96</f>
        <v>179.2797599070326</v>
      </c>
      <c r="E247" s="43">
        <v>0.90995436215163295</v>
      </c>
      <c r="F247" s="92">
        <v>0.91</v>
      </c>
      <c r="G247" s="93">
        <v>931</v>
      </c>
      <c r="H247" s="43"/>
      <c r="I247" s="8"/>
      <c r="J247" s="8">
        <f t="shared" si="22"/>
        <v>59634.769077969417</v>
      </c>
      <c r="K247" s="8"/>
      <c r="L247" s="8"/>
      <c r="M247" s="8"/>
      <c r="N247" s="8"/>
      <c r="O247" s="8"/>
      <c r="P247" s="8"/>
      <c r="Q247" s="8"/>
      <c r="R247" s="8"/>
      <c r="S247" s="8"/>
      <c r="T247" s="8"/>
      <c r="U247" s="8"/>
      <c r="V247" s="8"/>
      <c r="W247" s="8"/>
      <c r="X247" s="8"/>
      <c r="Y247" s="8"/>
      <c r="Z247" s="8"/>
      <c r="AA247" s="8"/>
      <c r="AB247" s="8"/>
      <c r="AC247" s="8"/>
    </row>
    <row r="248" spans="1:29" ht="15">
      <c r="A248" s="8"/>
      <c r="B248" s="69">
        <v>179</v>
      </c>
      <c r="C248" s="91">
        <v>10.119999999999999</v>
      </c>
      <c r="D248" s="43">
        <f>0.18*2^10.12</f>
        <v>200.30696986080295</v>
      </c>
      <c r="E248" s="43">
        <v>0.920320059939292</v>
      </c>
      <c r="F248" s="92">
        <v>0.92</v>
      </c>
      <c r="G248" s="93">
        <v>941</v>
      </c>
      <c r="H248" s="43"/>
      <c r="I248" s="8"/>
      <c r="J248" s="8">
        <f t="shared" si="22"/>
        <v>60314.095448181441</v>
      </c>
      <c r="K248" s="8"/>
      <c r="L248" s="8"/>
      <c r="M248" s="8"/>
      <c r="N248" s="8"/>
      <c r="O248" s="8"/>
      <c r="P248" s="8"/>
      <c r="Q248" s="8"/>
      <c r="R248" s="8"/>
      <c r="S248" s="8"/>
      <c r="T248" s="8"/>
      <c r="U248" s="8"/>
      <c r="V248" s="8"/>
      <c r="W248" s="8"/>
      <c r="X248" s="8"/>
      <c r="Y248" s="8"/>
      <c r="Z248" s="8"/>
      <c r="AA248" s="8"/>
      <c r="AB248" s="8"/>
      <c r="AC248" s="8"/>
    </row>
    <row r="249" spans="1:29" ht="15">
      <c r="A249" s="8"/>
      <c r="B249" s="69">
        <v>180</v>
      </c>
      <c r="C249" s="91">
        <v>10.27</v>
      </c>
      <c r="D249" s="43">
        <f>0.18*2^10.27</f>
        <v>222.2544987999608</v>
      </c>
      <c r="E249" s="43">
        <v>0.93003805151471897</v>
      </c>
      <c r="F249" s="92">
        <v>0.93</v>
      </c>
      <c r="G249" s="93">
        <v>951</v>
      </c>
      <c r="H249" s="43"/>
      <c r="I249" s="8"/>
      <c r="J249" s="8">
        <f t="shared" si="22"/>
        <v>60950.973744068622</v>
      </c>
      <c r="K249" s="8"/>
      <c r="L249" s="8"/>
      <c r="M249" s="8"/>
      <c r="N249" s="8"/>
      <c r="O249" s="8"/>
      <c r="P249" s="8"/>
      <c r="Q249" s="8"/>
      <c r="R249" s="8"/>
      <c r="S249" s="8"/>
      <c r="T249" s="8"/>
      <c r="U249" s="8"/>
      <c r="V249" s="8"/>
      <c r="W249" s="8"/>
      <c r="X249" s="8"/>
      <c r="Y249" s="8"/>
      <c r="Z249" s="8"/>
      <c r="AA249" s="8"/>
      <c r="AB249" s="8"/>
      <c r="AC249" s="8"/>
    </row>
    <row r="250" spans="1:29" ht="15">
      <c r="A250" s="8"/>
      <c r="B250" s="69">
        <v>181</v>
      </c>
      <c r="C250" s="91">
        <v>10.42</v>
      </c>
      <c r="D250" s="43">
        <f>0.18*2^10.42</f>
        <v>246.60680689817607</v>
      </c>
      <c r="E250" s="43">
        <v>0.939756173575933</v>
      </c>
      <c r="F250" s="92">
        <v>0.94</v>
      </c>
      <c r="G250" s="93">
        <v>962</v>
      </c>
      <c r="H250" s="43"/>
      <c r="I250" s="8"/>
      <c r="J250" s="8">
        <f t="shared" si="22"/>
        <v>61587.860591472345</v>
      </c>
      <c r="K250" s="8"/>
      <c r="L250" s="8"/>
      <c r="M250" s="8"/>
      <c r="N250" s="8"/>
      <c r="O250" s="8"/>
      <c r="P250" s="8"/>
      <c r="Q250" s="8"/>
      <c r="R250" s="8"/>
      <c r="S250" s="8"/>
      <c r="T250" s="8"/>
      <c r="U250" s="8"/>
      <c r="V250" s="8"/>
      <c r="W250" s="8"/>
      <c r="X250" s="8"/>
      <c r="Y250" s="8"/>
      <c r="Z250" s="8"/>
      <c r="AA250" s="8"/>
      <c r="AB250" s="8"/>
      <c r="AC250" s="8"/>
    </row>
    <row r="251" spans="1:29" ht="15">
      <c r="A251" s="8"/>
      <c r="B251" s="69">
        <v>182</v>
      </c>
      <c r="C251" s="91">
        <v>10.58</v>
      </c>
      <c r="D251" s="43">
        <f>0.18*2^10.58</f>
        <v>275.5306135083917</v>
      </c>
      <c r="E251" s="43">
        <v>0.95012229975204199</v>
      </c>
      <c r="F251" s="92">
        <v>0.95</v>
      </c>
      <c r="G251" s="93">
        <v>972</v>
      </c>
      <c r="H251" s="43"/>
      <c r="I251" s="8"/>
      <c r="J251" s="8">
        <f t="shared" si="22"/>
        <v>62267.215036549824</v>
      </c>
      <c r="K251" s="8"/>
      <c r="L251" s="8"/>
      <c r="M251" s="8"/>
      <c r="N251" s="8"/>
      <c r="O251" s="8"/>
      <c r="P251" s="8"/>
      <c r="Q251" s="8"/>
      <c r="R251" s="8"/>
      <c r="S251" s="8"/>
      <c r="T251" s="8"/>
      <c r="U251" s="8"/>
      <c r="V251" s="8"/>
      <c r="W251" s="8"/>
      <c r="X251" s="8"/>
      <c r="Y251" s="8"/>
      <c r="Z251" s="8"/>
      <c r="AA251" s="8"/>
      <c r="AB251" s="8"/>
      <c r="AC251" s="8"/>
    </row>
    <row r="252" spans="1:29" ht="15">
      <c r="A252" s="8"/>
      <c r="B252" s="69">
        <v>183</v>
      </c>
      <c r="C252" s="91">
        <v>10.73</v>
      </c>
      <c r="D252" s="43">
        <f>0.18*2^10.73</f>
        <v>305.72035736903575</v>
      </c>
      <c r="E252" s="43">
        <v>0.95984065206946301</v>
      </c>
      <c r="F252" s="92">
        <v>0.96</v>
      </c>
      <c r="G252" s="93">
        <v>982</v>
      </c>
      <c r="H252" s="43"/>
      <c r="I252" s="8"/>
      <c r="J252" s="8">
        <f t="shared" si="22"/>
        <v>62904.116974024328</v>
      </c>
      <c r="K252" s="8"/>
      <c r="L252" s="8"/>
      <c r="M252" s="8"/>
      <c r="N252" s="8"/>
      <c r="O252" s="8"/>
      <c r="P252" s="8"/>
      <c r="Q252" s="8"/>
      <c r="R252" s="8"/>
      <c r="S252" s="8"/>
      <c r="T252" s="8"/>
      <c r="U252" s="8"/>
      <c r="V252" s="8"/>
      <c r="W252" s="8"/>
      <c r="X252" s="8"/>
      <c r="Y252" s="8"/>
      <c r="Z252" s="8"/>
      <c r="AA252" s="8"/>
      <c r="AB252" s="8"/>
      <c r="AC252" s="8"/>
    </row>
    <row r="253" spans="1:29" ht="15">
      <c r="A253" s="8"/>
      <c r="B253" s="69">
        <v>184</v>
      </c>
      <c r="C253" s="91">
        <v>10.89</v>
      </c>
      <c r="D253" s="43">
        <f>0.18*2^10.89</f>
        <v>341.57742313526626</v>
      </c>
      <c r="E253" s="43">
        <v>0.97020699882475603</v>
      </c>
      <c r="F253" s="92">
        <v>0.97</v>
      </c>
      <c r="G253" s="93">
        <v>992</v>
      </c>
      <c r="H253" s="43"/>
      <c r="I253" s="8"/>
      <c r="J253" s="8">
        <f t="shared" si="22"/>
        <v>63583.485874979211</v>
      </c>
      <c r="K253" s="8"/>
      <c r="L253" s="8"/>
      <c r="M253" s="8"/>
      <c r="N253" s="8"/>
      <c r="O253" s="8"/>
      <c r="P253" s="8"/>
      <c r="Q253" s="8"/>
      <c r="R253" s="8"/>
      <c r="S253" s="8"/>
      <c r="T253" s="8"/>
      <c r="U253" s="8"/>
      <c r="V253" s="8"/>
      <c r="W253" s="8"/>
      <c r="X253" s="8"/>
      <c r="Y253" s="8"/>
      <c r="Z253" s="8"/>
      <c r="AA253" s="8"/>
      <c r="AB253" s="8"/>
      <c r="AC253" s="8"/>
    </row>
    <row r="254" spans="1:29" ht="15">
      <c r="A254" s="8"/>
      <c r="B254" s="69">
        <v>185</v>
      </c>
      <c r="C254" s="91">
        <v>11.04</v>
      </c>
      <c r="D254" s="43">
        <f>0.18*2^11.04</f>
        <v>379.00388105849208</v>
      </c>
      <c r="E254" s="43">
        <v>0.97992553688259099</v>
      </c>
      <c r="F254" s="92">
        <v>0.98</v>
      </c>
      <c r="G254" s="93">
        <v>1003</v>
      </c>
      <c r="H254" s="43"/>
      <c r="I254" s="8"/>
      <c r="J254" s="8">
        <f t="shared" si="22"/>
        <v>64220.399985137483</v>
      </c>
      <c r="K254" s="8"/>
      <c r="L254" s="8"/>
      <c r="M254" s="8"/>
      <c r="N254" s="8"/>
      <c r="O254" s="8"/>
      <c r="P254" s="8"/>
      <c r="Q254" s="8"/>
      <c r="R254" s="8"/>
      <c r="S254" s="8"/>
      <c r="T254" s="8"/>
      <c r="U254" s="8"/>
      <c r="V254" s="8"/>
      <c r="W254" s="8"/>
      <c r="X254" s="8"/>
      <c r="Y254" s="8"/>
      <c r="Z254" s="8"/>
      <c r="AA254" s="8"/>
      <c r="AB254" s="8"/>
      <c r="AC254" s="8"/>
    </row>
    <row r="255" spans="1:29" ht="15">
      <c r="A255" s="8"/>
      <c r="B255" s="69">
        <v>186</v>
      </c>
      <c r="C255" s="91">
        <v>11.2</v>
      </c>
      <c r="D255" s="43">
        <f>0.18*2^11.2</f>
        <v>423.45616158610659</v>
      </c>
      <c r="E255" s="43">
        <v>0.99029206159762795</v>
      </c>
      <c r="F255" s="92">
        <v>0.99</v>
      </c>
      <c r="G255" s="93">
        <v>1013</v>
      </c>
      <c r="H255" s="43"/>
      <c r="I255" s="8"/>
      <c r="J255" s="8">
        <f t="shared" si="22"/>
        <v>64899.780548862145</v>
      </c>
      <c r="K255" s="8"/>
      <c r="L255" s="8"/>
      <c r="M255" s="8"/>
      <c r="N255" s="8"/>
      <c r="O255" s="8"/>
      <c r="P255" s="8"/>
      <c r="Q255" s="8"/>
      <c r="R255" s="8"/>
      <c r="S255" s="8"/>
      <c r="T255" s="8"/>
      <c r="U255" s="8"/>
      <c r="V255" s="8"/>
      <c r="W255" s="8"/>
      <c r="X255" s="8"/>
      <c r="Y255" s="8"/>
      <c r="Z255" s="8"/>
      <c r="AA255" s="8"/>
      <c r="AB255" s="8"/>
      <c r="AC255" s="8"/>
    </row>
    <row r="256" spans="1:29" ht="13">
      <c r="A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spans="1:29"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spans="1:29"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sheetData>
  <mergeCells count="3">
    <mergeCell ref="D2:G2"/>
    <mergeCell ref="D31:G31"/>
    <mergeCell ref="L31:P31"/>
  </mergeCells>
  <phoneticPr fontId="19" type="noConversion"/>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C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2" t="s">
        <v>464</v>
      </c>
      <c r="D2" s="174" t="s">
        <v>142</v>
      </c>
      <c r="E2" s="170"/>
      <c r="F2" s="170"/>
      <c r="G2" s="171"/>
      <c r="H2" s="16"/>
      <c r="I2" s="8"/>
      <c r="J2" s="8"/>
      <c r="K2" s="8"/>
      <c r="L2" s="8"/>
      <c r="M2" s="8" t="s">
        <v>401</v>
      </c>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t="s">
        <v>168</v>
      </c>
      <c r="N3" s="8"/>
      <c r="O3" s="8"/>
      <c r="P3" s="8"/>
      <c r="Q3" s="8"/>
      <c r="R3" s="8"/>
      <c r="S3" s="8"/>
      <c r="T3" s="8"/>
      <c r="U3" s="8"/>
      <c r="V3" s="8"/>
      <c r="W3" s="8"/>
      <c r="X3" s="8"/>
      <c r="Y3" s="8"/>
      <c r="Z3" s="8"/>
      <c r="AA3" s="8"/>
      <c r="AB3" s="8"/>
      <c r="AC3" s="8"/>
    </row>
    <row r="4" spans="1:29" ht="13">
      <c r="A4" s="58"/>
      <c r="B4" s="50">
        <v>1</v>
      </c>
      <c r="C4" s="16" t="s">
        <v>75</v>
      </c>
      <c r="D4" s="17">
        <v>1.4247000000000001E-6</v>
      </c>
      <c r="E4" s="8">
        <v>9.2868769332739604E-2</v>
      </c>
      <c r="F4" s="18">
        <f t="shared" ref="F4:F28" si="0">E4*100</f>
        <v>9.2868769332739607</v>
      </c>
      <c r="G4" s="33">
        <f t="shared" ref="G4:G28" si="1">E4*1023</f>
        <v>95.004751027392615</v>
      </c>
      <c r="H4" s="16" t="s">
        <v>161</v>
      </c>
      <c r="I4" s="8"/>
      <c r="J4" s="64" t="s">
        <v>162</v>
      </c>
      <c r="K4" s="8"/>
      <c r="L4" s="8"/>
      <c r="M4" s="8" t="s">
        <v>402</v>
      </c>
      <c r="N4" s="8"/>
      <c r="O4" s="8"/>
      <c r="P4" s="8"/>
      <c r="Q4" s="8"/>
      <c r="R4" s="8"/>
      <c r="S4" s="8"/>
      <c r="T4" s="8"/>
      <c r="U4" s="8"/>
      <c r="V4" s="8"/>
      <c r="W4" s="8"/>
      <c r="X4" s="8"/>
      <c r="Y4" s="8"/>
      <c r="Z4" s="8"/>
      <c r="AA4" s="8"/>
      <c r="AB4" s="8"/>
      <c r="AC4" s="8"/>
    </row>
    <row r="5" spans="1:29" ht="13">
      <c r="A5" s="58"/>
      <c r="B5" s="50">
        <v>2</v>
      </c>
      <c r="C5" s="16" t="s">
        <v>76</v>
      </c>
      <c r="D5" s="17">
        <v>7.0312499999999997E-4</v>
      </c>
      <c r="E5" s="8">
        <v>9.51285663613822E-2</v>
      </c>
      <c r="F5" s="18">
        <f t="shared" si="0"/>
        <v>9.5128566361382205</v>
      </c>
      <c r="G5" s="33">
        <f t="shared" si="1"/>
        <v>97.316523387693991</v>
      </c>
      <c r="H5" s="16" t="s">
        <v>164</v>
      </c>
      <c r="I5" s="8"/>
      <c r="J5" s="56" t="s">
        <v>165</v>
      </c>
      <c r="K5" s="8"/>
      <c r="L5" s="8"/>
      <c r="M5" s="8" t="s">
        <v>403</v>
      </c>
      <c r="N5" s="8"/>
      <c r="O5" s="8"/>
      <c r="P5" s="8"/>
      <c r="Q5" s="8"/>
      <c r="R5" s="8"/>
      <c r="S5" s="8"/>
      <c r="T5" s="8"/>
      <c r="U5" s="8"/>
      <c r="V5" s="8"/>
      <c r="W5" s="8"/>
      <c r="X5" s="8"/>
      <c r="Y5" s="8"/>
      <c r="Z5" s="8"/>
      <c r="AA5" s="8"/>
      <c r="AB5" s="8"/>
      <c r="AC5" s="8"/>
    </row>
    <row r="6" spans="1:29" ht="13">
      <c r="A6" s="58"/>
      <c r="B6" s="50">
        <v>3</v>
      </c>
      <c r="C6" s="16" t="s">
        <v>77</v>
      </c>
      <c r="D6" s="17">
        <v>1.4062499999999999E-3</v>
      </c>
      <c r="E6" s="8">
        <v>9.7339449070738396E-2</v>
      </c>
      <c r="F6" s="18">
        <f t="shared" si="0"/>
        <v>9.7339449070738393</v>
      </c>
      <c r="G6" s="33">
        <f t="shared" si="1"/>
        <v>99.578256399365372</v>
      </c>
      <c r="H6" s="16" t="s">
        <v>465</v>
      </c>
      <c r="I6" s="8"/>
      <c r="K6" s="8"/>
      <c r="L6" s="8"/>
      <c r="M6" s="8" t="s">
        <v>405</v>
      </c>
      <c r="N6" s="8"/>
      <c r="O6" s="8"/>
      <c r="P6" s="8"/>
      <c r="Q6" s="8"/>
      <c r="R6" s="8"/>
      <c r="S6" s="8"/>
      <c r="T6" s="8"/>
      <c r="U6" s="8"/>
      <c r="V6" s="8"/>
      <c r="W6" s="8"/>
      <c r="X6" s="8"/>
      <c r="Y6" s="8"/>
      <c r="Z6" s="8"/>
      <c r="AA6" s="8"/>
      <c r="AB6" s="8"/>
      <c r="AC6" s="8"/>
    </row>
    <row r="7" spans="1:29" ht="13">
      <c r="A7" s="58"/>
      <c r="B7" s="50">
        <v>4</v>
      </c>
      <c r="C7" s="16" t="s">
        <v>78</v>
      </c>
      <c r="D7" s="17">
        <v>2.8124999999999999E-3</v>
      </c>
      <c r="E7" s="8">
        <v>0.101610271605416</v>
      </c>
      <c r="F7" s="18">
        <f t="shared" si="0"/>
        <v>10.1610271605416</v>
      </c>
      <c r="G7" s="33">
        <f t="shared" si="1"/>
        <v>103.94730785234057</v>
      </c>
      <c r="H7" s="16"/>
      <c r="I7" s="8"/>
      <c r="J7" s="8"/>
      <c r="K7" s="8"/>
      <c r="L7" s="8"/>
      <c r="M7" s="8" t="s">
        <v>406</v>
      </c>
      <c r="N7" s="8"/>
      <c r="O7" s="8"/>
      <c r="P7" s="8"/>
      <c r="Q7" s="8"/>
      <c r="R7" s="8"/>
      <c r="S7" s="8"/>
      <c r="T7" s="8"/>
      <c r="U7" s="8"/>
      <c r="V7" s="8"/>
      <c r="W7" s="8"/>
      <c r="X7" s="8"/>
      <c r="Y7" s="8"/>
      <c r="Z7" s="8"/>
      <c r="AA7" s="8"/>
      <c r="AB7" s="8"/>
      <c r="AC7" s="8"/>
    </row>
    <row r="8" spans="1:29" ht="13">
      <c r="A8" s="58"/>
      <c r="B8" s="50">
        <v>5</v>
      </c>
      <c r="C8" s="16" t="s">
        <v>79</v>
      </c>
      <c r="D8" s="17">
        <v>5.6249999999999998E-3</v>
      </c>
      <c r="E8" s="8">
        <v>0.109607669095174</v>
      </c>
      <c r="F8" s="18">
        <f t="shared" si="0"/>
        <v>10.9607669095174</v>
      </c>
      <c r="G8" s="33">
        <f t="shared" si="1"/>
        <v>112.12864548436301</v>
      </c>
      <c r="H8" s="16"/>
      <c r="I8" s="8"/>
      <c r="J8" s="8"/>
      <c r="K8" s="8"/>
      <c r="L8" s="8"/>
      <c r="M8" s="8" t="s">
        <v>407</v>
      </c>
      <c r="N8" s="8"/>
      <c r="O8" s="8"/>
      <c r="P8" s="8"/>
      <c r="Q8" s="8"/>
      <c r="R8" s="8"/>
      <c r="S8" s="8"/>
      <c r="T8" s="8"/>
      <c r="U8" s="8"/>
      <c r="V8" s="8"/>
      <c r="W8" s="8"/>
      <c r="X8" s="8"/>
      <c r="Y8" s="8"/>
      <c r="Z8" s="8"/>
      <c r="AA8" s="8"/>
      <c r="AB8" s="8"/>
      <c r="AC8" s="8"/>
    </row>
    <row r="9" spans="1:29" ht="13">
      <c r="A9" s="58"/>
      <c r="B9" s="50">
        <v>6</v>
      </c>
      <c r="C9" s="16" t="s">
        <v>80</v>
      </c>
      <c r="D9" s="17">
        <v>1.125E-2</v>
      </c>
      <c r="E9" s="8">
        <v>0.1238028883191</v>
      </c>
      <c r="F9" s="18">
        <f t="shared" si="0"/>
        <v>12.380288831909999</v>
      </c>
      <c r="G9" s="33">
        <f t="shared" si="1"/>
        <v>126.65035475043929</v>
      </c>
      <c r="H9" s="16"/>
      <c r="I9" s="8"/>
      <c r="J9" s="8"/>
      <c r="K9" s="8"/>
      <c r="L9" s="8"/>
      <c r="M9" s="8" t="s">
        <v>408</v>
      </c>
      <c r="N9" s="8"/>
      <c r="O9" s="8"/>
      <c r="P9" s="8"/>
      <c r="Q9" s="8"/>
      <c r="R9" s="8"/>
      <c r="S9" s="8"/>
      <c r="T9" s="8"/>
      <c r="U9" s="8"/>
      <c r="V9" s="8"/>
      <c r="W9" s="8"/>
      <c r="X9" s="8"/>
      <c r="Y9" s="8"/>
      <c r="Z9" s="8"/>
      <c r="AA9" s="8"/>
      <c r="AB9" s="8"/>
      <c r="AC9" s="8"/>
    </row>
    <row r="10" spans="1:29" ht="13">
      <c r="A10" s="58"/>
      <c r="B10" s="50">
        <v>7</v>
      </c>
      <c r="C10" s="16" t="s">
        <v>81</v>
      </c>
      <c r="D10" s="17">
        <v>2.2499999999999999E-2</v>
      </c>
      <c r="E10" s="8">
        <v>0.147008610830409</v>
      </c>
      <c r="F10" s="18">
        <f t="shared" si="0"/>
        <v>14.7008610830409</v>
      </c>
      <c r="G10" s="33">
        <f t="shared" si="1"/>
        <v>150.38980887950842</v>
      </c>
      <c r="H10" s="16"/>
      <c r="I10" s="8"/>
      <c r="K10" s="8"/>
      <c r="L10" s="8"/>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8">
        <v>0.18107329782147999</v>
      </c>
      <c r="F11" s="18">
        <f t="shared" si="0"/>
        <v>18.107329782148</v>
      </c>
      <c r="G11" s="33">
        <f t="shared" si="1"/>
        <v>185.23798367137402</v>
      </c>
      <c r="H11" s="16"/>
      <c r="I11" s="8"/>
      <c r="J11" s="8"/>
      <c r="K11" s="8"/>
      <c r="L11" s="8"/>
      <c r="M11" s="85" t="s">
        <v>409</v>
      </c>
      <c r="N11" s="8"/>
      <c r="O11" s="8"/>
      <c r="P11" s="8"/>
      <c r="Q11" s="8"/>
      <c r="R11" s="8"/>
      <c r="S11" s="8"/>
      <c r="T11" s="8"/>
      <c r="U11" s="8"/>
      <c r="V11" s="8"/>
      <c r="W11" s="8"/>
      <c r="X11" s="8"/>
      <c r="Y11" s="8"/>
      <c r="Z11" s="8"/>
      <c r="AA11" s="8"/>
      <c r="AB11" s="8"/>
      <c r="AC11" s="8"/>
    </row>
    <row r="12" spans="1:29" ht="13">
      <c r="A12" s="58"/>
      <c r="B12" s="50">
        <v>9</v>
      </c>
      <c r="C12" s="16" t="s">
        <v>83</v>
      </c>
      <c r="D12" s="17">
        <v>0.09</v>
      </c>
      <c r="E12" s="8">
        <v>0.22563706491379101</v>
      </c>
      <c r="F12" s="18">
        <f t="shared" si="0"/>
        <v>22.563706491379101</v>
      </c>
      <c r="G12" s="33">
        <f t="shared" si="1"/>
        <v>230.8267174068082</v>
      </c>
      <c r="H12" s="16"/>
      <c r="I12" s="8"/>
      <c r="J12" s="8"/>
      <c r="K12" s="8"/>
      <c r="L12" s="8"/>
      <c r="M12" s="8" t="s">
        <v>410</v>
      </c>
      <c r="N12" s="8"/>
      <c r="O12" s="8"/>
      <c r="P12" s="8"/>
      <c r="Q12" s="8"/>
      <c r="R12" s="8"/>
      <c r="S12" s="8"/>
      <c r="T12" s="8"/>
      <c r="U12" s="8"/>
      <c r="V12" s="8"/>
      <c r="W12" s="8"/>
      <c r="X12" s="8"/>
      <c r="Y12" s="8"/>
      <c r="Z12" s="8"/>
      <c r="AA12" s="8"/>
      <c r="AB12" s="8"/>
      <c r="AC12" s="8"/>
    </row>
    <row r="13" spans="1:29" ht="13">
      <c r="A13" s="58"/>
      <c r="B13" s="50">
        <v>10</v>
      </c>
      <c r="C13" s="16" t="s">
        <v>84</v>
      </c>
      <c r="D13" s="69">
        <v>0.12727922061357799</v>
      </c>
      <c r="E13" s="2">
        <v>0.25117316318239702</v>
      </c>
      <c r="F13" s="18">
        <f t="shared" si="0"/>
        <v>25.117316318239702</v>
      </c>
      <c r="G13" s="33">
        <f t="shared" si="1"/>
        <v>256.95014593559216</v>
      </c>
      <c r="H13" s="16"/>
      <c r="I13" s="8"/>
      <c r="K13" s="8"/>
      <c r="L13" s="8"/>
      <c r="M13" s="8" t="s">
        <v>411</v>
      </c>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58">
        <v>0.27283377479663001</v>
      </c>
      <c r="F14" s="71">
        <f t="shared" si="0"/>
        <v>27.283377479663002</v>
      </c>
      <c r="G14" s="72">
        <f t="shared" si="1"/>
        <v>279.10895161695248</v>
      </c>
      <c r="H14" s="16"/>
      <c r="I14" s="8"/>
      <c r="J14" s="8"/>
      <c r="K14" s="8"/>
      <c r="L14" s="58"/>
      <c r="M14" s="8"/>
      <c r="N14" s="58"/>
      <c r="O14" s="8"/>
      <c r="P14" s="8"/>
      <c r="Q14" s="8"/>
      <c r="R14" s="8"/>
      <c r="S14" s="8"/>
      <c r="T14" s="8"/>
      <c r="U14" s="8"/>
      <c r="V14" s="8"/>
      <c r="W14" s="8"/>
      <c r="X14" s="8"/>
      <c r="Y14" s="8"/>
      <c r="Z14" s="8"/>
      <c r="AA14" s="8"/>
      <c r="AB14" s="8"/>
      <c r="AC14" s="8"/>
    </row>
    <row r="15" spans="1:29" ht="13">
      <c r="A15" s="58"/>
      <c r="B15" s="50">
        <v>12</v>
      </c>
      <c r="C15" s="16" t="s">
        <v>86</v>
      </c>
      <c r="D15" s="17">
        <v>0.18</v>
      </c>
      <c r="E15" s="8">
        <v>0.278395836548265</v>
      </c>
      <c r="F15" s="18">
        <f t="shared" si="0"/>
        <v>27.839583654826498</v>
      </c>
      <c r="G15" s="33">
        <f t="shared" si="1"/>
        <v>284.79894078887509</v>
      </c>
      <c r="H15" s="16"/>
      <c r="I15" s="8"/>
      <c r="J15" s="8"/>
      <c r="K15" s="8"/>
      <c r="L15" s="8"/>
      <c r="M15" s="8" t="s">
        <v>412</v>
      </c>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8">
        <v>0.289677052893207</v>
      </c>
      <c r="F16" s="71">
        <f t="shared" si="0"/>
        <v>28.967705289320701</v>
      </c>
      <c r="G16" s="72">
        <f t="shared" si="1"/>
        <v>296.33962510975078</v>
      </c>
      <c r="H16" s="16"/>
      <c r="I16" s="8"/>
      <c r="K16" s="8"/>
      <c r="L16" s="8"/>
      <c r="M16" s="8" t="s">
        <v>413</v>
      </c>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8">
        <v>0.30695324504979798</v>
      </c>
      <c r="F17" s="18">
        <f t="shared" si="0"/>
        <v>30.695324504979798</v>
      </c>
      <c r="G17" s="33">
        <f t="shared" si="1"/>
        <v>314.01316968594335</v>
      </c>
      <c r="H17" s="16"/>
      <c r="I17" s="8"/>
      <c r="K17" s="8"/>
      <c r="L17" s="8"/>
      <c r="M17" s="8" t="s">
        <v>414</v>
      </c>
      <c r="N17" s="8"/>
      <c r="O17" s="8"/>
      <c r="P17" s="8"/>
      <c r="Q17" s="8"/>
      <c r="R17" s="8"/>
      <c r="S17" s="8"/>
      <c r="T17" s="8"/>
      <c r="U17" s="8"/>
      <c r="V17" s="8"/>
      <c r="W17" s="8"/>
      <c r="X17" s="8"/>
      <c r="Y17" s="8"/>
      <c r="Z17" s="8"/>
      <c r="AA17" s="8"/>
      <c r="AB17" s="8"/>
      <c r="AC17" s="8"/>
    </row>
    <row r="18" spans="1:29" ht="13">
      <c r="A18" s="58"/>
      <c r="B18" s="50">
        <v>15</v>
      </c>
      <c r="C18" s="16" t="s">
        <v>89</v>
      </c>
      <c r="D18" s="17">
        <v>0.36</v>
      </c>
      <c r="E18" s="8">
        <v>0.33653696932251997</v>
      </c>
      <c r="F18" s="18">
        <f t="shared" si="0"/>
        <v>33.653696932251997</v>
      </c>
      <c r="G18" s="33">
        <f t="shared" si="1"/>
        <v>344.27731961693792</v>
      </c>
      <c r="H18" s="16"/>
      <c r="I18" s="8"/>
      <c r="K18" s="8"/>
      <c r="L18" s="8"/>
      <c r="M18" s="8" t="s">
        <v>415</v>
      </c>
      <c r="N18" s="8"/>
      <c r="O18" s="8"/>
      <c r="P18" s="8"/>
      <c r="Q18" s="8"/>
      <c r="R18" s="8"/>
      <c r="S18" s="8"/>
      <c r="T18" s="8"/>
      <c r="U18" s="8"/>
      <c r="V18" s="8"/>
      <c r="W18" s="8"/>
      <c r="X18" s="8"/>
      <c r="Y18" s="8"/>
      <c r="Z18" s="8"/>
      <c r="AA18" s="8"/>
      <c r="AB18" s="8"/>
      <c r="AC18" s="8"/>
    </row>
    <row r="19" spans="1:29" ht="13">
      <c r="A19" s="58"/>
      <c r="B19" s="50">
        <v>16</v>
      </c>
      <c r="C19" s="16" t="s">
        <v>90</v>
      </c>
      <c r="D19" s="17">
        <v>0.72</v>
      </c>
      <c r="E19" s="8">
        <v>0.39781875116437199</v>
      </c>
      <c r="F19" s="18">
        <f t="shared" si="0"/>
        <v>39.781875116437199</v>
      </c>
      <c r="G19" s="33">
        <f t="shared" si="1"/>
        <v>406.96858244115253</v>
      </c>
      <c r="H19" s="16"/>
      <c r="I19" s="8"/>
      <c r="K19" s="8"/>
      <c r="L19" s="8"/>
      <c r="M19" s="8" t="s">
        <v>416</v>
      </c>
      <c r="N19" s="8"/>
      <c r="O19" s="8"/>
      <c r="P19" s="8"/>
      <c r="Q19" s="8"/>
      <c r="R19" s="8"/>
      <c r="S19" s="8"/>
      <c r="T19" s="8"/>
      <c r="U19" s="8"/>
      <c r="V19" s="8"/>
      <c r="W19" s="8"/>
      <c r="X19" s="8"/>
      <c r="Y19" s="8"/>
      <c r="Z19" s="8"/>
      <c r="AA19" s="8"/>
      <c r="AB19" s="8"/>
      <c r="AC19" s="8"/>
    </row>
    <row r="20" spans="1:29" ht="13">
      <c r="A20" s="58"/>
      <c r="B20" s="82">
        <v>17</v>
      </c>
      <c r="C20" s="73" t="s">
        <v>91</v>
      </c>
      <c r="D20" s="74">
        <v>0.9</v>
      </c>
      <c r="E20" s="86">
        <v>0.417959358921077</v>
      </c>
      <c r="F20" s="76">
        <f t="shared" si="0"/>
        <v>41.7959358921077</v>
      </c>
      <c r="G20" s="77">
        <f t="shared" si="1"/>
        <v>427.57242417626179</v>
      </c>
      <c r="H20" s="73" t="s">
        <v>205</v>
      </c>
      <c r="I20" s="8"/>
      <c r="J20" s="8"/>
      <c r="K20" s="8"/>
      <c r="L20" s="8"/>
      <c r="N20" s="8"/>
      <c r="O20" s="8"/>
      <c r="P20" s="8"/>
      <c r="Q20" s="8"/>
      <c r="R20" s="8"/>
      <c r="S20" s="8"/>
      <c r="T20" s="8"/>
      <c r="U20" s="8"/>
      <c r="V20" s="8"/>
      <c r="W20" s="8"/>
      <c r="X20" s="8"/>
      <c r="Y20" s="8"/>
      <c r="Z20" s="8"/>
      <c r="AA20" s="8"/>
      <c r="AB20" s="8"/>
      <c r="AC20" s="8"/>
    </row>
    <row r="21" spans="1:29" ht="13">
      <c r="A21" s="58"/>
      <c r="B21" s="50">
        <v>18</v>
      </c>
      <c r="C21" s="16" t="s">
        <v>92</v>
      </c>
      <c r="D21" s="17">
        <v>1.44</v>
      </c>
      <c r="E21" s="8">
        <v>0.46080655270816101</v>
      </c>
      <c r="F21" s="18">
        <f t="shared" si="0"/>
        <v>46.080655270816102</v>
      </c>
      <c r="G21" s="33">
        <f t="shared" si="1"/>
        <v>471.40510342044871</v>
      </c>
      <c r="H21" s="16"/>
      <c r="I21" s="8"/>
      <c r="J21" s="8"/>
      <c r="K21" s="8"/>
      <c r="L21" s="8"/>
      <c r="M21" s="2" t="s">
        <v>417</v>
      </c>
      <c r="N21" s="8"/>
      <c r="O21" s="8"/>
      <c r="P21" s="8"/>
      <c r="Q21" s="8"/>
      <c r="R21" s="8"/>
      <c r="S21" s="8"/>
      <c r="T21" s="8"/>
      <c r="U21" s="8"/>
      <c r="V21" s="8"/>
      <c r="W21" s="8"/>
      <c r="X21" s="8"/>
      <c r="Y21" s="8"/>
      <c r="Z21" s="8"/>
      <c r="AA21" s="8"/>
      <c r="AB21" s="8"/>
      <c r="AC21" s="8"/>
    </row>
    <row r="22" spans="1:29" ht="13">
      <c r="A22" s="58"/>
      <c r="B22" s="50">
        <v>19</v>
      </c>
      <c r="C22" s="16" t="s">
        <v>93</v>
      </c>
      <c r="D22" s="17">
        <v>2.88</v>
      </c>
      <c r="E22" s="8">
        <v>0.52468488436523897</v>
      </c>
      <c r="F22" s="18">
        <f t="shared" si="0"/>
        <v>52.468488436523899</v>
      </c>
      <c r="G22" s="33">
        <f t="shared" si="1"/>
        <v>536.75263670563947</v>
      </c>
      <c r="H22" s="94"/>
      <c r="I22" s="8"/>
      <c r="J22" s="8"/>
      <c r="K22" s="8"/>
      <c r="L22" s="8"/>
      <c r="M22" s="2" t="s">
        <v>419</v>
      </c>
      <c r="N22" s="8"/>
      <c r="O22" s="8"/>
      <c r="P22" s="8"/>
      <c r="Q22" s="8"/>
      <c r="R22" s="8"/>
      <c r="S22" s="8"/>
      <c r="T22" s="8"/>
      <c r="U22" s="8"/>
      <c r="V22" s="8"/>
      <c r="W22" s="8"/>
      <c r="X22" s="8"/>
      <c r="Y22" s="8"/>
      <c r="Z22" s="8"/>
      <c r="AA22" s="8"/>
      <c r="AB22" s="8"/>
      <c r="AC22" s="8"/>
    </row>
    <row r="23" spans="1:29" ht="13">
      <c r="A23" s="58"/>
      <c r="B23" s="50">
        <v>20</v>
      </c>
      <c r="C23" s="16" t="s">
        <v>94</v>
      </c>
      <c r="D23" s="17">
        <v>5.76</v>
      </c>
      <c r="E23" s="8">
        <v>0.58901836387713302</v>
      </c>
      <c r="F23" s="18">
        <f t="shared" si="0"/>
        <v>58.901836387713303</v>
      </c>
      <c r="G23" s="33">
        <f t="shared" si="1"/>
        <v>602.56578624630708</v>
      </c>
      <c r="H23" s="94"/>
      <c r="I23" s="8"/>
      <c r="J23" s="8"/>
      <c r="K23" s="8"/>
      <c r="L23" s="8"/>
      <c r="M23" s="8"/>
      <c r="N23" s="8"/>
      <c r="O23" s="8"/>
      <c r="P23" s="8"/>
      <c r="Q23" s="8"/>
      <c r="R23" s="8"/>
      <c r="S23" s="8"/>
      <c r="T23" s="8"/>
      <c r="U23" s="8"/>
      <c r="V23" s="8"/>
      <c r="W23" s="8"/>
      <c r="X23" s="8"/>
      <c r="Y23" s="8"/>
      <c r="Z23" s="8"/>
      <c r="AA23" s="8"/>
      <c r="AB23" s="8"/>
      <c r="AC23" s="8"/>
    </row>
    <row r="24" spans="1:29" ht="13">
      <c r="A24" s="58"/>
      <c r="B24" s="50">
        <v>21</v>
      </c>
      <c r="C24" s="16" t="s">
        <v>95</v>
      </c>
      <c r="D24" s="17">
        <v>11.52</v>
      </c>
      <c r="E24" s="8">
        <v>0.65358195460069901</v>
      </c>
      <c r="F24" s="18">
        <f t="shared" si="0"/>
        <v>65.358195460069908</v>
      </c>
      <c r="G24" s="33">
        <f t="shared" si="1"/>
        <v>668.61433955651512</v>
      </c>
      <c r="H24" s="94" t="s">
        <v>214</v>
      </c>
      <c r="I24" s="8"/>
      <c r="J24" s="8"/>
      <c r="K24" s="8"/>
      <c r="L24" s="8"/>
      <c r="M24" s="8" t="s">
        <v>420</v>
      </c>
      <c r="N24" s="8"/>
      <c r="O24" s="8"/>
      <c r="P24" s="8"/>
      <c r="Q24" s="8"/>
      <c r="R24" s="8"/>
      <c r="S24" s="8"/>
      <c r="T24" s="8"/>
      <c r="U24" s="8"/>
      <c r="V24" s="8"/>
      <c r="W24" s="8"/>
      <c r="X24" s="8"/>
      <c r="Y24" s="8"/>
      <c r="Z24" s="8"/>
      <c r="AA24" s="8"/>
      <c r="AB24" s="8"/>
      <c r="AC24" s="8"/>
    </row>
    <row r="25" spans="1:29" ht="13">
      <c r="A25" s="58"/>
      <c r="B25" s="50">
        <v>22</v>
      </c>
      <c r="C25" s="16" t="s">
        <v>96</v>
      </c>
      <c r="D25" s="17">
        <v>23.04</v>
      </c>
      <c r="E25" s="8">
        <v>0.71826124382305101</v>
      </c>
      <c r="F25" s="18">
        <f t="shared" si="0"/>
        <v>71.826124382305096</v>
      </c>
      <c r="G25" s="33">
        <f t="shared" si="1"/>
        <v>734.78125243098123</v>
      </c>
      <c r="H25" s="94" t="s">
        <v>466</v>
      </c>
      <c r="I25" s="8"/>
      <c r="J25" s="8"/>
      <c r="K25" s="8"/>
      <c r="L25" s="8"/>
      <c r="M25" s="8" t="s">
        <v>421</v>
      </c>
      <c r="N25" s="8"/>
      <c r="O25" s="8"/>
      <c r="P25" s="8"/>
      <c r="Q25" s="8"/>
      <c r="R25" s="8"/>
      <c r="S25" s="8"/>
      <c r="T25" s="8"/>
      <c r="U25" s="8"/>
      <c r="V25" s="8"/>
      <c r="W25" s="8"/>
      <c r="X25" s="8"/>
      <c r="Y25" s="8"/>
      <c r="Z25" s="8"/>
      <c r="AA25" s="8"/>
      <c r="AB25" s="8"/>
      <c r="AC25" s="8"/>
    </row>
    <row r="26" spans="1:29" ht="13">
      <c r="A26" s="58"/>
      <c r="B26" s="50">
        <v>23</v>
      </c>
      <c r="C26" s="16" t="s">
        <v>97</v>
      </c>
      <c r="D26" s="17">
        <v>46.08</v>
      </c>
      <c r="E26" s="8">
        <v>0.78299854410556502</v>
      </c>
      <c r="F26" s="18">
        <f t="shared" si="0"/>
        <v>78.299854410556506</v>
      </c>
      <c r="G26" s="33">
        <f t="shared" si="1"/>
        <v>801.00751061999301</v>
      </c>
      <c r="H26" s="94"/>
      <c r="I26" s="8"/>
      <c r="K26" s="8"/>
      <c r="L26" s="8"/>
      <c r="M26" s="8" t="s">
        <v>423</v>
      </c>
      <c r="N26" s="8"/>
      <c r="O26" s="8"/>
      <c r="P26" s="8"/>
      <c r="Q26" s="8"/>
      <c r="R26" s="8"/>
      <c r="S26" s="8"/>
      <c r="T26" s="8"/>
      <c r="U26" s="8"/>
      <c r="V26" s="8"/>
      <c r="W26" s="8"/>
      <c r="X26" s="8"/>
      <c r="Y26" s="8"/>
      <c r="Z26" s="8"/>
      <c r="AA26" s="8"/>
      <c r="AB26" s="8"/>
      <c r="AC26" s="8"/>
    </row>
    <row r="27" spans="1:29" ht="13">
      <c r="A27" s="58"/>
      <c r="B27" s="50">
        <v>24</v>
      </c>
      <c r="C27" s="16" t="s">
        <v>98</v>
      </c>
      <c r="D27" s="5">
        <f>0.18*2^9</f>
        <v>92.16</v>
      </c>
      <c r="E27" s="8">
        <v>0.84776489050781001</v>
      </c>
      <c r="F27" s="18">
        <f t="shared" si="0"/>
        <v>84.776489050780995</v>
      </c>
      <c r="G27" s="33">
        <f t="shared" si="1"/>
        <v>867.2634829894896</v>
      </c>
      <c r="H27" s="43"/>
      <c r="I27" s="8"/>
      <c r="J27" s="8"/>
      <c r="K27" s="8"/>
      <c r="L27" s="8"/>
      <c r="M27" s="8" t="s">
        <v>425</v>
      </c>
      <c r="N27" s="8"/>
      <c r="O27" s="8"/>
      <c r="P27" s="8"/>
      <c r="Q27" s="8"/>
      <c r="R27" s="8"/>
      <c r="S27" s="8"/>
      <c r="T27" s="8"/>
      <c r="U27" s="8"/>
      <c r="V27" s="8"/>
      <c r="W27" s="8"/>
      <c r="X27" s="8"/>
      <c r="Y27" s="8"/>
      <c r="Z27" s="8"/>
      <c r="AA27" s="8"/>
      <c r="AB27" s="8"/>
      <c r="AC27" s="8"/>
    </row>
    <row r="28" spans="1:29" ht="13">
      <c r="A28" s="81"/>
      <c r="B28" s="81"/>
      <c r="C28" s="81"/>
      <c r="D28" s="5">
        <f>0.18*2^10</f>
        <v>184.32</v>
      </c>
      <c r="E28" s="2">
        <v>0.91254577013451799</v>
      </c>
      <c r="F28" s="95">
        <f t="shared" si="0"/>
        <v>91.254577013451794</v>
      </c>
      <c r="G28" s="96">
        <f t="shared" si="1"/>
        <v>933.53432284761186</v>
      </c>
      <c r="H28" s="81"/>
      <c r="I28" s="81"/>
      <c r="J28" s="81"/>
      <c r="K28" s="81"/>
      <c r="L28" s="81"/>
      <c r="M28" s="81"/>
      <c r="N28" s="81"/>
      <c r="O28" s="81"/>
      <c r="P28" s="81"/>
      <c r="Q28" s="81"/>
      <c r="R28" s="81"/>
      <c r="S28" s="81"/>
      <c r="T28" s="81"/>
      <c r="U28" s="81"/>
      <c r="V28" s="81"/>
      <c r="W28" s="81"/>
      <c r="X28" s="81"/>
      <c r="Y28" s="81"/>
      <c r="Z28" s="81"/>
      <c r="AA28" s="81"/>
      <c r="AB28" s="81"/>
      <c r="AC28" s="81"/>
    </row>
    <row r="29" spans="1:29" ht="15">
      <c r="A29" s="8"/>
      <c r="B29" s="43"/>
      <c r="C29" s="12" t="s">
        <v>467</v>
      </c>
      <c r="D29" s="173" t="s">
        <v>142</v>
      </c>
      <c r="E29" s="166"/>
      <c r="F29" s="166"/>
      <c r="G29" s="167"/>
      <c r="H29" s="41" t="s">
        <v>228</v>
      </c>
      <c r="I29" s="8"/>
      <c r="J29" s="8"/>
      <c r="K29" s="87" t="s">
        <v>427</v>
      </c>
      <c r="L29" s="175" t="s">
        <v>428</v>
      </c>
      <c r="M29" s="176"/>
      <c r="N29" s="176"/>
      <c r="O29" s="176"/>
      <c r="P29" s="176"/>
      <c r="Q29" s="8"/>
      <c r="R29" s="8"/>
      <c r="S29" s="8"/>
      <c r="T29" s="8"/>
      <c r="U29" s="8"/>
      <c r="V29" s="8"/>
      <c r="W29" s="8"/>
      <c r="X29" s="8"/>
      <c r="Y29" s="8"/>
      <c r="Z29" s="8"/>
      <c r="AA29" s="8"/>
      <c r="AB29" s="8"/>
      <c r="AC29" s="8"/>
    </row>
    <row r="30" spans="1:29" ht="43">
      <c r="A30" s="8"/>
      <c r="B30" s="41" t="s">
        <v>58</v>
      </c>
      <c r="C30" s="41" t="s">
        <v>59</v>
      </c>
      <c r="D30" s="41" t="s">
        <v>143</v>
      </c>
      <c r="E30" s="83" t="s">
        <v>144</v>
      </c>
      <c r="F30" s="83" t="s">
        <v>145</v>
      </c>
      <c r="G30" s="83" t="s">
        <v>146</v>
      </c>
      <c r="H30" s="43"/>
      <c r="I30" s="8"/>
      <c r="J30" s="8"/>
      <c r="K30" s="87" t="s">
        <v>429</v>
      </c>
      <c r="L30" s="87" t="s">
        <v>430</v>
      </c>
      <c r="M30" s="87" t="s">
        <v>431</v>
      </c>
      <c r="N30" s="87" t="s">
        <v>432</v>
      </c>
      <c r="O30" s="87" t="s">
        <v>433</v>
      </c>
      <c r="P30" s="87" t="s">
        <v>434</v>
      </c>
      <c r="Q30" s="8"/>
      <c r="R30" s="87"/>
      <c r="S30" s="87" t="s">
        <v>429</v>
      </c>
      <c r="T30" s="87" t="s">
        <v>430</v>
      </c>
      <c r="U30" s="87" t="s">
        <v>431</v>
      </c>
      <c r="V30" s="87" t="s">
        <v>432</v>
      </c>
      <c r="W30" s="87" t="s">
        <v>433</v>
      </c>
      <c r="X30" s="87" t="s">
        <v>434</v>
      </c>
      <c r="Y30" s="8"/>
      <c r="Z30" s="8"/>
      <c r="AA30" s="8"/>
      <c r="AB30" s="8"/>
      <c r="AC30" s="8"/>
    </row>
    <row r="31" spans="1:29" ht="15">
      <c r="A31" s="58"/>
      <c r="B31" s="69">
        <v>1</v>
      </c>
      <c r="C31" s="43" t="s">
        <v>229</v>
      </c>
      <c r="D31" s="69">
        <v>7.0312499999999997E-4</v>
      </c>
      <c r="E31" s="43">
        <v>9.51285663613822E-2</v>
      </c>
      <c r="F31" s="71">
        <f t="shared" ref="F31:F201" si="2">E31*100</f>
        <v>9.5128566361382205</v>
      </c>
      <c r="G31" s="84">
        <f t="shared" ref="G31:G201" si="3">E31*1023</f>
        <v>97.316523387693991</v>
      </c>
      <c r="H31" s="43"/>
      <c r="I31" s="8"/>
      <c r="J31" s="8"/>
      <c r="K31" s="88" t="s">
        <v>435</v>
      </c>
      <c r="L31" s="87">
        <v>151</v>
      </c>
      <c r="M31" s="87">
        <v>606</v>
      </c>
      <c r="N31" s="87">
        <v>102</v>
      </c>
      <c r="O31" s="87">
        <v>409</v>
      </c>
      <c r="P31" s="89">
        <v>9.9900000000000003E-2</v>
      </c>
      <c r="Q31" s="8"/>
      <c r="R31" s="87"/>
      <c r="S31" s="88" t="s">
        <v>436</v>
      </c>
      <c r="T31" s="87">
        <v>145</v>
      </c>
      <c r="U31" s="87">
        <v>581</v>
      </c>
      <c r="V31" s="87">
        <v>95</v>
      </c>
      <c r="W31" s="87">
        <v>380</v>
      </c>
      <c r="X31" s="89">
        <v>9.2899999999999996E-2</v>
      </c>
      <c r="Y31" s="8"/>
      <c r="Z31" s="8"/>
      <c r="AA31" s="8"/>
      <c r="AB31" s="8"/>
      <c r="AC31" s="8"/>
    </row>
    <row r="32" spans="1:29" ht="15">
      <c r="A32" s="58"/>
      <c r="B32" s="69">
        <v>2</v>
      </c>
      <c r="C32" s="43" t="s">
        <v>230</v>
      </c>
      <c r="D32" s="69">
        <v>7.5359071584583004E-4</v>
      </c>
      <c r="E32" s="43">
        <v>9.5289002686607602E-2</v>
      </c>
      <c r="F32" s="71">
        <f t="shared" si="2"/>
        <v>9.5289002686607596</v>
      </c>
      <c r="G32" s="84">
        <f t="shared" si="3"/>
        <v>97.480649748399571</v>
      </c>
      <c r="H32" s="43"/>
      <c r="I32" s="8"/>
      <c r="J32" s="8"/>
      <c r="K32" s="88">
        <v>-6</v>
      </c>
      <c r="L32" s="87">
        <v>153</v>
      </c>
      <c r="M32" s="87">
        <v>612</v>
      </c>
      <c r="N32" s="87">
        <v>104</v>
      </c>
      <c r="O32" s="87">
        <v>416</v>
      </c>
      <c r="P32" s="89">
        <v>0.1016</v>
      </c>
      <c r="Q32" s="8"/>
      <c r="R32" s="87"/>
      <c r="S32" s="88">
        <v>-6.31</v>
      </c>
      <c r="T32" s="87">
        <v>152</v>
      </c>
      <c r="U32" s="87">
        <v>606</v>
      </c>
      <c r="V32" s="87">
        <v>102</v>
      </c>
      <c r="W32" s="87">
        <v>410</v>
      </c>
      <c r="X32" s="89">
        <v>0.1</v>
      </c>
      <c r="Y32" s="8"/>
      <c r="Z32" s="8"/>
      <c r="AA32" s="8"/>
      <c r="AB32" s="8"/>
      <c r="AC32" s="8"/>
    </row>
    <row r="33" spans="1:29" ht="15">
      <c r="A33" s="58"/>
      <c r="B33" s="69">
        <v>3</v>
      </c>
      <c r="C33" s="43" t="s">
        <v>231</v>
      </c>
      <c r="D33" s="69">
        <v>8.0767853085729003E-4</v>
      </c>
      <c r="E33" s="43">
        <v>9.5460648927046102E-2</v>
      </c>
      <c r="F33" s="71">
        <f t="shared" si="2"/>
        <v>9.5460648927046101</v>
      </c>
      <c r="G33" s="84">
        <f t="shared" si="3"/>
        <v>97.656243852368164</v>
      </c>
      <c r="H33" s="43"/>
      <c r="I33" s="8"/>
      <c r="J33" s="8"/>
      <c r="K33" s="88" t="s">
        <v>437</v>
      </c>
      <c r="L33" s="87">
        <v>155</v>
      </c>
      <c r="M33" s="87">
        <v>620</v>
      </c>
      <c r="N33" s="87">
        <v>106</v>
      </c>
      <c r="O33" s="87">
        <v>425</v>
      </c>
      <c r="P33" s="89">
        <v>0.1038</v>
      </c>
      <c r="Q33" s="8"/>
      <c r="R33" s="87"/>
      <c r="S33" s="88">
        <v>-4.96</v>
      </c>
      <c r="T33" s="87">
        <v>160</v>
      </c>
      <c r="U33" s="87">
        <v>641</v>
      </c>
      <c r="V33" s="87">
        <v>113</v>
      </c>
      <c r="W33" s="87">
        <v>450</v>
      </c>
      <c r="X33" s="89">
        <v>0.11</v>
      </c>
      <c r="Y33" s="8"/>
      <c r="Z33" s="8"/>
      <c r="AA33" s="8"/>
      <c r="AB33" s="8"/>
      <c r="AC33" s="8"/>
    </row>
    <row r="34" spans="1:29" ht="15">
      <c r="A34" s="58"/>
      <c r="B34" s="69">
        <v>4</v>
      </c>
      <c r="C34" s="43" t="s">
        <v>232</v>
      </c>
      <c r="D34" s="69">
        <v>8.6564841563314401E-4</v>
      </c>
      <c r="E34" s="43">
        <v>9.5644265566823303E-2</v>
      </c>
      <c r="F34" s="71">
        <f t="shared" si="2"/>
        <v>9.5644265566823297</v>
      </c>
      <c r="G34" s="84">
        <f t="shared" si="3"/>
        <v>97.844083674860244</v>
      </c>
      <c r="H34" s="43"/>
      <c r="I34" s="8"/>
      <c r="J34" s="8"/>
      <c r="K34" s="88" t="s">
        <v>438</v>
      </c>
      <c r="L34" s="87">
        <v>157</v>
      </c>
      <c r="M34" s="87">
        <v>629</v>
      </c>
      <c r="N34" s="87">
        <v>109</v>
      </c>
      <c r="O34" s="87">
        <v>436</v>
      </c>
      <c r="P34" s="89">
        <v>0.10639999999999999</v>
      </c>
      <c r="Q34" s="8"/>
      <c r="R34" s="87"/>
      <c r="S34" s="88">
        <v>-4.22</v>
      </c>
      <c r="T34" s="87">
        <v>169</v>
      </c>
      <c r="U34" s="87">
        <v>676</v>
      </c>
      <c r="V34" s="87">
        <v>123</v>
      </c>
      <c r="W34" s="87">
        <v>491</v>
      </c>
      <c r="X34" s="89">
        <v>0.12</v>
      </c>
      <c r="Y34" s="8"/>
      <c r="Z34" s="8"/>
      <c r="AA34" s="8"/>
      <c r="AB34" s="8"/>
      <c r="AC34" s="8"/>
    </row>
    <row r="35" spans="1:29" ht="15">
      <c r="A35" s="58"/>
      <c r="B35" s="69">
        <v>5</v>
      </c>
      <c r="C35" s="43" t="s">
        <v>233</v>
      </c>
      <c r="D35" s="69">
        <v>9.2777899976219098E-4</v>
      </c>
      <c r="E35" s="43">
        <v>9.5840661407054994E-2</v>
      </c>
      <c r="F35" s="71">
        <f t="shared" si="2"/>
        <v>9.5840661407054988</v>
      </c>
      <c r="G35" s="84">
        <f t="shared" si="3"/>
        <v>98.044996619417262</v>
      </c>
      <c r="H35" s="43"/>
      <c r="I35" s="8"/>
      <c r="J35" s="8"/>
      <c r="K35" s="88">
        <v>-5</v>
      </c>
      <c r="L35" s="87">
        <v>160</v>
      </c>
      <c r="M35" s="87">
        <v>640</v>
      </c>
      <c r="N35" s="87">
        <v>112</v>
      </c>
      <c r="O35" s="87">
        <v>449</v>
      </c>
      <c r="P35" s="89">
        <v>0.1096</v>
      </c>
      <c r="Q35" s="8"/>
      <c r="R35" s="87"/>
      <c r="S35" s="88">
        <v>-3.69</v>
      </c>
      <c r="T35" s="87">
        <v>178</v>
      </c>
      <c r="U35" s="87">
        <v>712</v>
      </c>
      <c r="V35" s="87">
        <v>133</v>
      </c>
      <c r="W35" s="87">
        <v>532</v>
      </c>
      <c r="X35" s="89">
        <v>0.13</v>
      </c>
      <c r="Y35" s="8"/>
      <c r="Z35" s="8"/>
      <c r="AA35" s="8"/>
      <c r="AB35" s="8"/>
      <c r="AC35" s="8"/>
    </row>
    <row r="36" spans="1:29" ht="15">
      <c r="A36" s="58"/>
      <c r="B36" s="69">
        <v>6</v>
      </c>
      <c r="C36" s="43" t="s">
        <v>234</v>
      </c>
      <c r="D36" s="69">
        <v>9.9436891104358197E-4</v>
      </c>
      <c r="E36" s="43">
        <v>9.6050696161617502E-2</v>
      </c>
      <c r="F36" s="71">
        <f t="shared" si="2"/>
        <v>9.6050696161617495</v>
      </c>
      <c r="G36" s="84">
        <f t="shared" si="3"/>
        <v>98.25986217333471</v>
      </c>
      <c r="H36" s="43"/>
      <c r="I36" s="8"/>
      <c r="J36" s="8"/>
      <c r="K36" s="88" t="s">
        <v>439</v>
      </c>
      <c r="L36" s="87">
        <v>163</v>
      </c>
      <c r="M36" s="87">
        <v>654</v>
      </c>
      <c r="N36" s="87">
        <v>116</v>
      </c>
      <c r="O36" s="87">
        <v>465</v>
      </c>
      <c r="P36" s="89">
        <v>0.1135</v>
      </c>
      <c r="Q36" s="8"/>
      <c r="R36" s="87"/>
      <c r="S36" s="88">
        <v>-3.26</v>
      </c>
      <c r="T36" s="87">
        <v>187</v>
      </c>
      <c r="U36" s="87">
        <v>747</v>
      </c>
      <c r="V36" s="87">
        <v>143</v>
      </c>
      <c r="W36" s="87">
        <v>573</v>
      </c>
      <c r="X36" s="89">
        <v>0.14000000000000001</v>
      </c>
      <c r="Y36" s="8"/>
      <c r="Z36" s="8"/>
      <c r="AA36" s="8"/>
      <c r="AB36" s="8"/>
      <c r="AC36" s="8"/>
    </row>
    <row r="37" spans="1:29" ht="15">
      <c r="A37" s="58"/>
      <c r="B37" s="69">
        <v>7</v>
      </c>
      <c r="C37" s="43" t="s">
        <v>235</v>
      </c>
      <c r="D37" s="69">
        <v>1.06573821082762E-3</v>
      </c>
      <c r="E37" s="43">
        <v>9.62752831324859E-2</v>
      </c>
      <c r="F37" s="71">
        <f t="shared" si="2"/>
        <v>9.6275283132485896</v>
      </c>
      <c r="G37" s="84">
        <f t="shared" si="3"/>
        <v>98.489614644533077</v>
      </c>
      <c r="H37" s="43"/>
      <c r="I37" s="8"/>
      <c r="J37" s="8"/>
      <c r="K37" s="88" t="s">
        <v>440</v>
      </c>
      <c r="L37" s="87">
        <v>168</v>
      </c>
      <c r="M37" s="87">
        <v>670</v>
      </c>
      <c r="N37" s="87">
        <v>121</v>
      </c>
      <c r="O37" s="87">
        <v>484</v>
      </c>
      <c r="P37" s="89">
        <v>0.1182</v>
      </c>
      <c r="Q37" s="8"/>
      <c r="R37" s="87"/>
      <c r="S37" s="88">
        <v>-2.9</v>
      </c>
      <c r="T37" s="87">
        <v>195</v>
      </c>
      <c r="U37" s="87">
        <v>782</v>
      </c>
      <c r="V37" s="87">
        <v>153</v>
      </c>
      <c r="W37" s="87">
        <v>614</v>
      </c>
      <c r="X37" s="89">
        <v>0.15</v>
      </c>
      <c r="Y37" s="8"/>
      <c r="Z37" s="8"/>
      <c r="AA37" s="8"/>
      <c r="AB37" s="8"/>
      <c r="AC37" s="8"/>
    </row>
    <row r="38" spans="1:29" ht="15">
      <c r="A38" s="58"/>
      <c r="B38" s="69">
        <v>8</v>
      </c>
      <c r="C38" s="43" t="s">
        <v>236</v>
      </c>
      <c r="D38" s="69">
        <v>1.1422299323759499E-3</v>
      </c>
      <c r="E38" s="43">
        <v>9.6515391936031203E-2</v>
      </c>
      <c r="F38" s="71">
        <f t="shared" si="2"/>
        <v>9.6515391936031207</v>
      </c>
      <c r="G38" s="84">
        <f t="shared" si="3"/>
        <v>98.735245950559914</v>
      </c>
      <c r="H38" s="43"/>
      <c r="I38" s="8"/>
      <c r="J38" s="8"/>
      <c r="K38" s="88">
        <v>-4</v>
      </c>
      <c r="L38" s="87">
        <v>172</v>
      </c>
      <c r="M38" s="87">
        <v>690</v>
      </c>
      <c r="N38" s="87">
        <v>127</v>
      </c>
      <c r="O38" s="87">
        <v>507</v>
      </c>
      <c r="P38" s="89">
        <v>0.12379999999999999</v>
      </c>
      <c r="Q38" s="8"/>
      <c r="R38" s="87"/>
      <c r="S38" s="88">
        <v>-2.58</v>
      </c>
      <c r="T38" s="87">
        <v>204</v>
      </c>
      <c r="U38" s="87">
        <v>817</v>
      </c>
      <c r="V38" s="87">
        <v>164</v>
      </c>
      <c r="W38" s="87">
        <v>655</v>
      </c>
      <c r="X38" s="89">
        <v>0.16</v>
      </c>
      <c r="Y38" s="8"/>
      <c r="Z38" s="8"/>
      <c r="AA38" s="8"/>
      <c r="AB38" s="8"/>
      <c r="AC38" s="8"/>
    </row>
    <row r="39" spans="1:29" ht="15">
      <c r="A39" s="58"/>
      <c r="B39" s="69">
        <v>9</v>
      </c>
      <c r="C39" s="43" t="s">
        <v>237</v>
      </c>
      <c r="D39" s="69">
        <v>1.22421172963517E-3</v>
      </c>
      <c r="E39" s="43">
        <v>9.6772051302130693E-2</v>
      </c>
      <c r="F39" s="71">
        <f t="shared" si="2"/>
        <v>9.6772051302130695</v>
      </c>
      <c r="G39" s="84">
        <f t="shared" si="3"/>
        <v>98.997808482079705</v>
      </c>
      <c r="H39" s="43"/>
      <c r="I39" s="8"/>
      <c r="J39" s="8"/>
      <c r="K39" s="88" t="s">
        <v>441</v>
      </c>
      <c r="L39" s="87">
        <v>178</v>
      </c>
      <c r="M39" s="87">
        <v>713</v>
      </c>
      <c r="N39" s="87">
        <v>133</v>
      </c>
      <c r="O39" s="87">
        <v>534</v>
      </c>
      <c r="P39" s="89">
        <v>0.13039999999999999</v>
      </c>
      <c r="Q39" s="8"/>
      <c r="R39" s="87"/>
      <c r="S39" s="88">
        <v>-2.29</v>
      </c>
      <c r="T39" s="87">
        <v>213</v>
      </c>
      <c r="U39" s="87">
        <v>852</v>
      </c>
      <c r="V39" s="87">
        <v>174</v>
      </c>
      <c r="W39" s="87">
        <v>696</v>
      </c>
      <c r="X39" s="89">
        <v>0.17</v>
      </c>
      <c r="Y39" s="8"/>
      <c r="Z39" s="8"/>
      <c r="AA39" s="8"/>
      <c r="AB39" s="8"/>
      <c r="AC39" s="8"/>
    </row>
    <row r="40" spans="1:29" ht="15">
      <c r="A40" s="58"/>
      <c r="B40" s="69">
        <v>10</v>
      </c>
      <c r="C40" s="43" t="s">
        <v>238</v>
      </c>
      <c r="D40" s="69">
        <v>1.31207764434863E-3</v>
      </c>
      <c r="E40" s="43">
        <v>9.7046351871525105E-2</v>
      </c>
      <c r="F40" s="71">
        <f t="shared" si="2"/>
        <v>9.7046351871525101</v>
      </c>
      <c r="G40" s="84">
        <f t="shared" si="3"/>
        <v>99.278417964570181</v>
      </c>
      <c r="H40" s="43"/>
      <c r="I40" s="8"/>
      <c r="J40" s="8"/>
      <c r="K40" s="88" t="s">
        <v>442</v>
      </c>
      <c r="L40" s="87">
        <v>185</v>
      </c>
      <c r="M40" s="87">
        <v>740</v>
      </c>
      <c r="N40" s="87">
        <v>141</v>
      </c>
      <c r="O40" s="87">
        <v>566</v>
      </c>
      <c r="P40" s="89">
        <v>0.1381</v>
      </c>
      <c r="Q40" s="8"/>
      <c r="R40" s="87"/>
      <c r="S40" s="88">
        <v>-2.0299999999999998</v>
      </c>
      <c r="T40" s="87">
        <v>222</v>
      </c>
      <c r="U40" s="87">
        <v>887</v>
      </c>
      <c r="V40" s="87">
        <v>184</v>
      </c>
      <c r="W40" s="87">
        <v>737</v>
      </c>
      <c r="X40" s="89">
        <v>0.18</v>
      </c>
      <c r="Y40" s="8"/>
      <c r="Z40" s="8"/>
      <c r="AA40" s="8"/>
      <c r="AB40" s="8"/>
      <c r="AC40" s="8"/>
    </row>
    <row r="41" spans="1:29" ht="15">
      <c r="A41" s="58"/>
      <c r="B41" s="69">
        <v>11</v>
      </c>
      <c r="C41" s="43" t="s">
        <v>239</v>
      </c>
      <c r="D41" s="69">
        <v>1.4062499999999999E-3</v>
      </c>
      <c r="E41" s="43">
        <v>9.7339449070738396E-2</v>
      </c>
      <c r="F41" s="71">
        <f t="shared" si="2"/>
        <v>9.7339449070738393</v>
      </c>
      <c r="G41" s="84">
        <f t="shared" si="3"/>
        <v>99.578256399365372</v>
      </c>
      <c r="H41" s="43"/>
      <c r="I41" s="8"/>
      <c r="J41" s="8"/>
      <c r="K41" s="88">
        <v>-3</v>
      </c>
      <c r="L41" s="87">
        <v>193</v>
      </c>
      <c r="M41" s="87">
        <v>771</v>
      </c>
      <c r="N41" s="87">
        <v>150</v>
      </c>
      <c r="O41" s="87">
        <v>602</v>
      </c>
      <c r="P41" s="89">
        <v>0.14699999999999999</v>
      </c>
      <c r="Q41" s="8"/>
      <c r="R41" s="87"/>
      <c r="S41" s="88">
        <v>-1.78</v>
      </c>
      <c r="T41" s="87">
        <v>230</v>
      </c>
      <c r="U41" s="87">
        <v>922</v>
      </c>
      <c r="V41" s="87">
        <v>194</v>
      </c>
      <c r="W41" s="87">
        <v>778</v>
      </c>
      <c r="X41" s="89">
        <v>0.19</v>
      </c>
      <c r="Y41" s="8"/>
      <c r="Z41" s="8"/>
      <c r="AA41" s="8"/>
      <c r="AB41" s="8"/>
      <c r="AC41" s="8"/>
    </row>
    <row r="42" spans="1:29" ht="15">
      <c r="A42" s="58"/>
      <c r="B42" s="69">
        <v>12</v>
      </c>
      <c r="C42" s="43" t="s">
        <v>240</v>
      </c>
      <c r="D42" s="69">
        <v>1.5071814316916601E-3</v>
      </c>
      <c r="E42" s="43">
        <v>9.7652565929816595E-2</v>
      </c>
      <c r="F42" s="71">
        <f t="shared" si="2"/>
        <v>9.7652565929816593</v>
      </c>
      <c r="G42" s="84">
        <f t="shared" si="3"/>
        <v>99.898574946202373</v>
      </c>
      <c r="H42" s="43"/>
      <c r="I42" s="8"/>
      <c r="J42" s="8"/>
      <c r="K42" s="88" t="s">
        <v>443</v>
      </c>
      <c r="L42" s="87">
        <v>202</v>
      </c>
      <c r="M42" s="87">
        <v>807</v>
      </c>
      <c r="N42" s="87">
        <v>161</v>
      </c>
      <c r="O42" s="87">
        <v>643</v>
      </c>
      <c r="P42" s="89">
        <v>0.15709999999999999</v>
      </c>
      <c r="Q42" s="8"/>
      <c r="R42" s="87"/>
      <c r="S42" s="88">
        <v>-1.55</v>
      </c>
      <c r="T42" s="87">
        <v>239</v>
      </c>
      <c r="U42" s="87">
        <v>957</v>
      </c>
      <c r="V42" s="87">
        <v>205</v>
      </c>
      <c r="W42" s="87">
        <v>819</v>
      </c>
      <c r="X42" s="89">
        <v>0.2</v>
      </c>
      <c r="Y42" s="8"/>
      <c r="Z42" s="8"/>
      <c r="AA42" s="8"/>
      <c r="AB42" s="8"/>
      <c r="AC42" s="8"/>
    </row>
    <row r="43" spans="1:29" ht="15">
      <c r="A43" s="58"/>
      <c r="B43" s="69">
        <v>13</v>
      </c>
      <c r="C43" s="43" t="s">
        <v>241</v>
      </c>
      <c r="D43" s="69">
        <v>1.6153570617145801E-3</v>
      </c>
      <c r="E43" s="43">
        <v>9.7986995921224798E-2</v>
      </c>
      <c r="F43" s="71">
        <f t="shared" si="2"/>
        <v>9.79869959212248</v>
      </c>
      <c r="G43" s="84">
        <f t="shared" si="3"/>
        <v>100.24069682741298</v>
      </c>
      <c r="H43" s="43"/>
      <c r="I43" s="8"/>
      <c r="J43" s="8"/>
      <c r="K43" s="88" t="s">
        <v>444</v>
      </c>
      <c r="L43" s="87">
        <v>212</v>
      </c>
      <c r="M43" s="87">
        <v>846</v>
      </c>
      <c r="N43" s="87">
        <v>172</v>
      </c>
      <c r="O43" s="87">
        <v>690</v>
      </c>
      <c r="P43" s="89">
        <v>0.16850000000000001</v>
      </c>
      <c r="Q43" s="8"/>
      <c r="R43" s="87"/>
      <c r="S43" s="88">
        <v>-1.33</v>
      </c>
      <c r="T43" s="87">
        <v>248</v>
      </c>
      <c r="U43" s="87">
        <v>992</v>
      </c>
      <c r="V43" s="87">
        <v>215</v>
      </c>
      <c r="W43" s="87">
        <v>860</v>
      </c>
      <c r="X43" s="89">
        <v>0.21</v>
      </c>
      <c r="Y43" s="8"/>
      <c r="Z43" s="8"/>
      <c r="AA43" s="8"/>
      <c r="AB43" s="8"/>
      <c r="AC43" s="8"/>
    </row>
    <row r="44" spans="1:29" ht="15">
      <c r="A44" s="58"/>
      <c r="B44" s="69">
        <v>14</v>
      </c>
      <c r="C44" s="43" t="s">
        <v>242</v>
      </c>
      <c r="D44" s="69">
        <v>1.73129683126628E-3</v>
      </c>
      <c r="E44" s="43">
        <v>9.8344105736152307E-2</v>
      </c>
      <c r="F44" s="71">
        <f t="shared" si="2"/>
        <v>9.8344105736152301</v>
      </c>
      <c r="G44" s="84">
        <f t="shared" si="3"/>
        <v>100.60602016808382</v>
      </c>
      <c r="H44" s="43"/>
      <c r="I44" s="8"/>
      <c r="J44" s="8"/>
      <c r="K44" s="88">
        <v>-2</v>
      </c>
      <c r="L44" s="87">
        <v>223</v>
      </c>
      <c r="M44" s="87">
        <v>891</v>
      </c>
      <c r="N44" s="87">
        <v>185</v>
      </c>
      <c r="O44" s="87">
        <v>742</v>
      </c>
      <c r="P44" s="89">
        <v>0.18110000000000001</v>
      </c>
      <c r="Q44" s="8"/>
      <c r="R44" s="87"/>
      <c r="S44" s="88">
        <v>-1.1200000000000001</v>
      </c>
      <c r="T44" s="87">
        <v>257</v>
      </c>
      <c r="U44" s="87">
        <v>1027</v>
      </c>
      <c r="V44" s="87">
        <v>225</v>
      </c>
      <c r="W44" s="87">
        <v>901</v>
      </c>
      <c r="X44" s="89">
        <v>0.22</v>
      </c>
      <c r="Y44" s="8"/>
      <c r="Z44" s="8"/>
      <c r="AA44" s="8"/>
      <c r="AB44" s="8"/>
      <c r="AC44" s="8"/>
    </row>
    <row r="45" spans="1:29" ht="15">
      <c r="A45" s="58"/>
      <c r="B45" s="69">
        <v>15</v>
      </c>
      <c r="C45" s="43" t="s">
        <v>243</v>
      </c>
      <c r="D45" s="69">
        <v>1.85555799952438E-3</v>
      </c>
      <c r="E45" s="43">
        <v>9.8725337992610102E-2</v>
      </c>
      <c r="F45" s="71">
        <f t="shared" si="2"/>
        <v>9.87253379926101</v>
      </c>
      <c r="G45" s="84">
        <f t="shared" si="3"/>
        <v>100.99602076644014</v>
      </c>
      <c r="H45" s="43"/>
      <c r="I45" s="8"/>
      <c r="J45" s="8"/>
      <c r="K45" s="88" t="s">
        <v>445</v>
      </c>
      <c r="L45" s="87">
        <v>235</v>
      </c>
      <c r="M45" s="87">
        <v>939</v>
      </c>
      <c r="N45" s="87">
        <v>199</v>
      </c>
      <c r="O45" s="87">
        <v>798</v>
      </c>
      <c r="P45" s="89">
        <v>0.19489999999999999</v>
      </c>
      <c r="Q45" s="8"/>
      <c r="R45" s="87"/>
      <c r="S45" s="88">
        <v>-0.91</v>
      </c>
      <c r="T45" s="87">
        <v>265</v>
      </c>
      <c r="U45" s="87">
        <v>1062</v>
      </c>
      <c r="V45" s="87">
        <v>235</v>
      </c>
      <c r="W45" s="87">
        <v>942</v>
      </c>
      <c r="X45" s="89">
        <v>0.23</v>
      </c>
      <c r="Y45" s="8"/>
      <c r="Z45" s="8"/>
      <c r="AA45" s="8"/>
      <c r="AB45" s="8"/>
      <c r="AC45" s="8"/>
    </row>
    <row r="46" spans="1:29" ht="15">
      <c r="A46" s="58"/>
      <c r="B46" s="69">
        <v>16</v>
      </c>
      <c r="C46" s="43" t="s">
        <v>244</v>
      </c>
      <c r="D46" s="69">
        <v>1.98873782208716E-3</v>
      </c>
      <c r="E46" s="43">
        <v>9.9132213807565095E-2</v>
      </c>
      <c r="F46" s="71">
        <f t="shared" si="2"/>
        <v>9.913221380756509</v>
      </c>
      <c r="G46" s="84">
        <f t="shared" si="3"/>
        <v>101.41225472513909</v>
      </c>
      <c r="H46" s="43"/>
      <c r="I46" s="8"/>
      <c r="J46" s="8"/>
      <c r="K46" s="88" t="s">
        <v>446</v>
      </c>
      <c r="L46" s="87">
        <v>248</v>
      </c>
      <c r="M46" s="87">
        <v>991</v>
      </c>
      <c r="N46" s="87">
        <v>215</v>
      </c>
      <c r="O46" s="87">
        <v>859</v>
      </c>
      <c r="P46" s="89">
        <v>0.2097</v>
      </c>
      <c r="Q46" s="8"/>
      <c r="R46" s="87"/>
      <c r="S46" s="88">
        <v>-0.71</v>
      </c>
      <c r="T46" s="87">
        <v>274</v>
      </c>
      <c r="U46" s="87">
        <v>1097</v>
      </c>
      <c r="V46" s="87">
        <v>246</v>
      </c>
      <c r="W46" s="87">
        <v>983</v>
      </c>
      <c r="X46" s="89">
        <v>0.24</v>
      </c>
      <c r="Y46" s="8"/>
      <c r="Z46" s="8"/>
      <c r="AA46" s="8"/>
      <c r="AB46" s="8"/>
      <c r="AC46" s="8"/>
    </row>
    <row r="47" spans="1:29" ht="15">
      <c r="A47" s="58"/>
      <c r="B47" s="69">
        <v>17</v>
      </c>
      <c r="C47" s="43" t="s">
        <v>245</v>
      </c>
      <c r="D47" s="69">
        <v>2.13147642165524E-3</v>
      </c>
      <c r="E47" s="43">
        <v>9.95663352688302E-2</v>
      </c>
      <c r="F47" s="71">
        <f t="shared" si="2"/>
        <v>9.9566335268830208</v>
      </c>
      <c r="G47" s="84">
        <f t="shared" si="3"/>
        <v>101.85636098001329</v>
      </c>
      <c r="H47" s="43"/>
      <c r="I47" s="8"/>
      <c r="J47" s="8"/>
      <c r="K47" s="88">
        <v>-1</v>
      </c>
      <c r="L47" s="87">
        <v>262</v>
      </c>
      <c r="M47" s="87">
        <v>1047</v>
      </c>
      <c r="N47" s="87">
        <v>231</v>
      </c>
      <c r="O47" s="87">
        <v>924</v>
      </c>
      <c r="P47" s="89">
        <v>0.22559999999999999</v>
      </c>
      <c r="Q47" s="8"/>
      <c r="R47" s="87"/>
      <c r="S47" s="88">
        <v>-0.52</v>
      </c>
      <c r="T47" s="87">
        <v>283</v>
      </c>
      <c r="U47" s="87">
        <v>1132</v>
      </c>
      <c r="V47" s="87">
        <v>256</v>
      </c>
      <c r="W47" s="87">
        <v>1024</v>
      </c>
      <c r="X47" s="89">
        <v>0.25</v>
      </c>
      <c r="Y47" s="8"/>
      <c r="Z47" s="8"/>
      <c r="AA47" s="8"/>
      <c r="AB47" s="8"/>
      <c r="AC47" s="8"/>
    </row>
    <row r="48" spans="1:29" ht="15">
      <c r="A48" s="58"/>
      <c r="B48" s="69">
        <v>18</v>
      </c>
      <c r="C48" s="43" t="s">
        <v>246</v>
      </c>
      <c r="D48" s="69">
        <v>2.2844598647519098E-3</v>
      </c>
      <c r="E48" s="43">
        <v>0.10002938766030101</v>
      </c>
      <c r="F48" s="71">
        <f t="shared" si="2"/>
        <v>10.0029387660301</v>
      </c>
      <c r="G48" s="84">
        <f t="shared" si="3"/>
        <v>102.33006357648793</v>
      </c>
      <c r="H48" s="43"/>
      <c r="I48" s="8"/>
      <c r="J48" s="8"/>
      <c r="K48" s="90">
        <v>45353</v>
      </c>
      <c r="L48" s="87">
        <v>276</v>
      </c>
      <c r="M48" s="87">
        <v>1106</v>
      </c>
      <c r="N48" s="87">
        <v>248</v>
      </c>
      <c r="O48" s="87">
        <v>993</v>
      </c>
      <c r="P48" s="89">
        <v>0.24249999999999999</v>
      </c>
      <c r="Q48" s="8"/>
      <c r="R48" s="87"/>
      <c r="S48" s="88">
        <v>-0.33</v>
      </c>
      <c r="T48" s="87">
        <v>292</v>
      </c>
      <c r="U48" s="87">
        <v>1167</v>
      </c>
      <c r="V48" s="87">
        <v>266</v>
      </c>
      <c r="W48" s="87">
        <v>1065</v>
      </c>
      <c r="X48" s="89">
        <v>0.26</v>
      </c>
      <c r="Y48" s="8"/>
      <c r="Z48" s="8"/>
      <c r="AA48" s="8"/>
      <c r="AB48" s="8"/>
      <c r="AC48" s="8"/>
    </row>
    <row r="49" spans="1:29" ht="15">
      <c r="A49" s="58"/>
      <c r="B49" s="69">
        <v>19</v>
      </c>
      <c r="C49" s="43" t="s">
        <v>247</v>
      </c>
      <c r="D49" s="69">
        <v>2.44842345927034E-3</v>
      </c>
      <c r="E49" s="43">
        <v>0.100523141491625</v>
      </c>
      <c r="F49" s="71">
        <f t="shared" si="2"/>
        <v>10.0523141491625</v>
      </c>
      <c r="G49" s="84">
        <f t="shared" si="3"/>
        <v>102.83517374593238</v>
      </c>
      <c r="H49" s="43"/>
      <c r="I49" s="8"/>
      <c r="J49" s="8"/>
      <c r="K49" s="90">
        <v>45352</v>
      </c>
      <c r="L49" s="87">
        <v>292</v>
      </c>
      <c r="M49" s="87">
        <v>1167</v>
      </c>
      <c r="N49" s="87">
        <v>266</v>
      </c>
      <c r="O49" s="87">
        <v>1065</v>
      </c>
      <c r="P49" s="89">
        <v>0.2601</v>
      </c>
      <c r="Q49" s="8"/>
      <c r="R49" s="87"/>
      <c r="S49" s="88">
        <v>-0.15</v>
      </c>
      <c r="T49" s="87">
        <v>301</v>
      </c>
      <c r="U49" s="87">
        <v>1202</v>
      </c>
      <c r="V49" s="87">
        <v>276</v>
      </c>
      <c r="W49" s="87">
        <v>1106</v>
      </c>
      <c r="X49" s="89">
        <v>0.27</v>
      </c>
      <c r="Y49" s="8"/>
      <c r="Z49" s="8"/>
      <c r="AA49" s="8"/>
      <c r="AB49" s="8"/>
      <c r="AC49" s="8"/>
    </row>
    <row r="50" spans="1:29" ht="15">
      <c r="A50" s="58"/>
      <c r="B50" s="69">
        <v>20</v>
      </c>
      <c r="C50" s="43" t="s">
        <v>248</v>
      </c>
      <c r="D50" s="69">
        <v>2.6241552886972701E-3</v>
      </c>
      <c r="E50" s="43">
        <v>0.10104945421924599</v>
      </c>
      <c r="F50" s="71">
        <f t="shared" si="2"/>
        <v>10.104945421924599</v>
      </c>
      <c r="G50" s="84">
        <f t="shared" si="3"/>
        <v>103.37359166628865</v>
      </c>
      <c r="H50" s="43"/>
      <c r="I50" s="8"/>
      <c r="J50" s="8"/>
      <c r="K50" s="88">
        <v>0</v>
      </c>
      <c r="L50" s="87">
        <v>308</v>
      </c>
      <c r="M50" s="87">
        <v>1232</v>
      </c>
      <c r="N50" s="87">
        <v>285</v>
      </c>
      <c r="O50" s="87">
        <v>1140</v>
      </c>
      <c r="P50" s="89">
        <v>0.27839999999999998</v>
      </c>
      <c r="Q50" s="8"/>
      <c r="R50" s="87"/>
      <c r="S50" s="88">
        <v>0</v>
      </c>
      <c r="T50" s="87">
        <v>308</v>
      </c>
      <c r="U50" s="87">
        <v>1232</v>
      </c>
      <c r="V50" s="87">
        <v>285</v>
      </c>
      <c r="W50" s="87">
        <v>1140</v>
      </c>
      <c r="X50" s="89">
        <v>0.27839999999999998</v>
      </c>
      <c r="Y50" s="8"/>
      <c r="Z50" s="8"/>
      <c r="AA50" s="8"/>
      <c r="AB50" s="8"/>
      <c r="AC50" s="8"/>
    </row>
    <row r="51" spans="1:29" ht="15">
      <c r="A51" s="58"/>
      <c r="B51" s="69">
        <v>21</v>
      </c>
      <c r="C51" s="43" t="s">
        <v>249</v>
      </c>
      <c r="D51" s="69">
        <v>2.8124999999999999E-3</v>
      </c>
      <c r="E51" s="43">
        <v>0.101610271605416</v>
      </c>
      <c r="F51" s="71">
        <f t="shared" si="2"/>
        <v>10.1610271605416</v>
      </c>
      <c r="G51" s="84">
        <f t="shared" si="3"/>
        <v>103.94730785234057</v>
      </c>
      <c r="H51" s="43"/>
      <c r="I51" s="8"/>
      <c r="J51" s="8"/>
      <c r="K51" s="90">
        <v>45352</v>
      </c>
      <c r="L51" s="87">
        <v>324</v>
      </c>
      <c r="M51" s="87">
        <v>1298</v>
      </c>
      <c r="N51" s="87">
        <v>304</v>
      </c>
      <c r="O51" s="87">
        <v>1217</v>
      </c>
      <c r="P51" s="89">
        <v>0.29730000000000001</v>
      </c>
      <c r="Q51" s="8"/>
      <c r="R51" s="87"/>
      <c r="S51" s="88">
        <v>0.03</v>
      </c>
      <c r="T51" s="87">
        <v>309</v>
      </c>
      <c r="U51" s="87">
        <v>1237</v>
      </c>
      <c r="V51" s="87">
        <v>286</v>
      </c>
      <c r="W51" s="87">
        <v>1147</v>
      </c>
      <c r="X51" s="89">
        <v>0.28000000000000003</v>
      </c>
      <c r="Y51" s="8"/>
      <c r="Z51" s="8"/>
      <c r="AA51" s="8"/>
      <c r="AB51" s="8"/>
      <c r="AC51" s="8"/>
    </row>
    <row r="52" spans="1:29" ht="15">
      <c r="A52" s="58"/>
      <c r="B52" s="69">
        <v>22</v>
      </c>
      <c r="C52" s="43" t="s">
        <v>250</v>
      </c>
      <c r="D52" s="69">
        <v>3.0143628633833202E-3</v>
      </c>
      <c r="E52" s="43">
        <v>0.10220762870073</v>
      </c>
      <c r="F52" s="71">
        <f t="shared" si="2"/>
        <v>10.220762870072999</v>
      </c>
      <c r="G52" s="84">
        <f t="shared" si="3"/>
        <v>104.55840416084679</v>
      </c>
      <c r="H52" s="43"/>
      <c r="I52" s="8"/>
      <c r="J52" s="8"/>
      <c r="K52" s="90">
        <v>45353</v>
      </c>
      <c r="L52" s="87">
        <v>341</v>
      </c>
      <c r="M52" s="87">
        <v>1366</v>
      </c>
      <c r="N52" s="87">
        <v>324</v>
      </c>
      <c r="O52" s="87">
        <v>1297</v>
      </c>
      <c r="P52" s="89">
        <v>0.31669999999999998</v>
      </c>
      <c r="Q52" s="8"/>
      <c r="R52" s="87"/>
      <c r="S52" s="88">
        <v>0.21</v>
      </c>
      <c r="T52" s="87">
        <v>318</v>
      </c>
      <c r="U52" s="87">
        <v>1272</v>
      </c>
      <c r="V52" s="87">
        <v>297</v>
      </c>
      <c r="W52" s="87">
        <v>1188</v>
      </c>
      <c r="X52" s="89">
        <v>0.28999999999999998</v>
      </c>
      <c r="Y52" s="8"/>
      <c r="Z52" s="8"/>
      <c r="AA52" s="8"/>
      <c r="AB52" s="8"/>
      <c r="AC52" s="8"/>
    </row>
    <row r="53" spans="1:29" ht="15">
      <c r="A53" s="58"/>
      <c r="B53" s="69">
        <v>23</v>
      </c>
      <c r="C53" s="43" t="s">
        <v>251</v>
      </c>
      <c r="D53" s="69">
        <v>3.2307141234291601E-3</v>
      </c>
      <c r="E53" s="43">
        <v>0.102843650322626</v>
      </c>
      <c r="F53" s="71">
        <f t="shared" si="2"/>
        <v>10.284365032262601</v>
      </c>
      <c r="G53" s="84">
        <f t="shared" si="3"/>
        <v>105.2090542800464</v>
      </c>
      <c r="H53" s="43"/>
      <c r="I53" s="8"/>
      <c r="J53" s="8"/>
      <c r="K53" s="88">
        <v>1</v>
      </c>
      <c r="L53" s="87">
        <v>359</v>
      </c>
      <c r="M53" s="87">
        <v>1435</v>
      </c>
      <c r="N53" s="87">
        <v>344</v>
      </c>
      <c r="O53" s="87">
        <v>1378</v>
      </c>
      <c r="P53" s="89">
        <v>0.33650000000000002</v>
      </c>
      <c r="Q53" s="8"/>
      <c r="R53" s="87"/>
      <c r="S53" s="88">
        <v>0.38</v>
      </c>
      <c r="T53" s="87">
        <v>327</v>
      </c>
      <c r="U53" s="87">
        <v>1307</v>
      </c>
      <c r="V53" s="87">
        <v>307</v>
      </c>
      <c r="W53" s="87">
        <v>1229</v>
      </c>
      <c r="X53" s="89">
        <v>0.3</v>
      </c>
      <c r="Y53" s="8"/>
      <c r="Z53" s="8"/>
      <c r="AA53" s="8"/>
      <c r="AB53" s="8"/>
      <c r="AC53" s="8"/>
    </row>
    <row r="54" spans="1:29" ht="15">
      <c r="A54" s="58"/>
      <c r="B54" s="69">
        <v>24</v>
      </c>
      <c r="C54" s="43" t="s">
        <v>252</v>
      </c>
      <c r="D54" s="69">
        <v>3.46259366253257E-3</v>
      </c>
      <c r="E54" s="43">
        <v>0.103520550999166</v>
      </c>
      <c r="F54" s="71">
        <f t="shared" si="2"/>
        <v>10.352055099916599</v>
      </c>
      <c r="G54" s="84">
        <f t="shared" si="3"/>
        <v>105.90152367214682</v>
      </c>
      <c r="H54" s="43"/>
      <c r="I54" s="8"/>
      <c r="J54" s="8"/>
      <c r="K54" s="88" t="s">
        <v>447</v>
      </c>
      <c r="L54" s="87">
        <v>376</v>
      </c>
      <c r="M54" s="87">
        <v>1506</v>
      </c>
      <c r="N54" s="87">
        <v>365</v>
      </c>
      <c r="O54" s="87">
        <v>1461</v>
      </c>
      <c r="P54" s="89">
        <v>0.35670000000000002</v>
      </c>
      <c r="Q54" s="8"/>
      <c r="R54" s="87"/>
      <c r="S54" s="88">
        <v>0.55000000000000004</v>
      </c>
      <c r="T54" s="87">
        <v>336</v>
      </c>
      <c r="U54" s="87">
        <v>1342</v>
      </c>
      <c r="V54" s="87">
        <v>317</v>
      </c>
      <c r="W54" s="87">
        <v>1269</v>
      </c>
      <c r="X54" s="89">
        <v>0.31</v>
      </c>
      <c r="Y54" s="8"/>
      <c r="Z54" s="8"/>
      <c r="AA54" s="8"/>
      <c r="AB54" s="8"/>
      <c r="AC54" s="8"/>
    </row>
    <row r="55" spans="1:29" ht="15">
      <c r="A55" s="58"/>
      <c r="B55" s="69">
        <v>25</v>
      </c>
      <c r="C55" s="43" t="s">
        <v>253</v>
      </c>
      <c r="D55" s="69">
        <v>3.71111599904876E-3</v>
      </c>
      <c r="E55" s="43">
        <v>0.10424063428286599</v>
      </c>
      <c r="F55" s="71">
        <f t="shared" si="2"/>
        <v>10.424063428286599</v>
      </c>
      <c r="G55" s="84">
        <f t="shared" si="3"/>
        <v>106.63816887137192</v>
      </c>
      <c r="H55" s="43"/>
      <c r="I55" s="8"/>
      <c r="J55" s="8"/>
      <c r="K55" s="88" t="s">
        <v>448</v>
      </c>
      <c r="L55" s="87">
        <v>394</v>
      </c>
      <c r="M55" s="87">
        <v>1578</v>
      </c>
      <c r="N55" s="87">
        <v>386</v>
      </c>
      <c r="O55" s="87">
        <v>1544</v>
      </c>
      <c r="P55" s="89">
        <v>0.37719999999999998</v>
      </c>
      <c r="Q55" s="8"/>
      <c r="R55" s="87"/>
      <c r="S55" s="88">
        <v>0.72</v>
      </c>
      <c r="T55" s="87">
        <v>344</v>
      </c>
      <c r="U55" s="87">
        <v>1377</v>
      </c>
      <c r="V55" s="87">
        <v>327</v>
      </c>
      <c r="W55" s="87">
        <v>1310</v>
      </c>
      <c r="X55" s="89">
        <v>0.32</v>
      </c>
      <c r="Y55" s="8"/>
      <c r="Z55" s="8"/>
      <c r="AA55" s="8"/>
      <c r="AB55" s="8"/>
      <c r="AC55" s="8"/>
    </row>
    <row r="56" spans="1:29" ht="15">
      <c r="A56" s="58"/>
      <c r="B56" s="69">
        <v>26</v>
      </c>
      <c r="C56" s="43" t="s">
        <v>254</v>
      </c>
      <c r="D56" s="69">
        <v>3.9774756441743296E-3</v>
      </c>
      <c r="E56" s="43">
        <v>0.105006291399295</v>
      </c>
      <c r="F56" s="71">
        <f t="shared" si="2"/>
        <v>10.500629139929501</v>
      </c>
      <c r="G56" s="84">
        <f t="shared" si="3"/>
        <v>107.42143610147879</v>
      </c>
      <c r="H56" s="43"/>
      <c r="I56" s="8"/>
      <c r="J56" s="8"/>
      <c r="K56" s="88">
        <v>2</v>
      </c>
      <c r="L56" s="87">
        <v>412</v>
      </c>
      <c r="M56" s="87">
        <v>1650</v>
      </c>
      <c r="N56" s="87">
        <v>407</v>
      </c>
      <c r="O56" s="87">
        <v>1629</v>
      </c>
      <c r="P56" s="89">
        <v>0.39779999999999999</v>
      </c>
      <c r="Q56" s="8"/>
      <c r="R56" s="87"/>
      <c r="S56" s="88">
        <v>0.89</v>
      </c>
      <c r="T56" s="87">
        <v>353</v>
      </c>
      <c r="U56" s="87">
        <v>1412</v>
      </c>
      <c r="V56" s="87">
        <v>338</v>
      </c>
      <c r="W56" s="87">
        <v>1351</v>
      </c>
      <c r="X56" s="89">
        <v>0.33</v>
      </c>
      <c r="Y56" s="8"/>
      <c r="Z56" s="8"/>
      <c r="AA56" s="8"/>
      <c r="AB56" s="8"/>
      <c r="AC56" s="8"/>
    </row>
    <row r="57" spans="1:29" ht="15">
      <c r="A57" s="58"/>
      <c r="B57" s="69">
        <v>27</v>
      </c>
      <c r="C57" s="43" t="s">
        <v>255</v>
      </c>
      <c r="D57" s="69">
        <v>4.2629528433104904E-3</v>
      </c>
      <c r="E57" s="43">
        <v>0.10581999908395701</v>
      </c>
      <c r="F57" s="71">
        <f t="shared" si="2"/>
        <v>10.581999908395701</v>
      </c>
      <c r="G57" s="84">
        <f t="shared" si="3"/>
        <v>108.25385906288801</v>
      </c>
      <c r="H57" s="43"/>
      <c r="I57" s="8"/>
      <c r="J57" s="8"/>
      <c r="K57" s="88" t="s">
        <v>449</v>
      </c>
      <c r="L57" s="87">
        <v>431</v>
      </c>
      <c r="M57" s="87">
        <v>1723</v>
      </c>
      <c r="N57" s="87">
        <v>428</v>
      </c>
      <c r="O57" s="87">
        <v>1714</v>
      </c>
      <c r="P57" s="89">
        <v>0.41870000000000002</v>
      </c>
      <c r="Q57" s="8"/>
      <c r="R57" s="87"/>
      <c r="S57" s="88">
        <v>1.06</v>
      </c>
      <c r="T57" s="87">
        <v>362</v>
      </c>
      <c r="U57" s="87">
        <v>1447</v>
      </c>
      <c r="V57" s="87">
        <v>348</v>
      </c>
      <c r="W57" s="87">
        <v>1392</v>
      </c>
      <c r="X57" s="89">
        <v>0.34</v>
      </c>
      <c r="Y57" s="8"/>
      <c r="Z57" s="8"/>
      <c r="AA57" s="8"/>
      <c r="AB57" s="8"/>
      <c r="AC57" s="8"/>
    </row>
    <row r="58" spans="1:29" ht="15">
      <c r="A58" s="58"/>
      <c r="B58" s="69">
        <v>28</v>
      </c>
      <c r="C58" s="43" t="s">
        <v>256</v>
      </c>
      <c r="D58" s="69">
        <v>4.5689197295038196E-3</v>
      </c>
      <c r="E58" s="43">
        <v>0.10668431659790301</v>
      </c>
      <c r="F58" s="71">
        <f t="shared" si="2"/>
        <v>10.668431659790301</v>
      </c>
      <c r="G58" s="84">
        <f t="shared" si="3"/>
        <v>109.13805587965477</v>
      </c>
      <c r="H58" s="43"/>
      <c r="I58" s="8"/>
      <c r="J58" s="8"/>
      <c r="K58" s="90">
        <v>45373</v>
      </c>
      <c r="L58" s="87">
        <v>449</v>
      </c>
      <c r="M58" s="87">
        <v>1797</v>
      </c>
      <c r="N58" s="87">
        <v>450</v>
      </c>
      <c r="O58" s="87">
        <v>1800</v>
      </c>
      <c r="P58" s="89">
        <v>0.43969999999999998</v>
      </c>
      <c r="Q58" s="8"/>
      <c r="R58" s="87"/>
      <c r="S58" s="88">
        <v>1.22</v>
      </c>
      <c r="T58" s="87">
        <v>371</v>
      </c>
      <c r="U58" s="87">
        <v>1482</v>
      </c>
      <c r="V58" s="87">
        <v>358</v>
      </c>
      <c r="W58" s="87">
        <v>1433</v>
      </c>
      <c r="X58" s="89">
        <v>0.35</v>
      </c>
      <c r="Y58" s="8"/>
      <c r="Z58" s="8"/>
      <c r="AA58" s="8"/>
      <c r="AB58" s="8"/>
      <c r="AC58" s="8"/>
    </row>
    <row r="59" spans="1:29" ht="15">
      <c r="A59" s="58"/>
      <c r="B59" s="69">
        <v>29</v>
      </c>
      <c r="C59" s="43" t="s">
        <v>257</v>
      </c>
      <c r="D59" s="69">
        <v>4.8968469185406904E-3</v>
      </c>
      <c r="E59" s="43">
        <v>0.10760188179515</v>
      </c>
      <c r="F59" s="71">
        <f t="shared" si="2"/>
        <v>10.760188179515</v>
      </c>
      <c r="G59" s="84">
        <f t="shared" si="3"/>
        <v>110.07672507643845</v>
      </c>
      <c r="H59" s="43"/>
      <c r="I59" s="8"/>
      <c r="J59" s="8"/>
      <c r="K59" s="88">
        <v>3</v>
      </c>
      <c r="L59" s="87">
        <v>468</v>
      </c>
      <c r="M59" s="87">
        <v>1871</v>
      </c>
      <c r="N59" s="87">
        <v>471</v>
      </c>
      <c r="O59" s="87">
        <v>1887</v>
      </c>
      <c r="P59" s="89">
        <v>0.46079999999999999</v>
      </c>
      <c r="Q59" s="8"/>
      <c r="R59" s="87"/>
      <c r="S59" s="88">
        <v>1.39</v>
      </c>
      <c r="T59" s="87">
        <v>379</v>
      </c>
      <c r="U59" s="87">
        <v>1517</v>
      </c>
      <c r="V59" s="87">
        <v>368</v>
      </c>
      <c r="W59" s="87">
        <v>1474</v>
      </c>
      <c r="X59" s="89">
        <v>0.36</v>
      </c>
      <c r="Y59" s="8"/>
      <c r="Z59" s="8"/>
      <c r="AA59" s="8"/>
      <c r="AB59" s="8"/>
      <c r="AC59" s="8"/>
    </row>
    <row r="60" spans="1:29" ht="15">
      <c r="A60" s="58"/>
      <c r="B60" s="69">
        <v>30</v>
      </c>
      <c r="C60" s="43" t="s">
        <v>258</v>
      </c>
      <c r="D60" s="69">
        <v>5.2483105773945401E-3</v>
      </c>
      <c r="E60" s="43">
        <v>0.10857540621511901</v>
      </c>
      <c r="F60" s="71">
        <f t="shared" si="2"/>
        <v>10.8575406215119</v>
      </c>
      <c r="G60" s="84">
        <f t="shared" si="3"/>
        <v>111.07264055806674</v>
      </c>
      <c r="H60" s="43"/>
      <c r="I60" s="8"/>
      <c r="J60" s="8"/>
      <c r="K60" s="88" t="s">
        <v>450</v>
      </c>
      <c r="L60" s="87">
        <v>486</v>
      </c>
      <c r="M60" s="87">
        <v>1945</v>
      </c>
      <c r="N60" s="87">
        <v>493</v>
      </c>
      <c r="O60" s="87">
        <v>1974</v>
      </c>
      <c r="P60" s="89">
        <v>0.48199999999999998</v>
      </c>
      <c r="Q60" s="8"/>
      <c r="R60" s="87"/>
      <c r="S60" s="88">
        <v>1.55</v>
      </c>
      <c r="T60" s="87">
        <v>388</v>
      </c>
      <c r="U60" s="87">
        <v>1552</v>
      </c>
      <c r="V60" s="87">
        <v>379</v>
      </c>
      <c r="W60" s="87">
        <v>1515</v>
      </c>
      <c r="X60" s="89">
        <v>0.37</v>
      </c>
      <c r="Y60" s="8"/>
      <c r="Z60" s="8"/>
      <c r="AA60" s="8"/>
      <c r="AB60" s="8"/>
      <c r="AC60" s="8"/>
    </row>
    <row r="61" spans="1:29" ht="15">
      <c r="A61" s="58"/>
      <c r="B61" s="69">
        <v>31</v>
      </c>
      <c r="C61" s="43" t="s">
        <v>259</v>
      </c>
      <c r="D61" s="69">
        <v>5.6249999999999998E-3</v>
      </c>
      <c r="E61" s="43">
        <v>0.109607669095174</v>
      </c>
      <c r="F61" s="71">
        <f t="shared" si="2"/>
        <v>10.9607669095174</v>
      </c>
      <c r="G61" s="84">
        <f t="shared" si="3"/>
        <v>112.12864548436301</v>
      </c>
      <c r="H61" s="43"/>
      <c r="I61" s="8"/>
      <c r="J61" s="8"/>
      <c r="K61" s="88" t="s">
        <v>451</v>
      </c>
      <c r="L61" s="87">
        <v>505</v>
      </c>
      <c r="M61" s="87">
        <v>2020</v>
      </c>
      <c r="N61" s="87">
        <v>515</v>
      </c>
      <c r="O61" s="87">
        <v>2061</v>
      </c>
      <c r="P61" s="89">
        <v>0.50329999999999997</v>
      </c>
      <c r="Q61" s="8"/>
      <c r="R61" s="87"/>
      <c r="S61" s="88">
        <v>1.71</v>
      </c>
      <c r="T61" s="87">
        <v>397</v>
      </c>
      <c r="U61" s="87">
        <v>1588</v>
      </c>
      <c r="V61" s="87">
        <v>389</v>
      </c>
      <c r="W61" s="87">
        <v>1556</v>
      </c>
      <c r="X61" s="89">
        <v>0.38</v>
      </c>
      <c r="Y61" s="8"/>
      <c r="Z61" s="8"/>
      <c r="AA61" s="8"/>
      <c r="AB61" s="8"/>
      <c r="AC61" s="8"/>
    </row>
    <row r="62" spans="1:29" ht="15">
      <c r="A62" s="58"/>
      <c r="B62" s="69">
        <v>32</v>
      </c>
      <c r="C62" s="43" t="s">
        <v>260</v>
      </c>
      <c r="D62" s="69">
        <v>6.0287257267666403E-3</v>
      </c>
      <c r="E62" s="43">
        <v>0.110701510240034</v>
      </c>
      <c r="F62" s="71">
        <f t="shared" si="2"/>
        <v>11.070151024003399</v>
      </c>
      <c r="G62" s="84">
        <f t="shared" si="3"/>
        <v>113.24764497555478</v>
      </c>
      <c r="H62" s="43"/>
      <c r="I62" s="8"/>
      <c r="J62" s="8"/>
      <c r="K62" s="88">
        <v>4</v>
      </c>
      <c r="L62" s="87">
        <v>524</v>
      </c>
      <c r="M62" s="87">
        <v>2095</v>
      </c>
      <c r="N62" s="87">
        <v>537</v>
      </c>
      <c r="O62" s="87">
        <v>2149</v>
      </c>
      <c r="P62" s="89">
        <v>0.52470000000000006</v>
      </c>
      <c r="Q62" s="8"/>
      <c r="R62" s="87"/>
      <c r="S62" s="88">
        <v>1.87</v>
      </c>
      <c r="T62" s="87">
        <v>406</v>
      </c>
      <c r="U62" s="87">
        <v>1623</v>
      </c>
      <c r="V62" s="87">
        <v>399</v>
      </c>
      <c r="W62" s="87">
        <v>1597</v>
      </c>
      <c r="X62" s="89">
        <v>0.39</v>
      </c>
      <c r="Y62" s="8"/>
      <c r="Z62" s="8"/>
      <c r="AA62" s="8"/>
      <c r="AB62" s="8"/>
      <c r="AC62" s="8"/>
    </row>
    <row r="63" spans="1:29" ht="15">
      <c r="A63" s="58"/>
      <c r="B63" s="69">
        <v>33</v>
      </c>
      <c r="C63" s="43" t="s">
        <v>261</v>
      </c>
      <c r="D63" s="69">
        <v>6.4614282468583202E-3</v>
      </c>
      <c r="E63" s="43">
        <v>0.11185982174181</v>
      </c>
      <c r="F63" s="71">
        <f t="shared" si="2"/>
        <v>11.185982174180999</v>
      </c>
      <c r="G63" s="84">
        <f t="shared" si="3"/>
        <v>114.43259764187162</v>
      </c>
      <c r="H63" s="43"/>
      <c r="I63" s="8"/>
      <c r="J63" s="8"/>
      <c r="K63" s="88" t="s">
        <v>452</v>
      </c>
      <c r="L63" s="87">
        <v>542</v>
      </c>
      <c r="M63" s="87">
        <v>2170</v>
      </c>
      <c r="N63" s="87">
        <v>559</v>
      </c>
      <c r="O63" s="87">
        <v>2236</v>
      </c>
      <c r="P63" s="89">
        <v>0.54610000000000003</v>
      </c>
      <c r="Q63" s="8"/>
      <c r="R63" s="87"/>
      <c r="S63" s="88">
        <v>2.0299999999999998</v>
      </c>
      <c r="T63" s="87">
        <v>414</v>
      </c>
      <c r="U63" s="87">
        <v>1658</v>
      </c>
      <c r="V63" s="87">
        <v>409</v>
      </c>
      <c r="W63" s="87">
        <v>1638</v>
      </c>
      <c r="X63" s="89">
        <v>0.4</v>
      </c>
      <c r="Y63" s="8"/>
      <c r="Z63" s="8"/>
      <c r="AA63" s="8"/>
      <c r="AB63" s="8"/>
      <c r="AC63" s="8"/>
    </row>
    <row r="64" spans="1:29" ht="15">
      <c r="A64" s="58"/>
      <c r="B64" s="69">
        <v>34</v>
      </c>
      <c r="C64" s="43" t="s">
        <v>262</v>
      </c>
      <c r="D64" s="69">
        <v>6.9251873250651503E-3</v>
      </c>
      <c r="E64" s="43">
        <v>0.11308553846969401</v>
      </c>
      <c r="F64" s="71">
        <f t="shared" si="2"/>
        <v>11.308553846969401</v>
      </c>
      <c r="G64" s="84">
        <f t="shared" si="3"/>
        <v>115.68650585449697</v>
      </c>
      <c r="H64" s="43"/>
      <c r="I64" s="8"/>
      <c r="J64" s="8"/>
      <c r="K64" s="88" t="s">
        <v>453</v>
      </c>
      <c r="L64" s="87">
        <v>561</v>
      </c>
      <c r="M64" s="87">
        <v>2245</v>
      </c>
      <c r="N64" s="87">
        <v>581</v>
      </c>
      <c r="O64" s="87">
        <v>2324</v>
      </c>
      <c r="P64" s="89">
        <v>0.5675</v>
      </c>
      <c r="Q64" s="8"/>
      <c r="R64" s="87"/>
      <c r="S64" s="88">
        <v>2.19</v>
      </c>
      <c r="T64" s="87">
        <v>423</v>
      </c>
      <c r="U64" s="87">
        <v>1693</v>
      </c>
      <c r="V64" s="87">
        <v>419</v>
      </c>
      <c r="W64" s="87">
        <v>1679</v>
      </c>
      <c r="X64" s="89">
        <v>0.41</v>
      </c>
      <c r="Y64" s="8"/>
      <c r="Z64" s="8"/>
      <c r="AA64" s="8"/>
      <c r="AB64" s="8"/>
      <c r="AC64" s="8"/>
    </row>
    <row r="65" spans="1:29" ht="15">
      <c r="A65" s="58"/>
      <c r="B65" s="69">
        <v>35</v>
      </c>
      <c r="C65" s="43" t="s">
        <v>263</v>
      </c>
      <c r="D65" s="69">
        <v>7.4222319980975296E-3</v>
      </c>
      <c r="E65" s="43">
        <v>0.114381627325254</v>
      </c>
      <c r="F65" s="71">
        <f t="shared" si="2"/>
        <v>11.438162732525401</v>
      </c>
      <c r="G65" s="84">
        <f t="shared" si="3"/>
        <v>117.01240475373484</v>
      </c>
      <c r="H65" s="43"/>
      <c r="I65" s="8"/>
      <c r="J65" s="8"/>
      <c r="K65" s="88">
        <v>5</v>
      </c>
      <c r="L65" s="87">
        <v>580</v>
      </c>
      <c r="M65" s="87">
        <v>2320</v>
      </c>
      <c r="N65" s="87">
        <v>603</v>
      </c>
      <c r="O65" s="87">
        <v>2412</v>
      </c>
      <c r="P65" s="89">
        <v>0.58899999999999997</v>
      </c>
      <c r="Q65" s="8"/>
      <c r="R65" s="87"/>
      <c r="S65" s="88">
        <v>2.35</v>
      </c>
      <c r="T65" s="87">
        <v>432</v>
      </c>
      <c r="U65" s="87">
        <v>1728</v>
      </c>
      <c r="V65" s="87">
        <v>430</v>
      </c>
      <c r="W65" s="87">
        <v>1720</v>
      </c>
      <c r="X65" s="89">
        <v>0.42</v>
      </c>
      <c r="Y65" s="8"/>
      <c r="Z65" s="8"/>
      <c r="AA65" s="8"/>
      <c r="AB65" s="8"/>
      <c r="AC65" s="8"/>
    </row>
    <row r="66" spans="1:29" ht="15">
      <c r="A66" s="58"/>
      <c r="B66" s="69">
        <v>36</v>
      </c>
      <c r="C66" s="43" t="s">
        <v>264</v>
      </c>
      <c r="D66" s="69">
        <v>7.9549512883486592E-3</v>
      </c>
      <c r="E66" s="43">
        <v>0.115751075257973</v>
      </c>
      <c r="F66" s="71">
        <f t="shared" si="2"/>
        <v>11.5751075257973</v>
      </c>
      <c r="G66" s="84">
        <f t="shared" si="3"/>
        <v>118.41334998890638</v>
      </c>
      <c r="H66" s="43"/>
      <c r="I66" s="8"/>
      <c r="J66" s="8"/>
      <c r="K66" s="88" t="s">
        <v>454</v>
      </c>
      <c r="L66" s="87">
        <v>599</v>
      </c>
      <c r="M66" s="87">
        <v>2395</v>
      </c>
      <c r="N66" s="87">
        <v>625</v>
      </c>
      <c r="O66" s="87">
        <v>2500</v>
      </c>
      <c r="P66" s="89">
        <v>0.61050000000000004</v>
      </c>
      <c r="Q66" s="8"/>
      <c r="R66" s="87"/>
      <c r="S66" s="88">
        <v>2.5099999999999998</v>
      </c>
      <c r="T66" s="87">
        <v>441</v>
      </c>
      <c r="U66" s="87">
        <v>1763</v>
      </c>
      <c r="V66" s="87">
        <v>440</v>
      </c>
      <c r="W66" s="87">
        <v>1761</v>
      </c>
      <c r="X66" s="89">
        <v>0.43</v>
      </c>
      <c r="Y66" s="8"/>
      <c r="Z66" s="8"/>
      <c r="AA66" s="8"/>
      <c r="AB66" s="8"/>
      <c r="AC66" s="8"/>
    </row>
    <row r="67" spans="1:29" ht="15">
      <c r="A67" s="58"/>
      <c r="B67" s="69">
        <v>37</v>
      </c>
      <c r="C67" s="43" t="s">
        <v>265</v>
      </c>
      <c r="D67" s="69">
        <v>8.5259056866209808E-3</v>
      </c>
      <c r="E67" s="43">
        <v>0.117196876068984</v>
      </c>
      <c r="F67" s="71">
        <f t="shared" si="2"/>
        <v>11.7196876068984</v>
      </c>
      <c r="G67" s="84">
        <f t="shared" si="3"/>
        <v>119.89240421857063</v>
      </c>
      <c r="H67" s="43"/>
      <c r="I67" s="8"/>
      <c r="J67" s="8"/>
      <c r="K67" s="88" t="s">
        <v>455</v>
      </c>
      <c r="L67" s="87">
        <v>618</v>
      </c>
      <c r="M67" s="87">
        <v>2471</v>
      </c>
      <c r="N67" s="87">
        <v>647</v>
      </c>
      <c r="O67" s="87">
        <v>2588</v>
      </c>
      <c r="P67" s="89">
        <v>0.6321</v>
      </c>
      <c r="Q67" s="8"/>
      <c r="R67" s="87"/>
      <c r="S67" s="88">
        <v>2.67</v>
      </c>
      <c r="T67" s="87">
        <v>449</v>
      </c>
      <c r="U67" s="87">
        <v>1798</v>
      </c>
      <c r="V67" s="87">
        <v>450</v>
      </c>
      <c r="W67" s="87">
        <v>1802</v>
      </c>
      <c r="X67" s="89">
        <v>0.44</v>
      </c>
      <c r="Y67" s="8"/>
      <c r="Z67" s="8"/>
      <c r="AA67" s="8"/>
      <c r="AB67" s="8"/>
      <c r="AC67" s="8"/>
    </row>
    <row r="68" spans="1:29" ht="15">
      <c r="A68" s="58"/>
      <c r="B68" s="69">
        <v>38</v>
      </c>
      <c r="C68" s="43" t="s">
        <v>266</v>
      </c>
      <c r="D68" s="69">
        <v>9.1378394590076496E-3</v>
      </c>
      <c r="E68" s="43">
        <v>0.118722016020164</v>
      </c>
      <c r="F68" s="71">
        <f t="shared" si="2"/>
        <v>11.8722016020164</v>
      </c>
      <c r="G68" s="84">
        <f t="shared" si="3"/>
        <v>121.45262238862777</v>
      </c>
      <c r="H68" s="43"/>
      <c r="I68" s="8"/>
      <c r="J68" s="8"/>
      <c r="K68" s="88">
        <v>6</v>
      </c>
      <c r="L68" s="87">
        <v>637</v>
      </c>
      <c r="M68" s="87">
        <v>2546</v>
      </c>
      <c r="N68" s="87">
        <v>669</v>
      </c>
      <c r="O68" s="87">
        <v>2676</v>
      </c>
      <c r="P68" s="89">
        <v>0.65359999999999996</v>
      </c>
      <c r="Q68" s="8"/>
      <c r="R68" s="87"/>
      <c r="S68" s="88">
        <v>2.83</v>
      </c>
      <c r="T68" s="87">
        <v>458</v>
      </c>
      <c r="U68" s="87">
        <v>1833</v>
      </c>
      <c r="V68" s="87">
        <v>460</v>
      </c>
      <c r="W68" s="87">
        <v>1843</v>
      </c>
      <c r="X68" s="89">
        <v>0.45</v>
      </c>
      <c r="Y68" s="8"/>
      <c r="Z68" s="8"/>
      <c r="AA68" s="8"/>
      <c r="AB68" s="8"/>
      <c r="AC68" s="8"/>
    </row>
    <row r="69" spans="1:29" ht="15">
      <c r="A69" s="58"/>
      <c r="B69" s="69">
        <v>39</v>
      </c>
      <c r="C69" s="43" t="s">
        <v>267</v>
      </c>
      <c r="D69" s="69">
        <v>9.7936938370813895E-3</v>
      </c>
      <c r="E69" s="43">
        <v>0.120329458366118</v>
      </c>
      <c r="F69" s="71">
        <f t="shared" si="2"/>
        <v>12.0329458366118</v>
      </c>
      <c r="G69" s="84">
        <f t="shared" si="3"/>
        <v>123.09703590853871</v>
      </c>
      <c r="H69" s="43"/>
      <c r="I69" s="8"/>
      <c r="J69" s="8"/>
      <c r="K69" s="88" t="s">
        <v>456</v>
      </c>
      <c r="L69" s="87">
        <v>655</v>
      </c>
      <c r="M69" s="87">
        <v>2622</v>
      </c>
      <c r="N69" s="87">
        <v>691</v>
      </c>
      <c r="O69" s="87">
        <v>2765</v>
      </c>
      <c r="P69" s="89">
        <v>0.67510000000000003</v>
      </c>
      <c r="Q69" s="8"/>
      <c r="R69" s="87"/>
      <c r="S69" s="88">
        <v>2.99</v>
      </c>
      <c r="T69" s="87">
        <v>467</v>
      </c>
      <c r="U69" s="87">
        <v>1868</v>
      </c>
      <c r="V69" s="87">
        <v>471</v>
      </c>
      <c r="W69" s="87">
        <v>1884</v>
      </c>
      <c r="X69" s="89">
        <v>0.46</v>
      </c>
      <c r="Y69" s="8"/>
      <c r="Z69" s="8"/>
      <c r="AA69" s="8"/>
      <c r="AB69" s="8"/>
      <c r="AC69" s="8"/>
    </row>
    <row r="70" spans="1:29" ht="15">
      <c r="A70" s="58"/>
      <c r="B70" s="69">
        <v>40</v>
      </c>
      <c r="C70" s="43" t="s">
        <v>268</v>
      </c>
      <c r="D70" s="69">
        <v>1.0496621154789E-2</v>
      </c>
      <c r="E70" s="43">
        <v>0.122022126835926</v>
      </c>
      <c r="F70" s="71">
        <f t="shared" si="2"/>
        <v>12.202212683592601</v>
      </c>
      <c r="G70" s="84">
        <f t="shared" si="3"/>
        <v>124.8286357531523</v>
      </c>
      <c r="H70" s="43"/>
      <c r="I70" s="8"/>
      <c r="J70" s="8"/>
      <c r="K70" s="88" t="s">
        <v>457</v>
      </c>
      <c r="L70" s="87">
        <v>674</v>
      </c>
      <c r="M70" s="87">
        <v>2697</v>
      </c>
      <c r="N70" s="87">
        <v>713</v>
      </c>
      <c r="O70" s="87">
        <v>2853</v>
      </c>
      <c r="P70" s="89">
        <v>0.69669999999999999</v>
      </c>
      <c r="Q70" s="8"/>
      <c r="R70" s="87"/>
      <c r="S70" s="88">
        <v>3.14</v>
      </c>
      <c r="T70" s="87">
        <v>476</v>
      </c>
      <c r="U70" s="87">
        <v>1903</v>
      </c>
      <c r="V70" s="87">
        <v>481</v>
      </c>
      <c r="W70" s="87">
        <v>1925</v>
      </c>
      <c r="X70" s="89">
        <v>0.47</v>
      </c>
      <c r="Y70" s="8"/>
      <c r="Z70" s="8"/>
      <c r="AA70" s="8"/>
      <c r="AB70" s="8"/>
      <c r="AC70" s="8"/>
    </row>
    <row r="71" spans="1:29" ht="15">
      <c r="A71" s="58"/>
      <c r="B71" s="69">
        <v>41</v>
      </c>
      <c r="C71" s="43" t="s">
        <v>269</v>
      </c>
      <c r="D71" s="69">
        <v>1.125E-2</v>
      </c>
      <c r="E71" s="43">
        <v>0.1238028883191</v>
      </c>
      <c r="F71" s="71">
        <f t="shared" si="2"/>
        <v>12.380288831909999</v>
      </c>
      <c r="G71" s="84">
        <f t="shared" si="3"/>
        <v>126.65035475043929</v>
      </c>
      <c r="H71" s="43"/>
      <c r="I71" s="8"/>
      <c r="J71" s="8"/>
      <c r="K71" s="88">
        <v>7</v>
      </c>
      <c r="L71" s="87">
        <v>693</v>
      </c>
      <c r="M71" s="87">
        <v>2773</v>
      </c>
      <c r="N71" s="87">
        <v>735</v>
      </c>
      <c r="O71" s="87">
        <v>2941</v>
      </c>
      <c r="P71" s="89">
        <v>0.71830000000000005</v>
      </c>
      <c r="Q71" s="8"/>
      <c r="R71" s="87"/>
      <c r="S71" s="88">
        <v>3.3</v>
      </c>
      <c r="T71" s="87">
        <v>484</v>
      </c>
      <c r="U71" s="87">
        <v>1938</v>
      </c>
      <c r="V71" s="87">
        <v>491</v>
      </c>
      <c r="W71" s="87">
        <v>1966</v>
      </c>
      <c r="X71" s="89">
        <v>0.48</v>
      </c>
      <c r="Y71" s="8"/>
      <c r="Z71" s="8"/>
      <c r="AA71" s="8"/>
      <c r="AB71" s="8"/>
      <c r="AC71" s="8"/>
    </row>
    <row r="72" spans="1:29" ht="15">
      <c r="A72" s="58"/>
      <c r="B72" s="69">
        <v>42</v>
      </c>
      <c r="C72" s="43" t="s">
        <v>270</v>
      </c>
      <c r="D72" s="69">
        <v>1.2057451453533201E-2</v>
      </c>
      <c r="E72" s="43">
        <v>0.125674534645423</v>
      </c>
      <c r="F72" s="71">
        <f t="shared" si="2"/>
        <v>12.5674534645423</v>
      </c>
      <c r="G72" s="84">
        <f t="shared" si="3"/>
        <v>128.56504894226774</v>
      </c>
      <c r="H72" s="43"/>
      <c r="I72" s="8"/>
      <c r="J72" s="8"/>
      <c r="K72" s="88" t="s">
        <v>458</v>
      </c>
      <c r="L72" s="87">
        <v>712</v>
      </c>
      <c r="M72" s="87">
        <v>2848</v>
      </c>
      <c r="N72" s="87">
        <v>757</v>
      </c>
      <c r="O72" s="87">
        <v>3030</v>
      </c>
      <c r="P72" s="89">
        <v>0.73980000000000001</v>
      </c>
      <c r="Q72" s="8"/>
      <c r="R72" s="87"/>
      <c r="S72" s="88">
        <v>3.46</v>
      </c>
      <c r="T72" s="87">
        <v>493</v>
      </c>
      <c r="U72" s="87">
        <v>1973</v>
      </c>
      <c r="V72" s="87">
        <v>501</v>
      </c>
      <c r="W72" s="87">
        <v>2007</v>
      </c>
      <c r="X72" s="89">
        <v>0.49</v>
      </c>
      <c r="Y72" s="8"/>
      <c r="Z72" s="8"/>
      <c r="AA72" s="8"/>
      <c r="AB72" s="8"/>
      <c r="AC72" s="8"/>
    </row>
    <row r="73" spans="1:29" ht="15">
      <c r="A73" s="58"/>
      <c r="B73" s="69">
        <v>43</v>
      </c>
      <c r="C73" s="43" t="s">
        <v>271</v>
      </c>
      <c r="D73" s="69">
        <v>1.2922856493716601E-2</v>
      </c>
      <c r="E73" s="43">
        <v>0.12763976409495101</v>
      </c>
      <c r="F73" s="71">
        <f t="shared" si="2"/>
        <v>12.7639764094951</v>
      </c>
      <c r="G73" s="84">
        <f t="shared" si="3"/>
        <v>130.5754786691349</v>
      </c>
      <c r="H73" s="43"/>
      <c r="I73" s="8"/>
      <c r="J73" s="8"/>
      <c r="K73" s="88" t="s">
        <v>459</v>
      </c>
      <c r="L73" s="87">
        <v>731</v>
      </c>
      <c r="M73" s="87">
        <v>2924</v>
      </c>
      <c r="N73" s="87">
        <v>779</v>
      </c>
      <c r="O73" s="87">
        <v>3118</v>
      </c>
      <c r="P73" s="89">
        <v>0.76139999999999997</v>
      </c>
      <c r="Q73" s="8"/>
      <c r="R73" s="87"/>
      <c r="S73" s="88">
        <v>3.61</v>
      </c>
      <c r="T73" s="87">
        <v>502</v>
      </c>
      <c r="U73" s="87">
        <v>2008</v>
      </c>
      <c r="V73" s="87">
        <v>512</v>
      </c>
      <c r="W73" s="87">
        <v>2048</v>
      </c>
      <c r="X73" s="89">
        <v>0.5</v>
      </c>
      <c r="Y73" s="8"/>
      <c r="Z73" s="8"/>
      <c r="AA73" s="8"/>
      <c r="AB73" s="8"/>
      <c r="AC73" s="8"/>
    </row>
    <row r="74" spans="1:29" ht="15">
      <c r="A74" s="58"/>
      <c r="B74" s="69">
        <v>44</v>
      </c>
      <c r="C74" s="43" t="s">
        <v>272</v>
      </c>
      <c r="D74" s="69">
        <v>1.3850374650130301E-2</v>
      </c>
      <c r="E74" s="43">
        <v>0.12970116234382301</v>
      </c>
      <c r="F74" s="71">
        <f t="shared" si="2"/>
        <v>12.970116234382301</v>
      </c>
      <c r="G74" s="84">
        <f t="shared" si="3"/>
        <v>132.68428907773094</v>
      </c>
      <c r="H74" s="43"/>
      <c r="I74" s="8"/>
      <c r="J74" s="8"/>
      <c r="K74" s="88">
        <v>8</v>
      </c>
      <c r="L74" s="87">
        <v>750</v>
      </c>
      <c r="M74" s="87">
        <v>3000</v>
      </c>
      <c r="N74" s="87">
        <v>801</v>
      </c>
      <c r="O74" s="87">
        <v>3206</v>
      </c>
      <c r="P74" s="89">
        <v>0.78300000000000003</v>
      </c>
      <c r="Q74" s="8"/>
      <c r="R74" s="87"/>
      <c r="S74" s="88">
        <v>3.77</v>
      </c>
      <c r="T74" s="87">
        <v>511</v>
      </c>
      <c r="U74" s="87">
        <v>2043</v>
      </c>
      <c r="V74" s="87">
        <v>522</v>
      </c>
      <c r="W74" s="87">
        <v>2088</v>
      </c>
      <c r="X74" s="89">
        <v>0.51</v>
      </c>
      <c r="Y74" s="8"/>
      <c r="Z74" s="8"/>
      <c r="AA74" s="8"/>
      <c r="AB74" s="8"/>
      <c r="AC74" s="8"/>
    </row>
    <row r="75" spans="1:29" ht="15">
      <c r="A75" s="58"/>
      <c r="B75" s="69">
        <v>45</v>
      </c>
      <c r="C75" s="43" t="s">
        <v>273</v>
      </c>
      <c r="D75" s="69">
        <v>1.4844463996195E-2</v>
      </c>
      <c r="E75" s="43">
        <v>0.13186118344294401</v>
      </c>
      <c r="F75" s="71">
        <f t="shared" si="2"/>
        <v>13.186118344294401</v>
      </c>
      <c r="G75" s="84">
        <f t="shared" si="3"/>
        <v>134.89399066213173</v>
      </c>
      <c r="H75" s="43"/>
      <c r="I75" s="8"/>
      <c r="J75" s="8"/>
      <c r="K75" s="90">
        <v>45352</v>
      </c>
      <c r="L75" s="87">
        <v>769</v>
      </c>
      <c r="M75" s="87">
        <v>3075</v>
      </c>
      <c r="N75" s="87">
        <v>823</v>
      </c>
      <c r="O75" s="87">
        <v>3295</v>
      </c>
      <c r="P75" s="89">
        <v>0.80459999999999998</v>
      </c>
      <c r="Q75" s="8"/>
      <c r="R75" s="87"/>
      <c r="S75" s="88">
        <v>3.93</v>
      </c>
      <c r="T75" s="87">
        <v>520</v>
      </c>
      <c r="U75" s="87">
        <v>2078</v>
      </c>
      <c r="V75" s="87">
        <v>532</v>
      </c>
      <c r="W75" s="87">
        <v>2129</v>
      </c>
      <c r="X75" s="89">
        <v>0.52</v>
      </c>
      <c r="Y75" s="8"/>
      <c r="Z75" s="8"/>
      <c r="AA75" s="8"/>
      <c r="AB75" s="8"/>
      <c r="AC75" s="8"/>
    </row>
    <row r="76" spans="1:29" ht="15">
      <c r="A76" s="58"/>
      <c r="B76" s="69">
        <v>46</v>
      </c>
      <c r="C76" s="43" t="s">
        <v>274</v>
      </c>
      <c r="D76" s="69">
        <v>1.5909902576697301E-2</v>
      </c>
      <c r="E76" s="43">
        <v>0.134122130963055</v>
      </c>
      <c r="F76" s="71">
        <f t="shared" si="2"/>
        <v>13.4122130963055</v>
      </c>
      <c r="G76" s="84">
        <f t="shared" si="3"/>
        <v>137.20693997520527</v>
      </c>
      <c r="H76" s="43"/>
      <c r="I76" s="8"/>
      <c r="J76" s="8"/>
      <c r="K76" s="88" t="s">
        <v>460</v>
      </c>
      <c r="L76" s="87">
        <v>788</v>
      </c>
      <c r="M76" s="87">
        <v>3151</v>
      </c>
      <c r="N76" s="87">
        <v>845</v>
      </c>
      <c r="O76" s="87">
        <v>3383</v>
      </c>
      <c r="P76" s="89">
        <v>0.82620000000000005</v>
      </c>
      <c r="Q76" s="8"/>
      <c r="R76" s="87"/>
      <c r="S76" s="88">
        <v>4.08</v>
      </c>
      <c r="T76" s="87">
        <v>528</v>
      </c>
      <c r="U76" s="87">
        <v>2113</v>
      </c>
      <c r="V76" s="87">
        <v>542</v>
      </c>
      <c r="W76" s="87">
        <v>2170</v>
      </c>
      <c r="X76" s="89">
        <v>0.53</v>
      </c>
      <c r="Y76" s="8"/>
      <c r="Z76" s="8"/>
      <c r="AA76" s="8"/>
      <c r="AB76" s="8"/>
      <c r="AC76" s="8"/>
    </row>
    <row r="77" spans="1:29" ht="15">
      <c r="A77" s="58"/>
      <c r="B77" s="69">
        <v>47</v>
      </c>
      <c r="C77" s="43" t="s">
        <v>275</v>
      </c>
      <c r="D77" s="69">
        <v>1.7051811373241899E-2</v>
      </c>
      <c r="E77" s="43">
        <v>0.13648613959963399</v>
      </c>
      <c r="F77" s="71">
        <f t="shared" si="2"/>
        <v>13.648613959963399</v>
      </c>
      <c r="G77" s="84">
        <f t="shared" si="3"/>
        <v>139.62532081042556</v>
      </c>
      <c r="H77" s="43"/>
      <c r="I77" s="8"/>
      <c r="J77" s="8"/>
      <c r="K77" s="88">
        <v>9</v>
      </c>
      <c r="L77" s="87">
        <v>807</v>
      </c>
      <c r="M77" s="87">
        <v>3227</v>
      </c>
      <c r="N77" s="87">
        <v>867</v>
      </c>
      <c r="O77" s="87">
        <v>3472</v>
      </c>
      <c r="P77" s="89">
        <v>0.8478</v>
      </c>
      <c r="Q77" s="8"/>
      <c r="R77" s="87"/>
      <c r="S77" s="88">
        <v>4.24</v>
      </c>
      <c r="T77" s="87">
        <v>537</v>
      </c>
      <c r="U77" s="87">
        <v>2148</v>
      </c>
      <c r="V77" s="87">
        <v>552</v>
      </c>
      <c r="W77" s="87">
        <v>2211</v>
      </c>
      <c r="X77" s="89">
        <v>0.54</v>
      </c>
      <c r="Y77" s="8"/>
      <c r="Z77" s="8"/>
      <c r="AA77" s="8"/>
      <c r="AB77" s="8"/>
      <c r="AC77" s="8"/>
    </row>
    <row r="78" spans="1:29" ht="15">
      <c r="A78" s="58"/>
      <c r="B78" s="69">
        <v>48</v>
      </c>
      <c r="C78" s="43" t="s">
        <v>276</v>
      </c>
      <c r="D78" s="69">
        <v>1.8275678918015299E-2</v>
      </c>
      <c r="E78" s="43">
        <v>0.138955157543699</v>
      </c>
      <c r="F78" s="71">
        <f t="shared" si="2"/>
        <v>13.895515754369899</v>
      </c>
      <c r="G78" s="84">
        <f t="shared" si="3"/>
        <v>142.15112616720407</v>
      </c>
      <c r="H78" s="43"/>
      <c r="I78" s="8"/>
      <c r="J78" s="8"/>
      <c r="K78" s="90">
        <v>45352</v>
      </c>
      <c r="L78" s="87">
        <v>826</v>
      </c>
      <c r="M78" s="87">
        <v>3302</v>
      </c>
      <c r="N78" s="87">
        <v>889</v>
      </c>
      <c r="O78" s="87">
        <v>3560</v>
      </c>
      <c r="P78" s="89">
        <v>0.86939999999999995</v>
      </c>
      <c r="Q78" s="8"/>
      <c r="R78" s="87"/>
      <c r="S78" s="88">
        <v>4.3899999999999997</v>
      </c>
      <c r="T78" s="87">
        <v>546</v>
      </c>
      <c r="U78" s="87">
        <v>2183</v>
      </c>
      <c r="V78" s="87">
        <v>563</v>
      </c>
      <c r="W78" s="87">
        <v>2252</v>
      </c>
      <c r="X78" s="89">
        <v>0.55000000000000004</v>
      </c>
      <c r="Y78" s="8"/>
      <c r="Z78" s="8"/>
      <c r="AA78" s="8"/>
      <c r="AB78" s="8"/>
      <c r="AC78" s="8"/>
    </row>
    <row r="79" spans="1:29" ht="15">
      <c r="A79" s="58"/>
      <c r="B79" s="69">
        <v>49</v>
      </c>
      <c r="C79" s="43" t="s">
        <v>277</v>
      </c>
      <c r="D79" s="69">
        <v>1.9587387674162699E-2</v>
      </c>
      <c r="E79" s="43">
        <v>0.14153092973418599</v>
      </c>
      <c r="F79" s="71">
        <f t="shared" si="2"/>
        <v>14.153092973418598</v>
      </c>
      <c r="G79" s="84">
        <f t="shared" si="3"/>
        <v>144.78614111807227</v>
      </c>
      <c r="H79" s="43"/>
      <c r="I79" s="8"/>
      <c r="J79" s="8"/>
      <c r="K79" s="90">
        <v>45353</v>
      </c>
      <c r="L79" s="87">
        <v>844</v>
      </c>
      <c r="M79" s="87">
        <v>3378</v>
      </c>
      <c r="N79" s="87">
        <v>911</v>
      </c>
      <c r="O79" s="87">
        <v>3648</v>
      </c>
      <c r="P79" s="89">
        <v>0.89100000000000001</v>
      </c>
      <c r="Q79" s="8"/>
      <c r="R79" s="87"/>
      <c r="S79" s="88">
        <v>4.55</v>
      </c>
      <c r="T79" s="87">
        <v>555</v>
      </c>
      <c r="U79" s="87">
        <v>2218</v>
      </c>
      <c r="V79" s="87">
        <v>573</v>
      </c>
      <c r="W79" s="87">
        <v>2293</v>
      </c>
      <c r="X79" s="89">
        <v>0.56000000000000005</v>
      </c>
      <c r="Y79" s="8"/>
      <c r="Z79" s="8"/>
      <c r="AA79" s="8"/>
      <c r="AB79" s="8"/>
      <c r="AC79" s="8"/>
    </row>
    <row r="80" spans="1:29" ht="15">
      <c r="A80" s="58"/>
      <c r="B80" s="69">
        <v>50</v>
      </c>
      <c r="C80" s="43" t="s">
        <v>278</v>
      </c>
      <c r="D80" s="69">
        <v>2.0993242309578102E-2</v>
      </c>
      <c r="E80" s="43">
        <v>0.14421498272812999</v>
      </c>
      <c r="F80" s="71">
        <f t="shared" si="2"/>
        <v>14.421498272812999</v>
      </c>
      <c r="G80" s="84">
        <f t="shared" si="3"/>
        <v>147.53192733087698</v>
      </c>
      <c r="H80" s="43"/>
      <c r="I80" s="8"/>
      <c r="J80" s="8"/>
      <c r="K80" s="88">
        <v>10</v>
      </c>
      <c r="L80" s="87">
        <v>863</v>
      </c>
      <c r="M80" s="87">
        <v>3454</v>
      </c>
      <c r="N80" s="87">
        <v>934</v>
      </c>
      <c r="O80" s="87">
        <v>3737</v>
      </c>
      <c r="P80" s="89">
        <v>0.91259999999999997</v>
      </c>
      <c r="Q80" s="8"/>
      <c r="R80" s="87"/>
      <c r="S80" s="88">
        <v>4.7</v>
      </c>
      <c r="T80" s="87">
        <v>563</v>
      </c>
      <c r="U80" s="87">
        <v>2253</v>
      </c>
      <c r="V80" s="87">
        <v>583</v>
      </c>
      <c r="W80" s="87">
        <v>2334</v>
      </c>
      <c r="X80" s="89">
        <v>0.56999999999999995</v>
      </c>
      <c r="Y80" s="8"/>
      <c r="Z80" s="8"/>
      <c r="AA80" s="8"/>
      <c r="AB80" s="8"/>
      <c r="AC80" s="8"/>
    </row>
    <row r="81" spans="1:29" ht="15">
      <c r="A81" s="58"/>
      <c r="B81" s="69">
        <v>51</v>
      </c>
      <c r="C81" s="43" t="s">
        <v>279</v>
      </c>
      <c r="D81" s="69">
        <v>2.2499999999999999E-2</v>
      </c>
      <c r="E81" s="43">
        <v>0.147008610830409</v>
      </c>
      <c r="F81" s="71">
        <f t="shared" si="2"/>
        <v>14.7008610830409</v>
      </c>
      <c r="G81" s="84">
        <f t="shared" si="3"/>
        <v>150.38980887950842</v>
      </c>
      <c r="H81" s="43"/>
      <c r="I81" s="8"/>
      <c r="J81" s="8"/>
      <c r="K81" s="88" t="s">
        <v>461</v>
      </c>
      <c r="L81" s="87">
        <v>882</v>
      </c>
      <c r="M81" s="87">
        <v>3529</v>
      </c>
      <c r="N81" s="87">
        <v>956</v>
      </c>
      <c r="O81" s="87">
        <v>3825</v>
      </c>
      <c r="P81" s="89">
        <v>0.93410000000000004</v>
      </c>
      <c r="Q81" s="8"/>
      <c r="R81" s="87"/>
      <c r="S81" s="88">
        <v>4.8600000000000003</v>
      </c>
      <c r="T81" s="87">
        <v>572</v>
      </c>
      <c r="U81" s="87">
        <v>2288</v>
      </c>
      <c r="V81" s="87">
        <v>593</v>
      </c>
      <c r="W81" s="87">
        <v>2375</v>
      </c>
      <c r="X81" s="89">
        <v>0.57999999999999996</v>
      </c>
      <c r="Y81" s="8"/>
      <c r="Z81" s="8"/>
      <c r="AA81" s="8"/>
      <c r="AB81" s="8"/>
      <c r="AC81" s="8"/>
    </row>
    <row r="82" spans="1:29" ht="15">
      <c r="A82" s="58"/>
      <c r="B82" s="69">
        <v>52</v>
      </c>
      <c r="C82" s="43" t="s">
        <v>280</v>
      </c>
      <c r="D82" s="69">
        <v>2.4114902907066499E-2</v>
      </c>
      <c r="E82" s="43">
        <v>0.14991286435934301</v>
      </c>
      <c r="F82" s="71">
        <f t="shared" si="2"/>
        <v>14.991286435934301</v>
      </c>
      <c r="G82" s="84">
        <f t="shared" si="3"/>
        <v>153.36086023960789</v>
      </c>
      <c r="H82" s="43"/>
      <c r="I82" s="8"/>
      <c r="J82" s="8"/>
      <c r="K82" s="88" t="s">
        <v>462</v>
      </c>
      <c r="L82" s="87">
        <v>901</v>
      </c>
      <c r="M82" s="87">
        <v>3605</v>
      </c>
      <c r="N82" s="87">
        <v>978</v>
      </c>
      <c r="O82" s="87">
        <v>3914</v>
      </c>
      <c r="P82" s="89">
        <v>0.95569999999999999</v>
      </c>
      <c r="Q82" s="8"/>
      <c r="R82" s="87"/>
      <c r="S82" s="88">
        <v>5.0199999999999996</v>
      </c>
      <c r="T82" s="87">
        <v>581</v>
      </c>
      <c r="U82" s="87">
        <v>2323</v>
      </c>
      <c r="V82" s="87">
        <v>604</v>
      </c>
      <c r="W82" s="87">
        <v>2416</v>
      </c>
      <c r="X82" s="89">
        <v>0.59</v>
      </c>
      <c r="Y82" s="8"/>
      <c r="Z82" s="8"/>
      <c r="AA82" s="8"/>
      <c r="AB82" s="8"/>
      <c r="AC82" s="8"/>
    </row>
    <row r="83" spans="1:29" ht="15">
      <c r="A83" s="58"/>
      <c r="B83" s="69">
        <v>53</v>
      </c>
      <c r="C83" s="43" t="s">
        <v>281</v>
      </c>
      <c r="D83" s="69">
        <v>2.5845712987433201E-2</v>
      </c>
      <c r="E83" s="43">
        <v>0.15292853979621901</v>
      </c>
      <c r="F83" s="71">
        <f t="shared" si="2"/>
        <v>15.292853979621901</v>
      </c>
      <c r="G83" s="84">
        <f t="shared" si="3"/>
        <v>156.44589621153204</v>
      </c>
      <c r="H83" s="43"/>
      <c r="I83" s="8"/>
      <c r="J83" s="8"/>
      <c r="K83" s="88">
        <v>11</v>
      </c>
      <c r="L83" s="87">
        <v>920</v>
      </c>
      <c r="M83" s="87">
        <v>3681</v>
      </c>
      <c r="N83" s="87">
        <v>1000</v>
      </c>
      <c r="O83" s="87">
        <v>4002</v>
      </c>
      <c r="P83" s="89">
        <v>0.97729999999999995</v>
      </c>
      <c r="Q83" s="8"/>
      <c r="R83" s="87"/>
      <c r="S83" s="88">
        <v>5.17</v>
      </c>
      <c r="T83" s="87">
        <v>590</v>
      </c>
      <c r="U83" s="87">
        <v>2358</v>
      </c>
      <c r="V83" s="87">
        <v>614</v>
      </c>
      <c r="W83" s="87">
        <v>2457</v>
      </c>
      <c r="X83" s="89">
        <v>0.6</v>
      </c>
      <c r="Y83" s="8"/>
      <c r="Z83" s="8"/>
      <c r="AA83" s="8"/>
      <c r="AB83" s="8"/>
      <c r="AC83" s="8"/>
    </row>
    <row r="84" spans="1:29" ht="15">
      <c r="A84" s="58"/>
      <c r="B84" s="69">
        <v>54</v>
      </c>
      <c r="C84" s="43" t="s">
        <v>282</v>
      </c>
      <c r="D84" s="69">
        <v>2.7700749300260601E-2</v>
      </c>
      <c r="E84" s="43">
        <v>0.15605617231879301</v>
      </c>
      <c r="F84" s="71">
        <f t="shared" si="2"/>
        <v>15.605617231879302</v>
      </c>
      <c r="G84" s="84">
        <f t="shared" si="3"/>
        <v>159.64546428212526</v>
      </c>
      <c r="H84" s="43"/>
      <c r="I84" s="8"/>
      <c r="J84" s="8"/>
      <c r="K84" s="90">
        <v>45352</v>
      </c>
      <c r="L84" s="87">
        <v>939</v>
      </c>
      <c r="M84" s="87">
        <v>3756</v>
      </c>
      <c r="N84" s="87">
        <v>1022</v>
      </c>
      <c r="O84" s="87">
        <v>4091</v>
      </c>
      <c r="P84" s="89">
        <v>0.99890000000000001</v>
      </c>
      <c r="Q84" s="8"/>
      <c r="R84" s="87"/>
      <c r="S84" s="88">
        <v>5.33</v>
      </c>
      <c r="T84" s="87">
        <v>598</v>
      </c>
      <c r="U84" s="87">
        <v>2393</v>
      </c>
      <c r="V84" s="87">
        <v>624</v>
      </c>
      <c r="W84" s="87">
        <v>2498</v>
      </c>
      <c r="X84" s="89">
        <v>0.61</v>
      </c>
      <c r="Y84" s="8"/>
      <c r="Z84" s="8"/>
      <c r="AA84" s="8"/>
      <c r="AB84" s="8"/>
      <c r="AC84" s="8"/>
    </row>
    <row r="85" spans="1:29" ht="15">
      <c r="A85" s="58"/>
      <c r="B85" s="69">
        <v>55</v>
      </c>
      <c r="C85" s="43" t="s">
        <v>283</v>
      </c>
      <c r="D85" s="69">
        <v>2.9688927992390101E-2</v>
      </c>
      <c r="E85" s="43">
        <v>0.15929603070064799</v>
      </c>
      <c r="F85" s="71">
        <f t="shared" si="2"/>
        <v>15.929603070064799</v>
      </c>
      <c r="G85" s="84">
        <f t="shared" si="3"/>
        <v>162.95983940676288</v>
      </c>
      <c r="H85" s="43"/>
      <c r="I85" s="8"/>
      <c r="J85" s="8"/>
      <c r="Q85" s="8"/>
      <c r="R85" s="87"/>
      <c r="S85" s="88">
        <v>5.48</v>
      </c>
      <c r="T85" s="87">
        <v>607</v>
      </c>
      <c r="U85" s="87">
        <v>2428</v>
      </c>
      <c r="V85" s="87">
        <v>634</v>
      </c>
      <c r="W85" s="87">
        <v>2539</v>
      </c>
      <c r="X85" s="89">
        <v>0.62</v>
      </c>
      <c r="Y85" s="8"/>
      <c r="Z85" s="8"/>
      <c r="AA85" s="8"/>
      <c r="AB85" s="8"/>
      <c r="AC85" s="8"/>
    </row>
    <row r="86" spans="1:29" ht="15">
      <c r="A86" s="58"/>
      <c r="B86" s="69">
        <v>56</v>
      </c>
      <c r="C86" s="43" t="s">
        <v>284</v>
      </c>
      <c r="D86" s="69">
        <v>3.1819805153394602E-2</v>
      </c>
      <c r="E86" s="43">
        <v>0.16264811473259</v>
      </c>
      <c r="F86" s="71">
        <f t="shared" si="2"/>
        <v>16.264811473259002</v>
      </c>
      <c r="G86" s="84">
        <f t="shared" si="3"/>
        <v>166.38902137143958</v>
      </c>
      <c r="H86" s="43"/>
      <c r="I86" s="8"/>
      <c r="J86" s="8"/>
      <c r="K86" s="8"/>
      <c r="L86" s="8"/>
      <c r="M86" s="8"/>
      <c r="N86" s="8"/>
      <c r="O86" s="8"/>
      <c r="P86" s="8"/>
      <c r="Q86" s="8"/>
      <c r="R86" s="87"/>
      <c r="S86" s="88">
        <v>5.64</v>
      </c>
      <c r="T86" s="87">
        <v>616</v>
      </c>
      <c r="U86" s="87">
        <v>2464</v>
      </c>
      <c r="V86" s="87">
        <v>644</v>
      </c>
      <c r="W86" s="87">
        <v>2580</v>
      </c>
      <c r="X86" s="89">
        <v>0.63</v>
      </c>
      <c r="Y86" s="8"/>
      <c r="Z86" s="8"/>
      <c r="AA86" s="8"/>
      <c r="AB86" s="8"/>
      <c r="AC86" s="8"/>
    </row>
    <row r="87" spans="1:29" ht="15">
      <c r="A87" s="58"/>
      <c r="B87" s="69">
        <v>57</v>
      </c>
      <c r="C87" s="43" t="s">
        <v>285</v>
      </c>
      <c r="D87" s="69">
        <v>3.4103622746483903E-2</v>
      </c>
      <c r="E87" s="43">
        <v>0.16611215523896999</v>
      </c>
      <c r="F87" s="71">
        <f t="shared" si="2"/>
        <v>16.611215523896998</v>
      </c>
      <c r="G87" s="84">
        <f t="shared" si="3"/>
        <v>169.9327348094663</v>
      </c>
      <c r="H87" s="43"/>
      <c r="I87" s="8"/>
      <c r="J87" s="8"/>
      <c r="K87" s="8"/>
      <c r="L87" s="8"/>
      <c r="M87" s="8"/>
      <c r="N87" s="8"/>
      <c r="O87" s="8"/>
      <c r="P87" s="8"/>
      <c r="Q87" s="8"/>
      <c r="R87" s="87"/>
      <c r="S87" s="88">
        <v>5.79</v>
      </c>
      <c r="T87" s="87">
        <v>625</v>
      </c>
      <c r="U87" s="87">
        <v>2499</v>
      </c>
      <c r="V87" s="87">
        <v>655</v>
      </c>
      <c r="W87" s="87">
        <v>2621</v>
      </c>
      <c r="X87" s="89">
        <v>0.64</v>
      </c>
      <c r="Y87" s="8"/>
      <c r="Z87" s="8"/>
      <c r="AA87" s="8"/>
      <c r="AB87" s="8"/>
      <c r="AC87" s="8"/>
    </row>
    <row r="88" spans="1:29" ht="15">
      <c r="A88" s="58"/>
      <c r="B88" s="69">
        <v>58</v>
      </c>
      <c r="C88" s="43" t="s">
        <v>286</v>
      </c>
      <c r="D88" s="69">
        <v>3.6551357836030599E-2</v>
      </c>
      <c r="E88" s="43">
        <v>0.16968761661057799</v>
      </c>
      <c r="F88" s="71">
        <f t="shared" si="2"/>
        <v>16.968761661057798</v>
      </c>
      <c r="G88" s="84">
        <f t="shared" si="3"/>
        <v>173.59043179262127</v>
      </c>
      <c r="H88" s="43"/>
      <c r="I88" s="8"/>
      <c r="J88" s="8"/>
      <c r="K88" s="8"/>
      <c r="L88" s="8"/>
      <c r="M88" s="8"/>
      <c r="N88" s="8"/>
      <c r="O88" s="8"/>
      <c r="P88" s="8"/>
      <c r="Q88" s="8"/>
      <c r="R88" s="87"/>
      <c r="S88" s="88">
        <v>5.94</v>
      </c>
      <c r="T88" s="87">
        <v>633</v>
      </c>
      <c r="U88" s="87">
        <v>2534</v>
      </c>
      <c r="V88" s="87">
        <v>665</v>
      </c>
      <c r="W88" s="87">
        <v>2662</v>
      </c>
      <c r="X88" s="89">
        <v>0.65</v>
      </c>
      <c r="Y88" s="8"/>
      <c r="Z88" s="8"/>
      <c r="AA88" s="8"/>
      <c r="AB88" s="8"/>
      <c r="AC88" s="8"/>
    </row>
    <row r="89" spans="1:29" ht="15">
      <c r="A89" s="58"/>
      <c r="B89" s="69">
        <v>59</v>
      </c>
      <c r="C89" s="43" t="s">
        <v>287</v>
      </c>
      <c r="D89" s="69">
        <v>3.9174775348325502E-2</v>
      </c>
      <c r="E89" s="43">
        <v>0.17337370195871701</v>
      </c>
      <c r="F89" s="71">
        <f t="shared" si="2"/>
        <v>17.337370195871703</v>
      </c>
      <c r="G89" s="84">
        <f t="shared" si="3"/>
        <v>177.3612971037675</v>
      </c>
      <c r="H89" s="43"/>
      <c r="I89" s="8"/>
      <c r="J89" s="8"/>
      <c r="K89" s="8"/>
      <c r="L89" s="8"/>
      <c r="M89" s="8"/>
      <c r="N89" s="8"/>
      <c r="O89" s="8"/>
      <c r="P89" s="8"/>
      <c r="Q89" s="8"/>
      <c r="R89" s="87"/>
      <c r="S89" s="88">
        <v>6.1</v>
      </c>
      <c r="T89" s="87">
        <v>642</v>
      </c>
      <c r="U89" s="87">
        <v>2569</v>
      </c>
      <c r="V89" s="87">
        <v>675</v>
      </c>
      <c r="W89" s="87">
        <v>2703</v>
      </c>
      <c r="X89" s="89">
        <v>0.66</v>
      </c>
      <c r="Y89" s="8"/>
      <c r="Z89" s="8"/>
      <c r="AA89" s="8"/>
      <c r="AB89" s="8"/>
      <c r="AC89" s="8"/>
    </row>
    <row r="90" spans="1:29" ht="15">
      <c r="A90" s="58"/>
      <c r="B90" s="69">
        <v>60</v>
      </c>
      <c r="C90" s="43" t="s">
        <v>288</v>
      </c>
      <c r="D90" s="69">
        <v>4.19864846191563E-2</v>
      </c>
      <c r="E90" s="43">
        <v>0.177169360598599</v>
      </c>
      <c r="F90" s="71">
        <f t="shared" si="2"/>
        <v>17.716936059859901</v>
      </c>
      <c r="G90" s="84">
        <f t="shared" si="3"/>
        <v>181.24425589236677</v>
      </c>
      <c r="H90" s="43"/>
      <c r="I90" s="8"/>
      <c r="J90" s="8"/>
      <c r="K90" s="8"/>
      <c r="L90" s="8"/>
      <c r="M90" s="8"/>
      <c r="N90" s="8"/>
      <c r="O90" s="8"/>
      <c r="P90" s="8"/>
      <c r="Q90" s="8"/>
      <c r="R90" s="87"/>
      <c r="S90" s="88">
        <v>6.25</v>
      </c>
      <c r="T90" s="87">
        <v>651</v>
      </c>
      <c r="U90" s="87">
        <v>2604</v>
      </c>
      <c r="V90" s="87">
        <v>685</v>
      </c>
      <c r="W90" s="87">
        <v>2744</v>
      </c>
      <c r="X90" s="89">
        <v>0.67</v>
      </c>
      <c r="Y90" s="8"/>
      <c r="Z90" s="8"/>
      <c r="AA90" s="8"/>
      <c r="AB90" s="8"/>
      <c r="AC90" s="8"/>
    </row>
    <row r="91" spans="1:29" ht="15">
      <c r="A91" s="58"/>
      <c r="B91" s="69">
        <v>61</v>
      </c>
      <c r="C91" s="43" t="s">
        <v>289</v>
      </c>
      <c r="D91" s="69">
        <v>4.4999999999999998E-2</v>
      </c>
      <c r="E91" s="43">
        <v>0.18107329782147999</v>
      </c>
      <c r="F91" s="71">
        <f t="shared" si="2"/>
        <v>18.107329782148</v>
      </c>
      <c r="G91" s="84">
        <f t="shared" si="3"/>
        <v>185.23798367137402</v>
      </c>
      <c r="H91" s="43"/>
      <c r="I91" s="8"/>
      <c r="J91" s="8"/>
      <c r="K91" s="8"/>
      <c r="L91" s="8"/>
      <c r="M91" s="8"/>
      <c r="N91" s="8"/>
      <c r="O91" s="8"/>
      <c r="P91" s="8"/>
      <c r="Q91" s="8"/>
      <c r="R91" s="87"/>
      <c r="S91" s="88">
        <v>6.41</v>
      </c>
      <c r="T91" s="87">
        <v>660</v>
      </c>
      <c r="U91" s="87">
        <v>2639</v>
      </c>
      <c r="V91" s="87">
        <v>696</v>
      </c>
      <c r="W91" s="87">
        <v>2785</v>
      </c>
      <c r="X91" s="89">
        <v>0.68</v>
      </c>
      <c r="Y91" s="8"/>
      <c r="Z91" s="8"/>
      <c r="AA91" s="8"/>
      <c r="AB91" s="8"/>
      <c r="AC91" s="8"/>
    </row>
    <row r="92" spans="1:29" ht="15">
      <c r="A92" s="58"/>
      <c r="B92" s="69">
        <v>62</v>
      </c>
      <c r="C92" s="43" t="s">
        <v>290</v>
      </c>
      <c r="D92" s="69">
        <v>4.8229805814133102E-2</v>
      </c>
      <c r="E92" s="43">
        <v>0.18508398675853899</v>
      </c>
      <c r="F92" s="71">
        <f t="shared" si="2"/>
        <v>18.508398675853897</v>
      </c>
      <c r="G92" s="84">
        <f t="shared" si="3"/>
        <v>189.34091845398538</v>
      </c>
      <c r="H92" s="43"/>
      <c r="I92" s="8"/>
      <c r="J92" s="8"/>
      <c r="K92" s="8"/>
      <c r="L92" s="8"/>
      <c r="M92" s="8"/>
      <c r="N92" s="8"/>
      <c r="O92" s="8"/>
      <c r="P92" s="8"/>
      <c r="Q92" s="8"/>
      <c r="R92" s="87"/>
      <c r="S92" s="88">
        <v>6.56</v>
      </c>
      <c r="T92" s="87">
        <v>668</v>
      </c>
      <c r="U92" s="87">
        <v>2674</v>
      </c>
      <c r="V92" s="87">
        <v>706</v>
      </c>
      <c r="W92" s="87">
        <v>2826</v>
      </c>
      <c r="X92" s="89">
        <v>0.69</v>
      </c>
      <c r="Y92" s="8"/>
      <c r="Z92" s="8"/>
      <c r="AA92" s="8"/>
      <c r="AB92" s="8"/>
      <c r="AC92" s="8"/>
    </row>
    <row r="93" spans="1:29" ht="15">
      <c r="A93" s="58"/>
      <c r="B93" s="69">
        <v>63</v>
      </c>
      <c r="C93" s="43" t="s">
        <v>291</v>
      </c>
      <c r="D93" s="69">
        <v>5.1691425974866499E-2</v>
      </c>
      <c r="E93" s="43">
        <v>0.1891996821038</v>
      </c>
      <c r="F93" s="71">
        <f t="shared" si="2"/>
        <v>18.919968210379999</v>
      </c>
      <c r="G93" s="84">
        <f t="shared" si="3"/>
        <v>193.5512747921874</v>
      </c>
      <c r="H93" s="43"/>
      <c r="I93" s="8"/>
      <c r="J93" s="8"/>
      <c r="K93" s="8"/>
      <c r="L93" s="8"/>
      <c r="M93" s="8"/>
      <c r="N93" s="8"/>
      <c r="O93" s="8"/>
      <c r="P93" s="8"/>
      <c r="Q93" s="8"/>
      <c r="R93" s="87"/>
      <c r="S93" s="88">
        <v>6.72</v>
      </c>
      <c r="T93" s="87">
        <v>677</v>
      </c>
      <c r="U93" s="87">
        <v>2709</v>
      </c>
      <c r="V93" s="87">
        <v>716</v>
      </c>
      <c r="W93" s="87">
        <v>2867</v>
      </c>
      <c r="X93" s="89">
        <v>0.7</v>
      </c>
      <c r="Y93" s="8"/>
      <c r="Z93" s="8"/>
      <c r="AA93" s="8"/>
      <c r="AB93" s="8"/>
      <c r="AC93" s="8"/>
    </row>
    <row r="94" spans="1:29" ht="15">
      <c r="A94" s="58"/>
      <c r="B94" s="69">
        <v>64</v>
      </c>
      <c r="C94" s="43" t="s">
        <v>292</v>
      </c>
      <c r="D94" s="69">
        <v>5.5401498600521203E-2</v>
      </c>
      <c r="E94" s="43">
        <v>0.19341843540032899</v>
      </c>
      <c r="F94" s="71">
        <f t="shared" si="2"/>
        <v>19.341843540032897</v>
      </c>
      <c r="G94" s="84">
        <f t="shared" si="3"/>
        <v>197.86705941453656</v>
      </c>
      <c r="H94" s="43"/>
      <c r="I94" s="8"/>
      <c r="J94" s="8"/>
      <c r="K94" s="8"/>
      <c r="L94" s="8"/>
      <c r="M94" s="8"/>
      <c r="N94" s="8"/>
      <c r="O94" s="8"/>
      <c r="P94" s="8"/>
      <c r="Q94" s="8"/>
      <c r="R94" s="87"/>
      <c r="S94" s="88">
        <v>6.87</v>
      </c>
      <c r="T94" s="87">
        <v>686</v>
      </c>
      <c r="U94" s="87">
        <v>2744</v>
      </c>
      <c r="V94" s="87">
        <v>726</v>
      </c>
      <c r="W94" s="87">
        <v>2907</v>
      </c>
      <c r="X94" s="89">
        <v>0.71</v>
      </c>
      <c r="Y94" s="8"/>
      <c r="Z94" s="8"/>
      <c r="AA94" s="8"/>
      <c r="AB94" s="8"/>
      <c r="AC94" s="8"/>
    </row>
    <row r="95" spans="1:29" ht="15">
      <c r="A95" s="58"/>
      <c r="B95" s="69">
        <v>65</v>
      </c>
      <c r="C95" s="43" t="s">
        <v>293</v>
      </c>
      <c r="D95" s="69">
        <v>5.9377855984780202E-2</v>
      </c>
      <c r="E95" s="43">
        <v>0.19773811165784799</v>
      </c>
      <c r="F95" s="71">
        <f t="shared" si="2"/>
        <v>19.773811165784799</v>
      </c>
      <c r="G95" s="84">
        <f t="shared" si="3"/>
        <v>202.28608822597849</v>
      </c>
      <c r="H95" s="43"/>
      <c r="I95" s="8"/>
      <c r="J95" s="8"/>
      <c r="K95" s="8"/>
      <c r="L95" s="8"/>
      <c r="M95" s="8"/>
      <c r="N95" s="8"/>
      <c r="O95" s="8"/>
      <c r="P95" s="8"/>
      <c r="Q95" s="8"/>
      <c r="R95" s="87"/>
      <c r="S95" s="88">
        <v>7.03</v>
      </c>
      <c r="T95" s="87">
        <v>695</v>
      </c>
      <c r="U95" s="87">
        <v>2779</v>
      </c>
      <c r="V95" s="87">
        <v>737</v>
      </c>
      <c r="W95" s="87">
        <v>2948</v>
      </c>
      <c r="X95" s="89">
        <v>0.72</v>
      </c>
      <c r="Y95" s="8"/>
      <c r="Z95" s="8"/>
      <c r="AA95" s="8"/>
      <c r="AB95" s="8"/>
      <c r="AC95" s="8"/>
    </row>
    <row r="96" spans="1:29" ht="15">
      <c r="A96" s="58"/>
      <c r="B96" s="69">
        <v>66</v>
      </c>
      <c r="C96" s="43" t="s">
        <v>294</v>
      </c>
      <c r="D96" s="69">
        <v>6.3639610306789204E-2</v>
      </c>
      <c r="E96" s="43">
        <v>0.202156407069151</v>
      </c>
      <c r="F96" s="71">
        <f t="shared" si="2"/>
        <v>20.215640706915099</v>
      </c>
      <c r="G96" s="84">
        <f t="shared" si="3"/>
        <v>206.80600443174148</v>
      </c>
      <c r="H96" s="43"/>
      <c r="I96" s="8"/>
      <c r="J96" s="8"/>
      <c r="K96" s="8"/>
      <c r="L96" s="8"/>
      <c r="M96" s="8"/>
      <c r="N96" s="8"/>
      <c r="O96" s="8"/>
      <c r="P96" s="8"/>
      <c r="Q96" s="8"/>
      <c r="R96" s="87"/>
      <c r="S96" s="88">
        <v>7.18</v>
      </c>
      <c r="T96" s="87">
        <v>703</v>
      </c>
      <c r="U96" s="87">
        <v>2814</v>
      </c>
      <c r="V96" s="87">
        <v>747</v>
      </c>
      <c r="W96" s="87">
        <v>2989</v>
      </c>
      <c r="X96" s="89">
        <v>0.73</v>
      </c>
      <c r="Y96" s="8"/>
      <c r="Z96" s="8"/>
      <c r="AA96" s="8"/>
      <c r="AB96" s="8"/>
      <c r="AC96" s="8"/>
    </row>
    <row r="97" spans="1:29" ht="15">
      <c r="A97" s="58"/>
      <c r="B97" s="69">
        <v>67</v>
      </c>
      <c r="C97" s="43" t="s">
        <v>295</v>
      </c>
      <c r="D97" s="69">
        <v>6.8207245492967902E-2</v>
      </c>
      <c r="E97" s="43">
        <v>0.20667086732848899</v>
      </c>
      <c r="F97" s="71">
        <f t="shared" si="2"/>
        <v>20.667086732848901</v>
      </c>
      <c r="G97" s="84">
        <f t="shared" si="3"/>
        <v>211.42429727704425</v>
      </c>
      <c r="H97" s="43"/>
      <c r="I97" s="8"/>
      <c r="J97" s="8"/>
      <c r="K97" s="8"/>
      <c r="L97" s="8"/>
      <c r="M97" s="8"/>
      <c r="N97" s="8"/>
      <c r="O97" s="8"/>
      <c r="P97" s="8"/>
      <c r="Q97" s="8"/>
      <c r="R97" s="87"/>
      <c r="S97" s="88">
        <v>7.34</v>
      </c>
      <c r="T97" s="87">
        <v>712</v>
      </c>
      <c r="U97" s="87">
        <v>2849</v>
      </c>
      <c r="V97" s="87">
        <v>757</v>
      </c>
      <c r="W97" s="87">
        <v>3030</v>
      </c>
      <c r="X97" s="89">
        <v>0.74</v>
      </c>
      <c r="Y97" s="8"/>
      <c r="Z97" s="8"/>
      <c r="AA97" s="8"/>
      <c r="AB97" s="8"/>
      <c r="AC97" s="8"/>
    </row>
    <row r="98" spans="1:29" ht="15">
      <c r="A98" s="58"/>
      <c r="B98" s="69">
        <v>68</v>
      </c>
      <c r="C98" s="43" t="s">
        <v>296</v>
      </c>
      <c r="D98" s="69">
        <v>7.31027156720611E-2</v>
      </c>
      <c r="E98" s="43">
        <v>0.21127890659159401</v>
      </c>
      <c r="F98" s="71">
        <f t="shared" si="2"/>
        <v>21.127890659159402</v>
      </c>
      <c r="G98" s="84">
        <f t="shared" si="3"/>
        <v>216.13832144320068</v>
      </c>
      <c r="H98" s="43"/>
      <c r="I98" s="8"/>
      <c r="J98" s="8"/>
      <c r="K98" s="8"/>
      <c r="L98" s="8"/>
      <c r="M98" s="8"/>
      <c r="N98" s="8"/>
      <c r="O98" s="8"/>
      <c r="P98" s="8"/>
      <c r="Q98" s="8"/>
      <c r="R98" s="87"/>
      <c r="S98" s="88">
        <v>7.49</v>
      </c>
      <c r="T98" s="87">
        <v>721</v>
      </c>
      <c r="U98" s="87">
        <v>2884</v>
      </c>
      <c r="V98" s="87">
        <v>767</v>
      </c>
      <c r="W98" s="87">
        <v>3071</v>
      </c>
      <c r="X98" s="89">
        <v>0.75</v>
      </c>
      <c r="Y98" s="8"/>
      <c r="Z98" s="8"/>
      <c r="AA98" s="8"/>
      <c r="AB98" s="8"/>
      <c r="AC98" s="8"/>
    </row>
    <row r="99" spans="1:29" ht="15">
      <c r="A99" s="58"/>
      <c r="B99" s="69">
        <v>69</v>
      </c>
      <c r="C99" s="43" t="s">
        <v>297</v>
      </c>
      <c r="D99" s="69">
        <v>7.8349550696651102E-2</v>
      </c>
      <c r="E99" s="43">
        <v>0.21597782644212701</v>
      </c>
      <c r="F99" s="71">
        <f t="shared" si="2"/>
        <v>21.5977826442127</v>
      </c>
      <c r="G99" s="84">
        <f t="shared" si="3"/>
        <v>220.94531645029593</v>
      </c>
      <c r="H99" s="43"/>
      <c r="I99" s="8"/>
      <c r="J99" s="8"/>
      <c r="K99" s="8"/>
      <c r="L99" s="8"/>
      <c r="M99" s="8"/>
      <c r="N99" s="8"/>
      <c r="O99" s="8"/>
      <c r="P99" s="8"/>
      <c r="Q99" s="8"/>
      <c r="R99" s="87"/>
      <c r="S99" s="88">
        <v>7.64</v>
      </c>
      <c r="T99" s="87">
        <v>730</v>
      </c>
      <c r="U99" s="87">
        <v>2919</v>
      </c>
      <c r="V99" s="87">
        <v>777</v>
      </c>
      <c r="W99" s="87">
        <v>3112</v>
      </c>
      <c r="X99" s="89">
        <v>0.76</v>
      </c>
      <c r="Y99" s="8"/>
      <c r="Z99" s="8"/>
      <c r="AA99" s="8"/>
      <c r="AB99" s="8"/>
      <c r="AC99" s="8"/>
    </row>
    <row r="100" spans="1:29" ht="15">
      <c r="A100" s="58"/>
      <c r="B100" s="69">
        <v>70</v>
      </c>
      <c r="C100" s="43" t="s">
        <v>298</v>
      </c>
      <c r="D100" s="69">
        <v>8.39729692383126E-2</v>
      </c>
      <c r="E100" s="43">
        <v>0.22076483486679599</v>
      </c>
      <c r="F100" s="71">
        <f t="shared" si="2"/>
        <v>22.076483486679599</v>
      </c>
      <c r="G100" s="84">
        <f t="shared" si="3"/>
        <v>225.84242606873229</v>
      </c>
      <c r="H100" s="43"/>
      <c r="I100" s="8"/>
      <c r="J100" s="8"/>
      <c r="K100" s="8"/>
      <c r="L100" s="8"/>
      <c r="M100" s="8"/>
      <c r="N100" s="8"/>
      <c r="O100" s="8"/>
      <c r="P100" s="8"/>
      <c r="Q100" s="8"/>
      <c r="R100" s="87"/>
      <c r="S100" s="88">
        <v>7.8</v>
      </c>
      <c r="T100" s="87">
        <v>739</v>
      </c>
      <c r="U100" s="87">
        <v>2954</v>
      </c>
      <c r="V100" s="87">
        <v>788</v>
      </c>
      <c r="W100" s="87">
        <v>3153</v>
      </c>
      <c r="X100" s="89">
        <v>0.77</v>
      </c>
      <c r="Y100" s="8"/>
      <c r="Z100" s="8"/>
      <c r="AA100" s="8"/>
      <c r="AB100" s="8"/>
      <c r="AC100" s="8"/>
    </row>
    <row r="101" spans="1:29" ht="15">
      <c r="A101" s="58"/>
      <c r="B101" s="69">
        <v>71</v>
      </c>
      <c r="C101" s="43" t="s">
        <v>299</v>
      </c>
      <c r="D101" s="69">
        <v>0.09</v>
      </c>
      <c r="E101" s="43">
        <v>0.22563706491379101</v>
      </c>
      <c r="F101" s="71">
        <f t="shared" si="2"/>
        <v>22.563706491379101</v>
      </c>
      <c r="G101" s="84">
        <f t="shared" si="3"/>
        <v>230.8267174068082</v>
      </c>
      <c r="H101" s="43"/>
      <c r="I101" s="8"/>
      <c r="J101" s="8"/>
      <c r="K101" s="8"/>
      <c r="L101" s="8"/>
      <c r="M101" s="8"/>
      <c r="N101" s="8"/>
      <c r="O101" s="8"/>
      <c r="P101" s="8"/>
      <c r="Q101" s="8"/>
      <c r="R101" s="87"/>
      <c r="S101" s="88">
        <v>7.95</v>
      </c>
      <c r="T101" s="87">
        <v>747</v>
      </c>
      <c r="U101" s="87">
        <v>2989</v>
      </c>
      <c r="V101" s="87">
        <v>798</v>
      </c>
      <c r="W101" s="87">
        <v>3194</v>
      </c>
      <c r="X101" s="89">
        <v>0.78</v>
      </c>
      <c r="Y101" s="8"/>
      <c r="Z101" s="8"/>
      <c r="AA101" s="8"/>
      <c r="AB101" s="8"/>
      <c r="AC101" s="8"/>
    </row>
    <row r="102" spans="1:29" ht="15">
      <c r="A102" s="58"/>
      <c r="B102" s="69">
        <v>72</v>
      </c>
      <c r="C102" s="43" t="s">
        <v>300</v>
      </c>
      <c r="D102" s="69">
        <v>9.6459611628266301E-2</v>
      </c>
      <c r="E102" s="43">
        <v>0.23059159276994801</v>
      </c>
      <c r="F102" s="71">
        <f t="shared" si="2"/>
        <v>23.059159276994802</v>
      </c>
      <c r="G102" s="84">
        <f t="shared" si="3"/>
        <v>235.89519940365682</v>
      </c>
      <c r="H102" s="43"/>
      <c r="I102" s="8"/>
      <c r="J102" s="8"/>
      <c r="K102" s="8"/>
      <c r="L102" s="8"/>
      <c r="M102" s="8"/>
      <c r="N102" s="8"/>
      <c r="O102" s="8"/>
      <c r="P102" s="8"/>
      <c r="Q102" s="8"/>
      <c r="R102" s="87"/>
      <c r="S102" s="88">
        <v>8.11</v>
      </c>
      <c r="T102" s="87">
        <v>756</v>
      </c>
      <c r="U102" s="87">
        <v>3024</v>
      </c>
      <c r="V102" s="87">
        <v>808</v>
      </c>
      <c r="W102" s="87">
        <v>3235</v>
      </c>
      <c r="X102" s="89">
        <v>0.79</v>
      </c>
      <c r="Y102" s="8"/>
      <c r="Z102" s="8"/>
      <c r="AA102" s="8"/>
      <c r="AB102" s="8"/>
      <c r="AC102" s="8"/>
    </row>
    <row r="103" spans="1:29" ht="15">
      <c r="A103" s="58"/>
      <c r="B103" s="69">
        <v>73</v>
      </c>
      <c r="C103" s="43" t="s">
        <v>301</v>
      </c>
      <c r="D103" s="69">
        <v>0.103382851949733</v>
      </c>
      <c r="E103" s="43">
        <v>0.23562545509536501</v>
      </c>
      <c r="F103" s="71">
        <f t="shared" si="2"/>
        <v>23.562545509536502</v>
      </c>
      <c r="G103" s="84">
        <f t="shared" si="3"/>
        <v>241.04484056255839</v>
      </c>
      <c r="H103" s="43"/>
      <c r="I103" s="8"/>
      <c r="J103" s="8"/>
      <c r="K103" s="8"/>
      <c r="L103" s="8"/>
      <c r="M103" s="8"/>
      <c r="N103" s="8"/>
      <c r="O103" s="8"/>
      <c r="P103" s="8"/>
      <c r="Q103" s="8"/>
      <c r="R103" s="87"/>
      <c r="S103" s="88">
        <v>8.26</v>
      </c>
      <c r="T103" s="87">
        <v>765</v>
      </c>
      <c r="U103" s="87">
        <v>3059</v>
      </c>
      <c r="V103" s="87">
        <v>818</v>
      </c>
      <c r="W103" s="87">
        <v>3276</v>
      </c>
      <c r="X103" s="89">
        <v>0.8</v>
      </c>
      <c r="Y103" s="8"/>
      <c r="Z103" s="8"/>
      <c r="AA103" s="8"/>
      <c r="AB103" s="8"/>
      <c r="AC103" s="8"/>
    </row>
    <row r="104" spans="1:29" ht="15">
      <c r="A104" s="58"/>
      <c r="B104" s="69">
        <v>74</v>
      </c>
      <c r="C104" s="43" t="s">
        <v>302</v>
      </c>
      <c r="D104" s="69">
        <v>0.110802997201042</v>
      </c>
      <c r="E104" s="43">
        <v>0.240735665708188</v>
      </c>
      <c r="F104" s="71">
        <f t="shared" si="2"/>
        <v>24.073566570818798</v>
      </c>
      <c r="G104" s="84">
        <f t="shared" si="3"/>
        <v>246.27258601947631</v>
      </c>
      <c r="H104" s="43"/>
      <c r="I104" s="8"/>
      <c r="J104" s="8"/>
      <c r="K104" s="8"/>
      <c r="L104" s="8"/>
      <c r="M104" s="8"/>
      <c r="N104" s="8"/>
      <c r="O104" s="8"/>
      <c r="P104" s="8"/>
      <c r="Q104" s="8"/>
      <c r="R104" s="87"/>
      <c r="S104" s="88">
        <v>8.42</v>
      </c>
      <c r="T104" s="87">
        <v>774</v>
      </c>
      <c r="U104" s="87">
        <v>3094</v>
      </c>
      <c r="V104" s="87">
        <v>829</v>
      </c>
      <c r="W104" s="87">
        <v>3317</v>
      </c>
      <c r="X104" s="89">
        <v>0.81</v>
      </c>
      <c r="Y104" s="8"/>
      <c r="Z104" s="8"/>
      <c r="AA104" s="8"/>
      <c r="AB104" s="8"/>
      <c r="AC104" s="8"/>
    </row>
    <row r="105" spans="1:29" ht="15">
      <c r="A105" s="58"/>
      <c r="B105" s="69">
        <v>75</v>
      </c>
      <c r="C105" s="43" t="s">
        <v>303</v>
      </c>
      <c r="D105" s="69">
        <v>0.11875571196956</v>
      </c>
      <c r="E105" s="43">
        <v>0.24591923072458799</v>
      </c>
      <c r="F105" s="71">
        <f t="shared" si="2"/>
        <v>24.591923072458798</v>
      </c>
      <c r="G105" s="84">
        <f t="shared" si="3"/>
        <v>251.57537303125352</v>
      </c>
      <c r="H105" s="43"/>
      <c r="I105" s="8"/>
      <c r="J105" s="8"/>
      <c r="K105" s="8"/>
      <c r="L105" s="8"/>
      <c r="M105" s="8"/>
      <c r="N105" s="8"/>
      <c r="O105" s="8"/>
      <c r="P105" s="8"/>
      <c r="Q105" s="8"/>
      <c r="R105" s="87"/>
      <c r="S105" s="88">
        <v>8.57</v>
      </c>
      <c r="T105" s="87">
        <v>782</v>
      </c>
      <c r="U105" s="87">
        <v>3129</v>
      </c>
      <c r="V105" s="87">
        <v>839</v>
      </c>
      <c r="W105" s="87">
        <v>3358</v>
      </c>
      <c r="X105" s="89">
        <v>0.82</v>
      </c>
      <c r="Y105" s="8"/>
      <c r="Z105" s="8"/>
      <c r="AA105" s="8"/>
      <c r="AB105" s="8"/>
      <c r="AC105" s="8"/>
    </row>
    <row r="106" spans="1:29" ht="15">
      <c r="A106" s="58"/>
      <c r="B106" s="69">
        <v>76</v>
      </c>
      <c r="C106" s="43" t="s">
        <v>304</v>
      </c>
      <c r="D106" s="69">
        <v>0.12727922061357799</v>
      </c>
      <c r="E106" s="43">
        <v>0.25117316318239702</v>
      </c>
      <c r="F106" s="71">
        <f t="shared" si="2"/>
        <v>25.117316318239702</v>
      </c>
      <c r="G106" s="84">
        <f t="shared" si="3"/>
        <v>256.95014593559216</v>
      </c>
      <c r="H106" s="43"/>
      <c r="I106" s="8"/>
      <c r="J106" s="8"/>
      <c r="K106" s="8"/>
      <c r="L106" s="8"/>
      <c r="M106" s="8"/>
      <c r="N106" s="8"/>
      <c r="O106" s="8"/>
      <c r="P106" s="8"/>
      <c r="Q106" s="8"/>
      <c r="R106" s="87"/>
      <c r="S106" s="88">
        <v>8.73</v>
      </c>
      <c r="T106" s="87">
        <v>791</v>
      </c>
      <c r="U106" s="87">
        <v>3164</v>
      </c>
      <c r="V106" s="87">
        <v>849</v>
      </c>
      <c r="W106" s="87">
        <v>3399</v>
      </c>
      <c r="X106" s="89">
        <v>0.83</v>
      </c>
      <c r="Y106" s="8"/>
      <c r="Z106" s="8"/>
      <c r="AA106" s="8"/>
      <c r="AB106" s="8"/>
      <c r="AC106" s="8"/>
    </row>
    <row r="107" spans="1:29" ht="15">
      <c r="A107" s="58"/>
      <c r="B107" s="69">
        <v>77</v>
      </c>
      <c r="C107" s="43" t="s">
        <v>305</v>
      </c>
      <c r="D107" s="69">
        <v>0.136414490985935</v>
      </c>
      <c r="E107" s="43">
        <v>0.25649449631267102</v>
      </c>
      <c r="F107" s="71">
        <f t="shared" si="2"/>
        <v>25.649449631267103</v>
      </c>
      <c r="G107" s="84">
        <f t="shared" si="3"/>
        <v>262.39386972786247</v>
      </c>
      <c r="H107" s="43"/>
      <c r="I107" s="8"/>
      <c r="J107" s="8"/>
      <c r="K107" s="8"/>
      <c r="L107" s="8"/>
      <c r="M107" s="8"/>
      <c r="N107" s="8"/>
      <c r="O107" s="8"/>
      <c r="P107" s="8"/>
      <c r="Q107" s="8"/>
      <c r="R107" s="87"/>
      <c r="S107" s="88">
        <v>8.8800000000000008</v>
      </c>
      <c r="T107" s="87">
        <v>800</v>
      </c>
      <c r="U107" s="87">
        <v>3199</v>
      </c>
      <c r="V107" s="87">
        <v>859</v>
      </c>
      <c r="W107" s="87">
        <v>3440</v>
      </c>
      <c r="X107" s="89">
        <v>0.84</v>
      </c>
      <c r="Y107" s="8"/>
      <c r="Z107" s="8"/>
      <c r="AA107" s="8"/>
      <c r="AB107" s="8"/>
      <c r="AC107" s="8"/>
    </row>
    <row r="108" spans="1:29" ht="15">
      <c r="A108" s="58"/>
      <c r="B108" s="69">
        <v>78</v>
      </c>
      <c r="C108" s="43" t="s">
        <v>306</v>
      </c>
      <c r="D108" s="69">
        <v>0.14620543134412201</v>
      </c>
      <c r="E108" s="43">
        <v>0.26188029521418299</v>
      </c>
      <c r="F108" s="71">
        <f t="shared" si="2"/>
        <v>26.188029521418301</v>
      </c>
      <c r="G108" s="84">
        <f t="shared" si="3"/>
        <v>267.90354200410923</v>
      </c>
      <c r="H108" s="43"/>
      <c r="I108" s="8"/>
      <c r="J108" s="8"/>
      <c r="K108" s="8"/>
      <c r="L108" s="8"/>
      <c r="M108" s="8"/>
      <c r="N108" s="8"/>
      <c r="O108" s="8"/>
      <c r="P108" s="8"/>
      <c r="Q108" s="8"/>
      <c r="R108" s="87"/>
      <c r="S108" s="88">
        <v>9.0299999999999994</v>
      </c>
      <c r="T108" s="87">
        <v>809</v>
      </c>
      <c r="U108" s="87">
        <v>3234</v>
      </c>
      <c r="V108" s="87">
        <v>870</v>
      </c>
      <c r="W108" s="87">
        <v>3481</v>
      </c>
      <c r="X108" s="89">
        <v>0.85</v>
      </c>
      <c r="Y108" s="8"/>
      <c r="Z108" s="8"/>
      <c r="AA108" s="8"/>
      <c r="AB108" s="8"/>
      <c r="AC108" s="8"/>
    </row>
    <row r="109" spans="1:29" ht="15">
      <c r="A109" s="58"/>
      <c r="B109" s="69">
        <v>79</v>
      </c>
      <c r="C109" s="43" t="s">
        <v>307</v>
      </c>
      <c r="D109" s="69">
        <v>0.15669910139330201</v>
      </c>
      <c r="E109" s="43">
        <v>0.26732766797489799</v>
      </c>
      <c r="F109" s="71">
        <f t="shared" si="2"/>
        <v>26.732766797489798</v>
      </c>
      <c r="G109" s="84">
        <f t="shared" si="3"/>
        <v>273.47620433832066</v>
      </c>
      <c r="H109" s="43"/>
      <c r="I109" s="8"/>
      <c r="J109" s="8"/>
      <c r="K109" s="8"/>
      <c r="L109" s="8"/>
      <c r="M109" s="8"/>
      <c r="N109" s="8"/>
      <c r="O109" s="8"/>
      <c r="P109" s="8"/>
      <c r="Q109" s="8"/>
      <c r="R109" s="87"/>
      <c r="S109" s="88">
        <v>9.19</v>
      </c>
      <c r="T109" s="87">
        <v>817</v>
      </c>
      <c r="U109" s="87">
        <v>3269</v>
      </c>
      <c r="V109" s="87">
        <v>880</v>
      </c>
      <c r="W109" s="87">
        <v>3522</v>
      </c>
      <c r="X109" s="89">
        <v>0.86</v>
      </c>
      <c r="Y109" s="8"/>
      <c r="Z109" s="8"/>
      <c r="AA109" s="8"/>
      <c r="AB109" s="8"/>
      <c r="AC109" s="8"/>
    </row>
    <row r="110" spans="1:29" ht="15">
      <c r="A110" s="58"/>
      <c r="B110" s="69">
        <v>80</v>
      </c>
      <c r="C110" s="43" t="s">
        <v>85</v>
      </c>
      <c r="D110" s="69">
        <v>0.16794593847662501</v>
      </c>
      <c r="E110" s="43">
        <v>0.27283377479663001</v>
      </c>
      <c r="F110" s="71">
        <f t="shared" si="2"/>
        <v>27.283377479663002</v>
      </c>
      <c r="G110" s="84">
        <f t="shared" si="3"/>
        <v>279.10895161695248</v>
      </c>
      <c r="H110" s="43"/>
      <c r="I110" s="8"/>
      <c r="J110" s="8"/>
      <c r="K110" s="8"/>
      <c r="L110" s="8"/>
      <c r="M110" s="8"/>
      <c r="N110" s="8"/>
      <c r="O110" s="8"/>
      <c r="P110" s="8"/>
      <c r="Q110" s="8"/>
      <c r="R110" s="87"/>
      <c r="S110" s="88">
        <v>9.34</v>
      </c>
      <c r="T110" s="87">
        <v>826</v>
      </c>
      <c r="U110" s="87">
        <v>3304</v>
      </c>
      <c r="V110" s="87">
        <v>890</v>
      </c>
      <c r="W110" s="87">
        <v>3563</v>
      </c>
      <c r="X110" s="89">
        <v>0.87</v>
      </c>
      <c r="Y110" s="8"/>
      <c r="Z110" s="8"/>
      <c r="AA110" s="8"/>
      <c r="AB110" s="8"/>
      <c r="AC110" s="8"/>
    </row>
    <row r="111" spans="1:29" ht="15">
      <c r="A111" s="58"/>
      <c r="B111" s="69">
        <v>81</v>
      </c>
      <c r="C111" s="43" t="s">
        <v>308</v>
      </c>
      <c r="D111" s="69">
        <v>0.18</v>
      </c>
      <c r="E111" s="43">
        <v>0.278395836548265</v>
      </c>
      <c r="F111" s="71">
        <f t="shared" si="2"/>
        <v>27.839583654826498</v>
      </c>
      <c r="G111" s="84">
        <f t="shared" si="3"/>
        <v>284.79894078887509</v>
      </c>
      <c r="H111" s="43"/>
      <c r="I111" s="8"/>
      <c r="J111" s="8"/>
      <c r="K111" s="8"/>
      <c r="L111" s="8"/>
      <c r="M111" s="8"/>
      <c r="N111" s="8"/>
      <c r="O111" s="8"/>
      <c r="P111" s="8"/>
      <c r="Q111" s="8"/>
      <c r="R111" s="87"/>
      <c r="S111" s="88">
        <v>9.5</v>
      </c>
      <c r="T111" s="87">
        <v>835</v>
      </c>
      <c r="U111" s="87">
        <v>3340</v>
      </c>
      <c r="V111" s="87">
        <v>900</v>
      </c>
      <c r="W111" s="87">
        <v>3604</v>
      </c>
      <c r="X111" s="89">
        <v>0.88</v>
      </c>
      <c r="Y111" s="8"/>
      <c r="Z111" s="8"/>
      <c r="AA111" s="8"/>
      <c r="AB111" s="8"/>
      <c r="AC111" s="8"/>
    </row>
    <row r="112" spans="1:29" ht="15">
      <c r="A112" s="58"/>
      <c r="B112" s="69">
        <v>82</v>
      </c>
      <c r="C112" s="43" t="s">
        <v>309</v>
      </c>
      <c r="D112" s="69">
        <v>0.19291922325653199</v>
      </c>
      <c r="E112" s="43">
        <v>0.28401114184917398</v>
      </c>
      <c r="F112" s="71">
        <f t="shared" si="2"/>
        <v>28.401114184917397</v>
      </c>
      <c r="G112" s="84">
        <f t="shared" si="3"/>
        <v>290.54339811170496</v>
      </c>
      <c r="H112" s="43"/>
      <c r="I112" s="8"/>
      <c r="J112" s="8"/>
      <c r="K112" s="8"/>
      <c r="L112" s="8"/>
      <c r="M112" s="8"/>
      <c r="N112" s="8"/>
      <c r="O112" s="8"/>
      <c r="P112" s="8"/>
      <c r="Q112" s="8"/>
      <c r="R112" s="87"/>
      <c r="S112" s="88">
        <v>9.65</v>
      </c>
      <c r="T112" s="87">
        <v>844</v>
      </c>
      <c r="U112" s="87">
        <v>3375</v>
      </c>
      <c r="V112" s="87">
        <v>910</v>
      </c>
      <c r="W112" s="87">
        <v>3645</v>
      </c>
      <c r="X112" s="89">
        <v>0.89</v>
      </c>
      <c r="Y112" s="8"/>
      <c r="Z112" s="8"/>
      <c r="AA112" s="8"/>
      <c r="AB112" s="8"/>
      <c r="AC112" s="8"/>
    </row>
    <row r="113" spans="1:29" ht="15">
      <c r="A113" s="58"/>
      <c r="B113" s="69">
        <v>83</v>
      </c>
      <c r="C113" s="43" t="s">
        <v>87</v>
      </c>
      <c r="D113" s="69">
        <v>0.206765703899466</v>
      </c>
      <c r="E113" s="43">
        <v>0.289677052893207</v>
      </c>
      <c r="F113" s="71">
        <f t="shared" si="2"/>
        <v>28.967705289320701</v>
      </c>
      <c r="G113" s="84">
        <f t="shared" si="3"/>
        <v>296.33962510975078</v>
      </c>
      <c r="H113" s="43"/>
      <c r="I113" s="8"/>
      <c r="J113" s="8"/>
      <c r="K113" s="8"/>
      <c r="L113" s="8"/>
      <c r="M113" s="8"/>
      <c r="N113" s="8"/>
      <c r="O113" s="8"/>
      <c r="P113" s="8"/>
      <c r="Q113" s="8"/>
      <c r="R113" s="87"/>
      <c r="S113" s="88">
        <v>9.81</v>
      </c>
      <c r="T113" s="87">
        <v>852</v>
      </c>
      <c r="U113" s="87">
        <v>3410</v>
      </c>
      <c r="V113" s="87">
        <v>921</v>
      </c>
      <c r="W113" s="87">
        <v>3686</v>
      </c>
      <c r="X113" s="89">
        <v>0.9</v>
      </c>
      <c r="Y113" s="8"/>
      <c r="Z113" s="8"/>
      <c r="AA113" s="8"/>
      <c r="AB113" s="8"/>
      <c r="AC113" s="8"/>
    </row>
    <row r="114" spans="1:29" ht="15">
      <c r="A114" s="58"/>
      <c r="B114" s="69">
        <v>84</v>
      </c>
      <c r="C114" s="43" t="s">
        <v>310</v>
      </c>
      <c r="D114" s="69">
        <v>0.22160599440208401</v>
      </c>
      <c r="E114" s="43">
        <v>0.29539101060127598</v>
      </c>
      <c r="F114" s="71">
        <f t="shared" si="2"/>
        <v>29.539101060127599</v>
      </c>
      <c r="G114" s="84">
        <f t="shared" si="3"/>
        <v>302.18500384510531</v>
      </c>
      <c r="H114" s="43"/>
      <c r="I114" s="8"/>
      <c r="J114" s="8"/>
      <c r="K114" s="8"/>
      <c r="L114" s="8"/>
      <c r="M114" s="8"/>
      <c r="N114" s="8"/>
      <c r="O114" s="8"/>
      <c r="P114" s="8"/>
      <c r="Q114" s="8"/>
      <c r="R114" s="87"/>
      <c r="S114" s="88">
        <v>9.9600000000000009</v>
      </c>
      <c r="T114" s="87">
        <v>861</v>
      </c>
      <c r="U114" s="87">
        <v>3445</v>
      </c>
      <c r="V114" s="87">
        <v>931</v>
      </c>
      <c r="W114" s="87">
        <v>3726</v>
      </c>
      <c r="X114" s="89">
        <v>0.91</v>
      </c>
      <c r="Y114" s="8"/>
      <c r="Z114" s="8"/>
      <c r="AA114" s="8"/>
      <c r="AB114" s="8"/>
      <c r="AC114" s="8"/>
    </row>
    <row r="115" spans="1:29" ht="15">
      <c r="A115" s="58"/>
      <c r="B115" s="69">
        <v>85</v>
      </c>
      <c r="C115" s="43" t="s">
        <v>311</v>
      </c>
      <c r="D115" s="69">
        <v>0.23751142393912</v>
      </c>
      <c r="E115" s="43">
        <v>0.30115053833866401</v>
      </c>
      <c r="F115" s="71">
        <f t="shared" si="2"/>
        <v>30.115053833866401</v>
      </c>
      <c r="G115" s="84">
        <f t="shared" si="3"/>
        <v>308.07700072045327</v>
      </c>
      <c r="H115" s="43"/>
      <c r="I115" s="8"/>
      <c r="J115" s="8"/>
      <c r="K115" s="8"/>
      <c r="L115" s="8"/>
      <c r="M115" s="8"/>
      <c r="N115" s="8"/>
      <c r="O115" s="8"/>
      <c r="P115" s="8"/>
      <c r="Q115" s="8"/>
      <c r="R115" s="87"/>
      <c r="S115" s="88">
        <v>10.119999999999999</v>
      </c>
      <c r="T115" s="87">
        <v>870</v>
      </c>
      <c r="U115" s="87">
        <v>3480</v>
      </c>
      <c r="V115" s="87">
        <v>941</v>
      </c>
      <c r="W115" s="87">
        <v>3767</v>
      </c>
      <c r="X115" s="89">
        <v>0.92</v>
      </c>
      <c r="Y115" s="8"/>
      <c r="Z115" s="8"/>
      <c r="AA115" s="8"/>
      <c r="AB115" s="8"/>
      <c r="AC115" s="8"/>
    </row>
    <row r="116" spans="1:29" ht="15">
      <c r="A116" s="58"/>
      <c r="B116" s="69">
        <v>86</v>
      </c>
      <c r="C116" s="43" t="s">
        <v>312</v>
      </c>
      <c r="D116" s="69">
        <v>0.25455844122715698</v>
      </c>
      <c r="E116" s="43">
        <v>0.30695324504979798</v>
      </c>
      <c r="F116" s="71">
        <f t="shared" si="2"/>
        <v>30.695324504979798</v>
      </c>
      <c r="G116" s="84">
        <f t="shared" si="3"/>
        <v>314.01316968594335</v>
      </c>
      <c r="H116" s="43"/>
      <c r="I116" s="8"/>
      <c r="J116" s="8"/>
      <c r="K116" s="8"/>
      <c r="L116" s="8"/>
      <c r="M116" s="8"/>
      <c r="N116" s="8"/>
      <c r="O116" s="8"/>
      <c r="P116" s="8"/>
      <c r="Q116" s="8"/>
      <c r="R116" s="87"/>
      <c r="S116" s="88">
        <v>10.27</v>
      </c>
      <c r="T116" s="87">
        <v>879</v>
      </c>
      <c r="U116" s="87">
        <v>3515</v>
      </c>
      <c r="V116" s="87">
        <v>951</v>
      </c>
      <c r="W116" s="87">
        <v>3808</v>
      </c>
      <c r="X116" s="89">
        <v>0.93</v>
      </c>
      <c r="Y116" s="8"/>
      <c r="Z116" s="8"/>
      <c r="AA116" s="8"/>
      <c r="AB116" s="8"/>
      <c r="AC116" s="8"/>
    </row>
    <row r="117" spans="1:29" ht="15">
      <c r="A117" s="58"/>
      <c r="B117" s="69">
        <v>87</v>
      </c>
      <c r="C117" s="43" t="s">
        <v>313</v>
      </c>
      <c r="D117" s="69">
        <v>0.272828981971871</v>
      </c>
      <c r="E117" s="43">
        <v>0.312796827308224</v>
      </c>
      <c r="F117" s="71">
        <f t="shared" si="2"/>
        <v>31.279682730822401</v>
      </c>
      <c r="G117" s="84">
        <f t="shared" si="3"/>
        <v>319.99115433631317</v>
      </c>
      <c r="H117" s="43"/>
      <c r="I117" s="8"/>
      <c r="J117" s="8"/>
      <c r="K117" s="8"/>
      <c r="L117" s="8"/>
      <c r="M117" s="8"/>
      <c r="N117" s="8"/>
      <c r="O117" s="8"/>
      <c r="P117" s="8"/>
      <c r="Q117" s="8"/>
      <c r="R117" s="87"/>
      <c r="S117" s="88">
        <v>10.42</v>
      </c>
      <c r="T117" s="87">
        <v>887</v>
      </c>
      <c r="U117" s="87">
        <v>3550</v>
      </c>
      <c r="V117" s="87">
        <v>962</v>
      </c>
      <c r="W117" s="87">
        <v>3849</v>
      </c>
      <c r="X117" s="89">
        <v>0.94</v>
      </c>
      <c r="Y117" s="8"/>
      <c r="Z117" s="8"/>
      <c r="AA117" s="8"/>
      <c r="AB117" s="8"/>
      <c r="AC117" s="8"/>
    </row>
    <row r="118" spans="1:29" ht="15">
      <c r="A118" s="58"/>
      <c r="B118" s="69">
        <v>88</v>
      </c>
      <c r="C118" s="43" t="s">
        <v>314</v>
      </c>
      <c r="D118" s="69">
        <v>0.29241086268824401</v>
      </c>
      <c r="E118" s="43">
        <v>0.318679070691052</v>
      </c>
      <c r="F118" s="71">
        <f t="shared" si="2"/>
        <v>31.8679070691052</v>
      </c>
      <c r="G118" s="84">
        <f t="shared" si="3"/>
        <v>326.00868931694617</v>
      </c>
      <c r="H118" s="43"/>
      <c r="I118" s="8"/>
      <c r="J118" s="8"/>
      <c r="K118" s="8"/>
      <c r="L118" s="8"/>
      <c r="M118" s="8"/>
      <c r="N118" s="8"/>
      <c r="O118" s="8"/>
      <c r="P118" s="8"/>
      <c r="Q118" s="8"/>
      <c r="R118" s="87"/>
      <c r="S118" s="88">
        <v>10.58</v>
      </c>
      <c r="T118" s="87">
        <v>896</v>
      </c>
      <c r="U118" s="87">
        <v>3585</v>
      </c>
      <c r="V118" s="87">
        <v>972</v>
      </c>
      <c r="W118" s="87">
        <v>3890</v>
      </c>
      <c r="X118" s="89">
        <v>0.95</v>
      </c>
      <c r="Y118" s="8"/>
      <c r="Z118" s="8"/>
      <c r="AA118" s="8"/>
      <c r="AB118" s="8"/>
      <c r="AC118" s="8"/>
    </row>
    <row r="119" spans="1:29" ht="15">
      <c r="A119" s="58"/>
      <c r="B119" s="69">
        <v>89</v>
      </c>
      <c r="C119" s="43" t="s">
        <v>315</v>
      </c>
      <c r="D119" s="69">
        <v>0.31339820278660402</v>
      </c>
      <c r="E119" s="43">
        <v>0.32459785055047102</v>
      </c>
      <c r="F119" s="71">
        <f t="shared" si="2"/>
        <v>32.459785055047099</v>
      </c>
      <c r="G119" s="84">
        <f t="shared" si="3"/>
        <v>332.06360111313188</v>
      </c>
      <c r="H119" s="43"/>
      <c r="I119" s="8"/>
      <c r="J119" s="8"/>
      <c r="K119" s="8"/>
      <c r="L119" s="8"/>
      <c r="M119" s="8"/>
      <c r="N119" s="8"/>
      <c r="O119" s="8"/>
      <c r="P119" s="8"/>
      <c r="Q119" s="8"/>
      <c r="R119" s="87"/>
      <c r="S119" s="88">
        <v>10.73</v>
      </c>
      <c r="T119" s="87">
        <v>905</v>
      </c>
      <c r="U119" s="87">
        <v>3620</v>
      </c>
      <c r="V119" s="87">
        <v>982</v>
      </c>
      <c r="W119" s="87">
        <v>3931</v>
      </c>
      <c r="X119" s="89">
        <v>0.96</v>
      </c>
      <c r="Y119" s="8"/>
      <c r="Z119" s="8"/>
      <c r="AA119" s="8"/>
      <c r="AB119" s="8"/>
      <c r="AC119" s="8"/>
    </row>
    <row r="120" spans="1:29" ht="15">
      <c r="A120" s="58"/>
      <c r="B120" s="69">
        <v>90</v>
      </c>
      <c r="C120" s="43" t="s">
        <v>316</v>
      </c>
      <c r="D120" s="69">
        <v>0.33589187695325001</v>
      </c>
      <c r="E120" s="43">
        <v>0.33055113198035302</v>
      </c>
      <c r="F120" s="71">
        <f t="shared" si="2"/>
        <v>33.055113198035301</v>
      </c>
      <c r="G120" s="84">
        <f t="shared" si="3"/>
        <v>338.15380801590112</v>
      </c>
      <c r="H120" s="43"/>
      <c r="I120" s="8"/>
      <c r="J120" s="8"/>
      <c r="K120" s="8"/>
      <c r="L120" s="8"/>
      <c r="M120" s="8"/>
      <c r="N120" s="8"/>
      <c r="O120" s="8"/>
      <c r="P120" s="8"/>
      <c r="Q120" s="8"/>
      <c r="R120" s="87"/>
      <c r="S120" s="88">
        <v>10.89</v>
      </c>
      <c r="T120" s="87">
        <v>914</v>
      </c>
      <c r="U120" s="87">
        <v>3655</v>
      </c>
      <c r="V120" s="87">
        <v>992</v>
      </c>
      <c r="W120" s="87">
        <v>3972</v>
      </c>
      <c r="X120" s="89">
        <v>0.97</v>
      </c>
      <c r="Y120" s="8"/>
      <c r="Z120" s="8"/>
      <c r="AA120" s="8"/>
      <c r="AB120" s="8"/>
      <c r="AC120" s="8"/>
    </row>
    <row r="121" spans="1:29" ht="15">
      <c r="A121" s="58"/>
      <c r="B121" s="69">
        <v>91</v>
      </c>
      <c r="C121" s="43" t="s">
        <v>317</v>
      </c>
      <c r="D121" s="69">
        <v>0.36</v>
      </c>
      <c r="E121" s="43">
        <v>0.33653696932251997</v>
      </c>
      <c r="F121" s="71">
        <f t="shared" si="2"/>
        <v>33.653696932251997</v>
      </c>
      <c r="G121" s="84">
        <f t="shared" si="3"/>
        <v>344.27731961693792</v>
      </c>
      <c r="H121" s="43"/>
      <c r="I121" s="8"/>
      <c r="J121" s="8"/>
      <c r="K121" s="8"/>
      <c r="L121" s="8"/>
      <c r="M121" s="8"/>
      <c r="N121" s="8"/>
      <c r="O121" s="8"/>
      <c r="P121" s="8"/>
      <c r="Q121" s="8"/>
      <c r="R121" s="87"/>
      <c r="S121" s="88">
        <v>11.04</v>
      </c>
      <c r="T121" s="87">
        <v>922</v>
      </c>
      <c r="U121" s="87">
        <v>3690</v>
      </c>
      <c r="V121" s="87">
        <v>1003</v>
      </c>
      <c r="W121" s="87">
        <v>4013</v>
      </c>
      <c r="X121" s="89">
        <v>0.98</v>
      </c>
      <c r="Y121" s="8"/>
      <c r="Z121" s="8"/>
      <c r="AA121" s="8"/>
      <c r="AB121" s="8"/>
      <c r="AC121" s="8"/>
    </row>
    <row r="122" spans="1:29" ht="15">
      <c r="A122" s="58"/>
      <c r="B122" s="69">
        <v>92</v>
      </c>
      <c r="C122" s="43" t="s">
        <v>318</v>
      </c>
      <c r="D122" s="69">
        <v>0.38583844651306498</v>
      </c>
      <c r="E122" s="43">
        <v>0.34255350529096001</v>
      </c>
      <c r="F122" s="71">
        <f t="shared" si="2"/>
        <v>34.255350529095999</v>
      </c>
      <c r="G122" s="84">
        <f t="shared" si="3"/>
        <v>350.43223591265212</v>
      </c>
      <c r="H122" s="43"/>
      <c r="I122" s="8"/>
      <c r="J122" s="8"/>
      <c r="K122" s="8"/>
      <c r="L122" s="8"/>
      <c r="M122" s="8"/>
      <c r="N122" s="8"/>
      <c r="O122" s="8"/>
      <c r="P122" s="8"/>
      <c r="Q122" s="8"/>
      <c r="R122" s="87"/>
      <c r="S122" s="88">
        <v>11.2</v>
      </c>
      <c r="T122" s="87">
        <v>931</v>
      </c>
      <c r="U122" s="87">
        <v>3725</v>
      </c>
      <c r="V122" s="87">
        <v>1013</v>
      </c>
      <c r="W122" s="87">
        <v>4054</v>
      </c>
      <c r="X122" s="89">
        <v>0.99</v>
      </c>
      <c r="Y122" s="8"/>
      <c r="Z122" s="8"/>
      <c r="AA122" s="8"/>
      <c r="AB122" s="8"/>
      <c r="AC122" s="8"/>
    </row>
    <row r="123" spans="1:29" ht="15">
      <c r="A123" s="58"/>
      <c r="B123" s="69">
        <v>93</v>
      </c>
      <c r="C123" s="43" t="s">
        <v>319</v>
      </c>
      <c r="D123" s="69">
        <v>0.41353140779893199</v>
      </c>
      <c r="E123" s="43">
        <v>0.34859896950755997</v>
      </c>
      <c r="F123" s="71">
        <f t="shared" si="2"/>
        <v>34.859896950755996</v>
      </c>
      <c r="G123" s="84">
        <f t="shared" si="3"/>
        <v>356.61674580623384</v>
      </c>
      <c r="H123" s="43"/>
      <c r="I123" s="8"/>
      <c r="J123" s="8"/>
      <c r="K123" s="8"/>
      <c r="L123" s="8"/>
      <c r="M123" s="8"/>
      <c r="N123" s="8"/>
      <c r="O123" s="8"/>
      <c r="P123" s="8"/>
      <c r="Q123" s="8"/>
      <c r="R123" s="87"/>
      <c r="S123" s="88">
        <v>11.35</v>
      </c>
      <c r="T123" s="87">
        <v>940</v>
      </c>
      <c r="U123" s="87">
        <v>3760</v>
      </c>
      <c r="V123" s="87">
        <v>1023</v>
      </c>
      <c r="W123" s="87">
        <v>4095</v>
      </c>
      <c r="X123" s="89">
        <v>1</v>
      </c>
      <c r="Y123" s="8"/>
      <c r="Z123" s="8"/>
      <c r="AA123" s="8"/>
      <c r="AB123" s="8"/>
      <c r="AC123" s="8"/>
    </row>
    <row r="124" spans="1:29" ht="15">
      <c r="A124" s="58"/>
      <c r="B124" s="69">
        <v>94</v>
      </c>
      <c r="C124" s="43" t="s">
        <v>320</v>
      </c>
      <c r="D124" s="69">
        <v>0.44321198880416901</v>
      </c>
      <c r="E124" s="43">
        <v>0.35467167680462802</v>
      </c>
      <c r="F124" s="71">
        <f t="shared" si="2"/>
        <v>35.467167680462801</v>
      </c>
      <c r="G124" s="84">
        <f t="shared" si="3"/>
        <v>362.82912537113447</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43">
        <v>0.36077002523937701</v>
      </c>
      <c r="F125" s="71">
        <f t="shared" si="2"/>
        <v>36.077002523937701</v>
      </c>
      <c r="G125" s="84">
        <f t="shared" si="3"/>
        <v>369.06773581988267</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43">
        <v>0.36689249380417999</v>
      </c>
      <c r="F126" s="71">
        <f t="shared" si="2"/>
        <v>36.689249380417998</v>
      </c>
      <c r="G126" s="84">
        <f t="shared" si="3"/>
        <v>375.33102116167612</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43">
        <v>0.37303763998888101</v>
      </c>
      <c r="F127" s="71">
        <f t="shared" si="2"/>
        <v>37.303763998888101</v>
      </c>
      <c r="G127" s="84">
        <f t="shared" si="3"/>
        <v>381.61750570862529</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43">
        <v>0.379204097262547</v>
      </c>
      <c r="F128" s="71">
        <f t="shared" si="2"/>
        <v>37.920409726254704</v>
      </c>
      <c r="G128" s="84">
        <f t="shared" si="3"/>
        <v>387.92579149958556</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43">
        <v>0.385390572227441</v>
      </c>
      <c r="F129" s="71">
        <f t="shared" si="2"/>
        <v>38.539057222744098</v>
      </c>
      <c r="G129" s="84">
        <f t="shared" si="3"/>
        <v>394.25455538867214</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43">
        <v>0.391595841963089</v>
      </c>
      <c r="F130" s="71">
        <f t="shared" si="2"/>
        <v>39.159584196308899</v>
      </c>
      <c r="G130" s="84">
        <f t="shared" si="3"/>
        <v>400.60254632824007</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43">
        <v>0.39781875116437199</v>
      </c>
      <c r="F131" s="71">
        <f t="shared" si="2"/>
        <v>39.781875116437199</v>
      </c>
      <c r="G131" s="84">
        <f t="shared" si="3"/>
        <v>406.96858244115253</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43">
        <v>0.40405820927111302</v>
      </c>
      <c r="F132" s="71">
        <f t="shared" si="2"/>
        <v>40.4058209271113</v>
      </c>
      <c r="G132" s="84">
        <f t="shared" si="3"/>
        <v>413.35154808434862</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43">
        <v>0.41031318766434299</v>
      </c>
      <c r="F133" s="71">
        <f t="shared" si="2"/>
        <v>41.031318766434296</v>
      </c>
      <c r="G133" s="84">
        <f t="shared" si="3"/>
        <v>419.75039098062291</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43">
        <v>0.41658271680349102</v>
      </c>
      <c r="F134" s="71">
        <f t="shared" si="2"/>
        <v>41.658271680349102</v>
      </c>
      <c r="G134" s="84">
        <f t="shared" si="3"/>
        <v>426.16411928997132</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43">
        <v>0.422865883484005</v>
      </c>
      <c r="F135" s="71">
        <f t="shared" si="2"/>
        <v>42.2865883484005</v>
      </c>
      <c r="G135" s="84">
        <f t="shared" si="3"/>
        <v>432.59179880413711</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43">
        <v>0.42916182806529701</v>
      </c>
      <c r="F136" s="71">
        <f t="shared" si="2"/>
        <v>42.916182806529704</v>
      </c>
      <c r="G136" s="84">
        <f t="shared" si="3"/>
        <v>439.03255011079887</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43">
        <v>0.43546974182270298</v>
      </c>
      <c r="F137" s="71">
        <f t="shared" si="2"/>
        <v>43.546974182270297</v>
      </c>
      <c r="G137" s="84">
        <f t="shared" si="3"/>
        <v>445.48554588462514</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43">
        <v>0.441788864355805</v>
      </c>
      <c r="F138" s="71">
        <f t="shared" si="2"/>
        <v>44.178886435580502</v>
      </c>
      <c r="G138" s="84">
        <f t="shared" si="3"/>
        <v>451.95000823598849</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43">
        <v>0.44811848099441098</v>
      </c>
      <c r="F139" s="71">
        <f t="shared" si="2"/>
        <v>44.8118480994411</v>
      </c>
      <c r="G139" s="84">
        <f t="shared" si="3"/>
        <v>458.42520605728242</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43">
        <v>0.45445792056314199</v>
      </c>
      <c r="F140" s="71">
        <f t="shared" si="2"/>
        <v>45.445792056314197</v>
      </c>
      <c r="G140" s="84">
        <f t="shared" si="3"/>
        <v>464.91045273609427</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43">
        <v>0.46080655270816101</v>
      </c>
      <c r="F141" s="71">
        <f t="shared" si="2"/>
        <v>46.080655270816102</v>
      </c>
      <c r="G141" s="84">
        <f t="shared" si="3"/>
        <v>471.40510342044871</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43">
        <v>0.46716378595694202</v>
      </c>
      <c r="F142" s="71">
        <f t="shared" si="2"/>
        <v>46.716378595694202</v>
      </c>
      <c r="G142" s="84">
        <f t="shared" si="3"/>
        <v>477.9085530339517</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43">
        <v>0.47352906535703398</v>
      </c>
      <c r="F143" s="71">
        <f t="shared" si="2"/>
        <v>47.352906535703397</v>
      </c>
      <c r="G143" s="84">
        <f t="shared" si="3"/>
        <v>484.42023386024579</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43">
        <v>0.47990187048961802</v>
      </c>
      <c r="F144" s="71">
        <f t="shared" si="2"/>
        <v>47.990187048961801</v>
      </c>
      <c r="G144" s="84">
        <f t="shared" si="3"/>
        <v>490.93961351087921</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43">
        <v>0.48628171347897797</v>
      </c>
      <c r="F145" s="71">
        <f t="shared" si="2"/>
        <v>48.628171347897798</v>
      </c>
      <c r="G145" s="84">
        <f t="shared" si="3"/>
        <v>497.46619288899444</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43">
        <v>0.49266813697565098</v>
      </c>
      <c r="F146" s="71">
        <f t="shared" si="2"/>
        <v>49.266813697565098</v>
      </c>
      <c r="G146" s="84">
        <f t="shared" si="3"/>
        <v>503.99950412609098</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43">
        <v>0.49906071262468799</v>
      </c>
      <c r="F147" s="71">
        <f t="shared" si="2"/>
        <v>49.906071262468799</v>
      </c>
      <c r="G147" s="84">
        <f t="shared" si="3"/>
        <v>510.53910901505583</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43">
        <v>0.50545903913076295</v>
      </c>
      <c r="F148" s="71">
        <f t="shared" si="2"/>
        <v>50.545903913076295</v>
      </c>
      <c r="G148" s="84">
        <f t="shared" si="3"/>
        <v>517.08459703077051</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43">
        <v>0.51186274067013604</v>
      </c>
      <c r="F149" s="71">
        <f t="shared" si="2"/>
        <v>51.186274067013606</v>
      </c>
      <c r="G149" s="84">
        <f t="shared" si="3"/>
        <v>523.63558370554915</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43">
        <v>0.51827146553806303</v>
      </c>
      <c r="F150" s="71">
        <f t="shared" si="2"/>
        <v>51.827146553806301</v>
      </c>
      <c r="G150" s="84">
        <f t="shared" si="3"/>
        <v>530.19170924543846</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43">
        <v>0.52468488436523897</v>
      </c>
      <c r="F151" s="71">
        <f t="shared" si="2"/>
        <v>52.468488436523899</v>
      </c>
      <c r="G151" s="84">
        <f t="shared" si="3"/>
        <v>536.75263670563947</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43">
        <v>0.53110268906259706</v>
      </c>
      <c r="F152" s="71">
        <f t="shared" si="2"/>
        <v>53.110268906259705</v>
      </c>
      <c r="G152" s="84">
        <f t="shared" si="3"/>
        <v>543.31805091103683</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43">
        <v>0.53752459132282504</v>
      </c>
      <c r="F153" s="71">
        <f t="shared" si="2"/>
        <v>53.752459132282503</v>
      </c>
      <c r="G153" s="84">
        <f t="shared" si="3"/>
        <v>549.88765692325001</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43">
        <v>0.54395032147938804</v>
      </c>
      <c r="F154" s="71">
        <f t="shared" si="2"/>
        <v>54.395032147938807</v>
      </c>
      <c r="G154" s="84">
        <f t="shared" si="3"/>
        <v>556.46117887341393</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43">
        <v>0.55037962731274004</v>
      </c>
      <c r="F155" s="71">
        <f t="shared" si="2"/>
        <v>55.037962731274007</v>
      </c>
      <c r="G155" s="84">
        <f t="shared" si="3"/>
        <v>563.03835874093306</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43">
        <v>0.55681227295034097</v>
      </c>
      <c r="F156" s="71">
        <f t="shared" si="2"/>
        <v>55.681227295034098</v>
      </c>
      <c r="G156" s="84">
        <f t="shared" si="3"/>
        <v>569.61895522819884</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43">
        <v>0.56324803786121402</v>
      </c>
      <c r="F157" s="71">
        <f t="shared" si="2"/>
        <v>56.3248037861214</v>
      </c>
      <c r="G157" s="84">
        <f t="shared" si="3"/>
        <v>576.20274273202199</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43">
        <v>0.56968671588348896</v>
      </c>
      <c r="F158" s="71">
        <f t="shared" si="2"/>
        <v>56.968671588348897</v>
      </c>
      <c r="G158" s="84">
        <f t="shared" si="3"/>
        <v>582.78951034880924</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43">
        <v>0.57612811434302802</v>
      </c>
      <c r="F159" s="71">
        <f t="shared" si="2"/>
        <v>57.612811434302799</v>
      </c>
      <c r="G159" s="84">
        <f t="shared" si="3"/>
        <v>589.37906097291761</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43">
        <v>0.58257205309848503</v>
      </c>
      <c r="F160" s="71">
        <f t="shared" si="2"/>
        <v>58.257205309848501</v>
      </c>
      <c r="G160" s="84">
        <f t="shared" si="3"/>
        <v>595.97121031975018</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43">
        <v>0.58901836387713302</v>
      </c>
      <c r="F161" s="71">
        <f t="shared" si="2"/>
        <v>58.901836387713303</v>
      </c>
      <c r="G161" s="84">
        <f t="shared" si="3"/>
        <v>602.56578624630708</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43">
        <v>0.59546688938479597</v>
      </c>
      <c r="F162" s="71">
        <f t="shared" si="2"/>
        <v>59.546688938479598</v>
      </c>
      <c r="G162" s="84">
        <f t="shared" si="3"/>
        <v>609.16262784064622</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43">
        <v>0.60191748269740897</v>
      </c>
      <c r="F163" s="71">
        <f t="shared" si="2"/>
        <v>60.191748269740899</v>
      </c>
      <c r="G163" s="84">
        <f t="shared" si="3"/>
        <v>615.76158479944934</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43">
        <v>0.60837000652074502</v>
      </c>
      <c r="F164" s="71">
        <f t="shared" si="2"/>
        <v>60.837000652074501</v>
      </c>
      <c r="G164" s="84">
        <f t="shared" si="3"/>
        <v>622.36251667072213</v>
      </c>
      <c r="H164" s="43"/>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43">
        <v>0.614824332622946</v>
      </c>
      <c r="F165" s="71">
        <f t="shared" si="2"/>
        <v>61.482433262294599</v>
      </c>
      <c r="G165" s="84">
        <f t="shared" si="3"/>
        <v>628.9652922732738</v>
      </c>
      <c r="H165" s="43"/>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43">
        <v>0.62128034122026599</v>
      </c>
      <c r="F166" s="71">
        <f t="shared" si="2"/>
        <v>62.128034122026598</v>
      </c>
      <c r="G166" s="84">
        <f t="shared" si="3"/>
        <v>635.56978906833206</v>
      </c>
      <c r="H166" s="43"/>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43">
        <v>0.62773792043708099</v>
      </c>
      <c r="F167" s="71">
        <f t="shared" si="2"/>
        <v>62.773792043708099</v>
      </c>
      <c r="G167" s="84">
        <f t="shared" si="3"/>
        <v>642.17589260713385</v>
      </c>
      <c r="H167" s="43"/>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43">
        <v>0.63419696577794304</v>
      </c>
      <c r="F168" s="71">
        <f t="shared" si="2"/>
        <v>63.419696577794305</v>
      </c>
      <c r="G168" s="84">
        <f t="shared" si="3"/>
        <v>648.78349599083572</v>
      </c>
      <c r="H168" s="43"/>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43">
        <v>0.64065737966984804</v>
      </c>
      <c r="F169" s="71">
        <f t="shared" si="2"/>
        <v>64.065737966984798</v>
      </c>
      <c r="G169" s="84">
        <f t="shared" si="3"/>
        <v>655.39249940225454</v>
      </c>
      <c r="H169" s="43"/>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43">
        <v>0.64711907094432197</v>
      </c>
      <c r="F170" s="71">
        <f t="shared" si="2"/>
        <v>64.711907094432192</v>
      </c>
      <c r="G170" s="84">
        <f t="shared" si="3"/>
        <v>662.00280957604139</v>
      </c>
      <c r="H170" s="43"/>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43">
        <v>0.65358195460069901</v>
      </c>
      <c r="F171" s="71">
        <f t="shared" si="2"/>
        <v>65.358195460069908</v>
      </c>
      <c r="G171" s="84">
        <f t="shared" si="3"/>
        <v>668.61433955651512</v>
      </c>
      <c r="H171" s="43"/>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43">
        <v>0.66004595112828102</v>
      </c>
      <c r="F172" s="71">
        <f t="shared" si="2"/>
        <v>66.004595112828099</v>
      </c>
      <c r="G172" s="84">
        <f t="shared" si="3"/>
        <v>675.22700800423149</v>
      </c>
      <c r="H172" s="43"/>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43">
        <v>0.66651098633550998</v>
      </c>
      <c r="F173" s="71">
        <f t="shared" si="2"/>
        <v>66.651098633551001</v>
      </c>
      <c r="G173" s="84">
        <f t="shared" si="3"/>
        <v>681.84073902122668</v>
      </c>
      <c r="H173" s="43"/>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43">
        <v>0.67297699098018704</v>
      </c>
      <c r="F174" s="71">
        <f t="shared" si="2"/>
        <v>67.297699098018711</v>
      </c>
      <c r="G174" s="84">
        <f t="shared" si="3"/>
        <v>688.45546177273138</v>
      </c>
      <c r="H174" s="43"/>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43">
        <v>0.67944390042246405</v>
      </c>
      <c r="F175" s="71">
        <f t="shared" si="2"/>
        <v>67.944390042246411</v>
      </c>
      <c r="G175" s="84">
        <f t="shared" si="3"/>
        <v>695.07111013218071</v>
      </c>
      <c r="H175" s="43"/>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43">
        <v>0.68591165430993195</v>
      </c>
      <c r="F176" s="71">
        <f t="shared" si="2"/>
        <v>68.5911654309932</v>
      </c>
      <c r="G176" s="84">
        <f t="shared" si="3"/>
        <v>701.68762235906036</v>
      </c>
      <c r="H176" s="43"/>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43">
        <v>0.69238019626097302</v>
      </c>
      <c r="F177" s="71">
        <f t="shared" si="2"/>
        <v>69.238019626097298</v>
      </c>
      <c r="G177" s="84">
        <f t="shared" si="3"/>
        <v>708.30494077497542</v>
      </c>
      <c r="H177" s="43"/>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43">
        <v>0.69884947364086103</v>
      </c>
      <c r="F178" s="71">
        <f t="shared" si="2"/>
        <v>69.884947364086102</v>
      </c>
      <c r="G178" s="84">
        <f t="shared" si="3"/>
        <v>714.92301153460085</v>
      </c>
      <c r="H178" s="43"/>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43">
        <v>0.70531943743909498</v>
      </c>
      <c r="F179" s="71">
        <f t="shared" si="2"/>
        <v>70.531943743909494</v>
      </c>
      <c r="G179" s="84">
        <f t="shared" si="3"/>
        <v>721.54178450019413</v>
      </c>
      <c r="H179" s="43"/>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43">
        <v>0.71179004177052896</v>
      </c>
      <c r="F180" s="71">
        <f t="shared" si="2"/>
        <v>71.179004177052889</v>
      </c>
      <c r="G180" s="84">
        <f t="shared" si="3"/>
        <v>728.16121273125111</v>
      </c>
      <c r="H180" s="43"/>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43">
        <v>0.71826124382305101</v>
      </c>
      <c r="F181" s="71">
        <f t="shared" si="2"/>
        <v>71.826124382305096</v>
      </c>
      <c r="G181" s="84">
        <f t="shared" si="3"/>
        <v>734.78125243098123</v>
      </c>
      <c r="H181" s="43"/>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43">
        <v>0.724733003735613</v>
      </c>
      <c r="F182" s="71">
        <f t="shared" si="2"/>
        <v>72.473300373561301</v>
      </c>
      <c r="G182" s="84">
        <f t="shared" si="3"/>
        <v>741.40186282153206</v>
      </c>
      <c r="H182" s="43"/>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43">
        <v>0.73120528418451103</v>
      </c>
      <c r="F183" s="71">
        <f t="shared" si="2"/>
        <v>73.120528418451102</v>
      </c>
      <c r="G183" s="84">
        <f t="shared" si="3"/>
        <v>748.02300572075478</v>
      </c>
      <c r="H183" s="43"/>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43">
        <v>0.737678050400426</v>
      </c>
      <c r="F184" s="71">
        <f t="shared" si="2"/>
        <v>73.767805040042603</v>
      </c>
      <c r="G184" s="84">
        <f t="shared" si="3"/>
        <v>754.64464555963582</v>
      </c>
      <c r="H184" s="43"/>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43">
        <v>0.74415126993695202</v>
      </c>
      <c r="F185" s="71">
        <f t="shared" si="2"/>
        <v>74.415126993695196</v>
      </c>
      <c r="G185" s="84">
        <f t="shared" si="3"/>
        <v>761.26674914550188</v>
      </c>
      <c r="H185" s="43"/>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43">
        <v>0.75062491250456898</v>
      </c>
      <c r="F186" s="71">
        <f t="shared" si="2"/>
        <v>75.062491250456901</v>
      </c>
      <c r="G186" s="84">
        <f t="shared" si="3"/>
        <v>767.88928549217405</v>
      </c>
      <c r="H186" s="43"/>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43">
        <v>0.75709894976663294</v>
      </c>
      <c r="F187" s="71">
        <f t="shared" si="2"/>
        <v>75.709894976663293</v>
      </c>
      <c r="G187" s="84">
        <f t="shared" si="3"/>
        <v>774.51222561126554</v>
      </c>
      <c r="H187" s="43"/>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43">
        <v>0.76357335537975302</v>
      </c>
      <c r="F188" s="71">
        <f t="shared" si="2"/>
        <v>76.357335537975302</v>
      </c>
      <c r="G188" s="84">
        <f t="shared" si="3"/>
        <v>781.13554255348731</v>
      </c>
      <c r="H188" s="43"/>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43">
        <v>0.77004810472585405</v>
      </c>
      <c r="F189" s="71">
        <f t="shared" si="2"/>
        <v>77.004810472585405</v>
      </c>
      <c r="G189" s="84">
        <f t="shared" si="3"/>
        <v>787.75921113454865</v>
      </c>
      <c r="H189" s="43"/>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43">
        <v>0.77652317477311505</v>
      </c>
      <c r="F190" s="71">
        <f t="shared" si="2"/>
        <v>77.652317477311499</v>
      </c>
      <c r="G190" s="84">
        <f t="shared" si="3"/>
        <v>794.38320779289666</v>
      </c>
      <c r="H190" s="43"/>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43">
        <v>0.78299854410556502</v>
      </c>
      <c r="F191" s="71">
        <f t="shared" si="2"/>
        <v>78.299854410556506</v>
      </c>
      <c r="G191" s="84">
        <f t="shared" si="3"/>
        <v>801.00751061999301</v>
      </c>
      <c r="H191" s="43"/>
      <c r="I191" s="8"/>
      <c r="J191" s="8"/>
      <c r="K191" s="8"/>
      <c r="L191" s="8"/>
      <c r="M191" s="8"/>
      <c r="N191" s="8"/>
      <c r="O191" s="8"/>
      <c r="P191" s="8"/>
      <c r="Q191" s="8"/>
      <c r="R191" s="8"/>
      <c r="S191" s="8"/>
      <c r="T191" s="8"/>
      <c r="U191" s="8"/>
      <c r="V191" s="8"/>
      <c r="W191" s="8"/>
      <c r="X191" s="8"/>
      <c r="Y191" s="8"/>
      <c r="Z191" s="8"/>
      <c r="AA191" s="8"/>
      <c r="AB191" s="8"/>
      <c r="AC191" s="8"/>
    </row>
    <row r="192" spans="1:29" ht="15">
      <c r="A192" s="8"/>
      <c r="B192" s="69">
        <v>162</v>
      </c>
      <c r="C192" s="43" t="s">
        <v>388</v>
      </c>
      <c r="D192" s="43">
        <f>0.18*2^8.1</f>
        <v>49.387321153672374</v>
      </c>
      <c r="E192" s="43">
        <v>0.78947419269167995</v>
      </c>
      <c r="F192" s="71">
        <f t="shared" si="2"/>
        <v>78.947419269167995</v>
      </c>
      <c r="G192" s="84">
        <f t="shared" si="3"/>
        <v>807.63209912358855</v>
      </c>
      <c r="H192" s="43"/>
      <c r="I192" s="8"/>
      <c r="J192" s="8"/>
      <c r="K192" s="8"/>
      <c r="L192" s="8"/>
      <c r="M192" s="8"/>
      <c r="N192" s="8"/>
      <c r="O192" s="8"/>
      <c r="P192" s="8"/>
      <c r="Q192" s="8"/>
      <c r="R192" s="8"/>
      <c r="S192" s="8"/>
      <c r="T192" s="8"/>
      <c r="U192" s="8"/>
      <c r="V192" s="8"/>
      <c r="W192" s="8"/>
      <c r="X192" s="8"/>
      <c r="Y192" s="8"/>
      <c r="Z192" s="8"/>
      <c r="AA192" s="8"/>
      <c r="AB192" s="8"/>
      <c r="AC192" s="8"/>
    </row>
    <row r="193" spans="1:29" ht="15">
      <c r="A193" s="8"/>
      <c r="B193" s="69">
        <v>163</v>
      </c>
      <c r="C193" s="43" t="s">
        <v>389</v>
      </c>
      <c r="D193" s="43">
        <f>0.18*2^8.2</f>
        <v>52.932020198263317</v>
      </c>
      <c r="E193" s="43">
        <v>0.795950101875883</v>
      </c>
      <c r="F193" s="71">
        <f t="shared" si="2"/>
        <v>79.595010187588301</v>
      </c>
      <c r="G193" s="84">
        <f t="shared" si="3"/>
        <v>814.25695421902833</v>
      </c>
      <c r="H193" s="43"/>
      <c r="I193" s="8"/>
      <c r="J193" s="8"/>
      <c r="K193" s="8"/>
      <c r="L193" s="8"/>
      <c r="M193" s="8"/>
      <c r="N193" s="8"/>
      <c r="O193" s="8"/>
      <c r="P193" s="8"/>
      <c r="Q193" s="8"/>
      <c r="R193" s="8"/>
      <c r="S193" s="8"/>
      <c r="T193" s="8"/>
      <c r="U193" s="8"/>
      <c r="V193" s="8"/>
      <c r="W193" s="8"/>
      <c r="X193" s="8"/>
      <c r="Y193" s="8"/>
      <c r="Z193" s="8"/>
      <c r="AA193" s="8"/>
      <c r="AB193" s="8"/>
      <c r="AC193" s="8"/>
    </row>
    <row r="194" spans="1:29" ht="15">
      <c r="A194" s="8"/>
      <c r="B194" s="69">
        <v>164</v>
      </c>
      <c r="C194" s="43" t="s">
        <v>390</v>
      </c>
      <c r="D194" s="43">
        <f>0.18*2^8.3</f>
        <v>56.731134566933783</v>
      </c>
      <c r="E194" s="43">
        <v>0.80242625420176905</v>
      </c>
      <c r="F194" s="71">
        <f t="shared" si="2"/>
        <v>80.242625420176907</v>
      </c>
      <c r="G194" s="84">
        <f t="shared" si="3"/>
        <v>820.8820580484097</v>
      </c>
      <c r="H194" s="43"/>
      <c r="I194" s="8"/>
      <c r="J194" s="8"/>
      <c r="K194" s="8"/>
      <c r="L194" s="8"/>
      <c r="M194" s="8"/>
      <c r="N194" s="8"/>
      <c r="O194" s="8"/>
      <c r="P194" s="8"/>
      <c r="Q194" s="8"/>
      <c r="R194" s="8"/>
      <c r="S194" s="8"/>
      <c r="T194" s="8"/>
      <c r="U194" s="8"/>
      <c r="V194" s="8"/>
      <c r="W194" s="8"/>
      <c r="X194" s="8"/>
      <c r="Y194" s="8"/>
      <c r="Z194" s="8"/>
      <c r="AA194" s="8"/>
      <c r="AB194" s="8"/>
      <c r="AC194" s="8"/>
    </row>
    <row r="195" spans="1:29" ht="15">
      <c r="A195" s="8"/>
      <c r="B195" s="69">
        <v>165</v>
      </c>
      <c r="C195" s="43" t="s">
        <v>391</v>
      </c>
      <c r="D195" s="43">
        <f>0.18*2^8.4</f>
        <v>60.802924528414955</v>
      </c>
      <c r="E195" s="43">
        <v>0.80890263340623103</v>
      </c>
      <c r="F195" s="71">
        <f t="shared" si="2"/>
        <v>80.890263340623108</v>
      </c>
      <c r="G195" s="84">
        <f t="shared" si="3"/>
        <v>827.50739397457437</v>
      </c>
      <c r="H195" s="43"/>
      <c r="I195" s="8"/>
      <c r="J195" s="8"/>
      <c r="K195" s="8"/>
      <c r="L195" s="8"/>
      <c r="M195" s="8"/>
      <c r="N195" s="8"/>
      <c r="O195" s="8"/>
      <c r="P195" s="8"/>
      <c r="Q195" s="8"/>
      <c r="R195" s="8"/>
      <c r="S195" s="8"/>
      <c r="T195" s="8"/>
      <c r="U195" s="8"/>
      <c r="V195" s="8"/>
      <c r="W195" s="8"/>
      <c r="X195" s="8"/>
      <c r="Y195" s="8"/>
      <c r="Z195" s="8"/>
      <c r="AA195" s="8"/>
      <c r="AB195" s="8"/>
      <c r="AC195" s="8"/>
    </row>
    <row r="196" spans="1:29" ht="15">
      <c r="A196" s="8"/>
      <c r="B196" s="69">
        <v>166</v>
      </c>
      <c r="C196" s="43" t="s">
        <v>392</v>
      </c>
      <c r="D196" s="43">
        <f>0.18*2^8.5</f>
        <v>65.166960954152216</v>
      </c>
      <c r="E196" s="43">
        <v>0.81537922430874599</v>
      </c>
      <c r="F196" s="71">
        <f t="shared" si="2"/>
        <v>81.537922430874602</v>
      </c>
      <c r="G196" s="84">
        <f t="shared" si="3"/>
        <v>834.13294646784709</v>
      </c>
      <c r="H196" s="43"/>
      <c r="I196" s="8"/>
      <c r="J196" s="8"/>
      <c r="K196" s="8"/>
      <c r="L196" s="8"/>
      <c r="M196" s="8"/>
      <c r="N196" s="8"/>
      <c r="O196" s="8"/>
      <c r="P196" s="8"/>
      <c r="Q196" s="8"/>
      <c r="R196" s="8"/>
      <c r="S196" s="8"/>
      <c r="T196" s="8"/>
      <c r="U196" s="8"/>
      <c r="V196" s="8"/>
      <c r="W196" s="8"/>
      <c r="X196" s="8"/>
      <c r="Y196" s="8"/>
      <c r="Z196" s="8"/>
      <c r="AA196" s="8"/>
      <c r="AB196" s="8"/>
      <c r="AC196" s="8"/>
    </row>
    <row r="197" spans="1:29" ht="15">
      <c r="A197" s="8"/>
      <c r="B197" s="69">
        <v>167</v>
      </c>
      <c r="C197" s="43" t="s">
        <v>393</v>
      </c>
      <c r="D197" s="43">
        <f>0.18*2^8.6</f>
        <v>69.844219384799132</v>
      </c>
      <c r="E197" s="43">
        <v>0.82185601275832798</v>
      </c>
      <c r="F197" s="71">
        <f t="shared" si="2"/>
        <v>82.185601275832795</v>
      </c>
      <c r="G197" s="84">
        <f t="shared" si="3"/>
        <v>840.75870105176955</v>
      </c>
      <c r="H197" s="43"/>
      <c r="I197" s="8"/>
      <c r="J197" s="8"/>
      <c r="K197" s="8"/>
      <c r="L197" s="8"/>
      <c r="M197" s="8"/>
      <c r="N197" s="8"/>
      <c r="O197" s="8"/>
      <c r="P197" s="8"/>
      <c r="Q197" s="8"/>
      <c r="R197" s="8"/>
      <c r="S197" s="8"/>
      <c r="T197" s="8"/>
      <c r="U197" s="8"/>
      <c r="V197" s="8"/>
      <c r="W197" s="8"/>
      <c r="X197" s="8"/>
      <c r="Y197" s="8"/>
      <c r="Z197" s="8"/>
      <c r="AA197" s="8"/>
      <c r="AB197" s="8"/>
      <c r="AC197" s="8"/>
    </row>
    <row r="198" spans="1:29" ht="15">
      <c r="A198" s="8"/>
      <c r="B198" s="69">
        <v>168</v>
      </c>
      <c r="C198" s="43" t="s">
        <v>394</v>
      </c>
      <c r="D198" s="43">
        <f>0.18*2^8.7</f>
        <v>74.85718084819058</v>
      </c>
      <c r="E198" s="43">
        <v>0.82833298553846502</v>
      </c>
      <c r="F198" s="71">
        <f t="shared" si="2"/>
        <v>82.833298553846504</v>
      </c>
      <c r="G198" s="84">
        <f t="shared" si="3"/>
        <v>847.38464420584967</v>
      </c>
      <c r="H198" s="43"/>
      <c r="I198" s="8"/>
      <c r="J198" s="8"/>
      <c r="K198" s="8"/>
      <c r="L198" s="8"/>
      <c r="M198" s="8"/>
      <c r="N198" s="8"/>
      <c r="O198" s="8"/>
      <c r="P198" s="8"/>
      <c r="Q198" s="8"/>
      <c r="R198" s="8"/>
      <c r="S198" s="8"/>
      <c r="T198" s="8"/>
      <c r="U198" s="8"/>
      <c r="V198" s="8"/>
      <c r="W198" s="8"/>
      <c r="X198" s="8"/>
      <c r="Y198" s="8"/>
      <c r="Z198" s="8"/>
      <c r="AA198" s="8"/>
      <c r="AB198" s="8"/>
      <c r="AC198" s="8"/>
    </row>
    <row r="199" spans="1:29" ht="15">
      <c r="A199" s="8"/>
      <c r="B199" s="69">
        <v>169</v>
      </c>
      <c r="C199" s="43" t="s">
        <v>395</v>
      </c>
      <c r="D199" s="43">
        <f>0.18*2^8.8</f>
        <v>80.229939913370785</v>
      </c>
      <c r="E199" s="43">
        <v>0.83481013029116002</v>
      </c>
      <c r="F199" s="71">
        <f t="shared" si="2"/>
        <v>83.481013029115999</v>
      </c>
      <c r="G199" s="84">
        <f t="shared" si="3"/>
        <v>854.01076328785666</v>
      </c>
      <c r="H199" s="43"/>
      <c r="I199" s="8"/>
      <c r="J199" s="8"/>
      <c r="K199" s="8"/>
      <c r="L199" s="8"/>
      <c r="M199" s="8"/>
      <c r="N199" s="8"/>
      <c r="O199" s="8"/>
      <c r="P199" s="8"/>
      <c r="Q199" s="8"/>
      <c r="R199" s="8"/>
      <c r="S199" s="8"/>
      <c r="T199" s="8"/>
      <c r="U199" s="8"/>
      <c r="V199" s="8"/>
      <c r="W199" s="8"/>
      <c r="X199" s="8"/>
      <c r="Y199" s="8"/>
      <c r="Z199" s="8"/>
      <c r="AA199" s="8"/>
      <c r="AB199" s="8"/>
      <c r="AC199" s="8"/>
    </row>
    <row r="200" spans="1:29" ht="15">
      <c r="A200" s="8"/>
      <c r="B200" s="69">
        <v>170</v>
      </c>
      <c r="C200" s="43" t="s">
        <v>396</v>
      </c>
      <c r="D200" s="43">
        <f>0.18*2^8.9</f>
        <v>85.98832050003216</v>
      </c>
      <c r="E200" s="43">
        <v>0.84128743553210805</v>
      </c>
      <c r="F200" s="71">
        <f t="shared" si="2"/>
        <v>84.128743553210811</v>
      </c>
      <c r="G200" s="84">
        <f t="shared" si="3"/>
        <v>860.63704654934656</v>
      </c>
      <c r="H200" s="43"/>
      <c r="I200" s="8"/>
      <c r="J200" s="8"/>
      <c r="K200" s="8"/>
      <c r="L200" s="8"/>
      <c r="M200" s="8"/>
      <c r="N200" s="8"/>
      <c r="O200" s="8"/>
      <c r="P200" s="8"/>
      <c r="Q200" s="8"/>
      <c r="R200" s="8"/>
      <c r="S200" s="8"/>
      <c r="T200" s="8"/>
      <c r="U200" s="8"/>
      <c r="V200" s="8"/>
      <c r="W200" s="8"/>
      <c r="X200" s="8"/>
      <c r="Y200" s="8"/>
      <c r="Z200" s="8"/>
      <c r="AA200" s="8"/>
      <c r="AB200" s="8"/>
      <c r="AC200" s="8"/>
    </row>
    <row r="201" spans="1:29" ht="15">
      <c r="A201" s="8"/>
      <c r="B201" s="69">
        <v>171</v>
      </c>
      <c r="C201" s="43" t="s">
        <v>397</v>
      </c>
      <c r="D201" s="43">
        <f>0.18*2^9</f>
        <v>92.16</v>
      </c>
      <c r="E201" s="43">
        <v>0.84776489050781001</v>
      </c>
      <c r="F201" s="71">
        <f t="shared" si="2"/>
        <v>84.776489050780995</v>
      </c>
      <c r="G201" s="84">
        <f t="shared" si="3"/>
        <v>867.2634829894896</v>
      </c>
      <c r="H201" s="43"/>
      <c r="I201" s="8"/>
      <c r="J201" s="8"/>
      <c r="K201" s="8"/>
      <c r="L201" s="8"/>
      <c r="M201" s="8"/>
      <c r="N201" s="8"/>
      <c r="O201" s="8"/>
      <c r="P201" s="8"/>
      <c r="Q201" s="8"/>
      <c r="R201" s="8"/>
      <c r="S201" s="8"/>
      <c r="T201" s="8"/>
      <c r="U201" s="8"/>
      <c r="V201" s="8"/>
      <c r="W201" s="8"/>
      <c r="X201" s="8"/>
      <c r="Y201" s="8"/>
      <c r="Z201" s="8"/>
      <c r="AA201" s="8"/>
      <c r="AB201" s="8"/>
      <c r="AC201" s="8"/>
    </row>
    <row r="202" spans="1:29" ht="15">
      <c r="A202" s="8"/>
      <c r="B202" s="69">
        <v>172</v>
      </c>
      <c r="C202" s="91">
        <v>9.0299999999999994</v>
      </c>
      <c r="D202" s="43">
        <f>0.18*2^9.03</f>
        <v>94.096477505174832</v>
      </c>
      <c r="E202" s="43">
        <v>0.84970815468819905</v>
      </c>
      <c r="F202" s="92">
        <v>0.85</v>
      </c>
      <c r="G202" s="93">
        <v>870</v>
      </c>
      <c r="H202" s="43"/>
      <c r="I202" s="8"/>
      <c r="J202" s="8"/>
      <c r="K202" s="8"/>
      <c r="L202" s="8"/>
      <c r="M202" s="8"/>
      <c r="N202" s="8"/>
      <c r="O202" s="8"/>
      <c r="P202" s="8"/>
      <c r="Q202" s="8"/>
      <c r="R202" s="8"/>
      <c r="S202" s="8"/>
      <c r="T202" s="8"/>
      <c r="U202" s="8"/>
      <c r="V202" s="8"/>
      <c r="W202" s="8"/>
      <c r="X202" s="8"/>
      <c r="Y202" s="8"/>
      <c r="Z202" s="8"/>
      <c r="AA202" s="8"/>
      <c r="AB202" s="8"/>
      <c r="AC202" s="8"/>
    </row>
    <row r="203" spans="1:29" ht="15">
      <c r="A203" s="8"/>
      <c r="B203" s="69">
        <v>173</v>
      </c>
      <c r="C203" s="91">
        <v>9.19</v>
      </c>
      <c r="D203" s="43">
        <f>0.18*2^9.19</f>
        <v>105.13278405443387</v>
      </c>
      <c r="E203" s="43">
        <v>0.86007243218153295</v>
      </c>
      <c r="F203" s="92">
        <v>0.86</v>
      </c>
      <c r="G203" s="93">
        <v>880</v>
      </c>
      <c r="H203" s="43"/>
      <c r="I203" s="8"/>
      <c r="J203" s="8"/>
      <c r="K203" s="8"/>
      <c r="L203" s="8"/>
      <c r="M203" s="8"/>
      <c r="N203" s="8"/>
      <c r="O203" s="8"/>
      <c r="P203" s="8"/>
      <c r="Q203" s="8"/>
      <c r="R203" s="8"/>
      <c r="S203" s="8"/>
      <c r="T203" s="8"/>
      <c r="U203" s="8"/>
      <c r="V203" s="8"/>
      <c r="W203" s="8"/>
      <c r="X203" s="8"/>
      <c r="Y203" s="8"/>
      <c r="Z203" s="8"/>
      <c r="AA203" s="8"/>
      <c r="AB203" s="8"/>
      <c r="AC203" s="8"/>
    </row>
    <row r="204" spans="1:29" ht="15">
      <c r="A204" s="8"/>
      <c r="B204" s="69">
        <v>174</v>
      </c>
      <c r="C204" s="91">
        <v>9.34</v>
      </c>
      <c r="D204" s="43">
        <f>0.18*2^9.34</f>
        <v>116.65212770030102</v>
      </c>
      <c r="E204" s="43">
        <v>0.86978922785684798</v>
      </c>
      <c r="F204" s="92">
        <v>0.87</v>
      </c>
      <c r="G204" s="93">
        <v>890</v>
      </c>
      <c r="H204" s="43"/>
      <c r="I204" s="8"/>
      <c r="J204" s="8"/>
      <c r="K204" s="8"/>
      <c r="L204" s="8"/>
      <c r="M204" s="8"/>
      <c r="N204" s="8"/>
      <c r="O204" s="8"/>
      <c r="P204" s="8"/>
      <c r="Q204" s="8"/>
      <c r="R204" s="8"/>
      <c r="S204" s="8"/>
      <c r="T204" s="8"/>
      <c r="U204" s="8"/>
      <c r="V204" s="8"/>
      <c r="W204" s="8"/>
      <c r="X204" s="8"/>
      <c r="Y204" s="8"/>
      <c r="Z204" s="8"/>
      <c r="AA204" s="8"/>
      <c r="AB204" s="8"/>
      <c r="AC204" s="8"/>
    </row>
    <row r="205" spans="1:29" ht="15">
      <c r="A205" s="8"/>
      <c r="B205" s="69">
        <v>175</v>
      </c>
      <c r="C205" s="91">
        <v>9.5</v>
      </c>
      <c r="D205" s="43">
        <f>0.18*2^9.5</f>
        <v>130.33392190830443</v>
      </c>
      <c r="E205" s="43">
        <v>0.88015408325414701</v>
      </c>
      <c r="F205" s="92">
        <v>0.88</v>
      </c>
      <c r="G205" s="93">
        <v>900</v>
      </c>
      <c r="H205" s="43"/>
      <c r="I205" s="8"/>
      <c r="J205" s="8"/>
      <c r="K205" s="8"/>
      <c r="L205" s="8"/>
      <c r="M205" s="8"/>
      <c r="N205" s="8"/>
      <c r="O205" s="8"/>
      <c r="P205" s="8"/>
      <c r="Q205" s="8"/>
      <c r="R205" s="8"/>
      <c r="S205" s="8"/>
      <c r="T205" s="8"/>
      <c r="U205" s="8"/>
      <c r="V205" s="8"/>
      <c r="W205" s="8"/>
      <c r="X205" s="8"/>
      <c r="Y205" s="8"/>
      <c r="Z205" s="8"/>
      <c r="AA205" s="8"/>
      <c r="AB205" s="8"/>
      <c r="AC205" s="8"/>
    </row>
    <row r="206" spans="1:29" ht="15">
      <c r="A206" s="8"/>
      <c r="B206" s="69">
        <v>176</v>
      </c>
      <c r="C206" s="91">
        <v>9.65</v>
      </c>
      <c r="D206" s="43">
        <f>0.18*2^9.65</f>
        <v>144.61454092432916</v>
      </c>
      <c r="E206" s="43">
        <v>0.88987136558563995</v>
      </c>
      <c r="F206" s="92">
        <v>0.89</v>
      </c>
      <c r="G206" s="93">
        <v>910</v>
      </c>
      <c r="H206" s="43"/>
      <c r="I206" s="8"/>
      <c r="J206" s="8"/>
      <c r="K206" s="8"/>
      <c r="L206" s="8"/>
      <c r="M206" s="8"/>
      <c r="N206" s="8"/>
      <c r="O206" s="8"/>
      <c r="P206" s="8"/>
      <c r="Q206" s="8"/>
      <c r="R206" s="8"/>
      <c r="S206" s="8"/>
      <c r="T206" s="8"/>
      <c r="U206" s="8"/>
      <c r="V206" s="8"/>
      <c r="W206" s="8"/>
      <c r="X206" s="8"/>
      <c r="Y206" s="8"/>
      <c r="Z206" s="8"/>
      <c r="AA206" s="8"/>
      <c r="AB206" s="8"/>
      <c r="AC206" s="8"/>
    </row>
    <row r="207" spans="1:29" ht="15">
      <c r="A207" s="8"/>
      <c r="B207" s="69">
        <v>177</v>
      </c>
      <c r="C207" s="91">
        <v>9.81</v>
      </c>
      <c r="D207" s="43">
        <f>0.18*2^9.81</f>
        <v>161.57596655297164</v>
      </c>
      <c r="E207" s="43">
        <v>0.90023668727348305</v>
      </c>
      <c r="F207" s="92">
        <v>0.9</v>
      </c>
      <c r="G207" s="93">
        <v>921</v>
      </c>
      <c r="H207" s="43"/>
      <c r="I207" s="8"/>
      <c r="J207" s="8"/>
      <c r="K207" s="8"/>
      <c r="L207" s="8"/>
      <c r="M207" s="8"/>
      <c r="N207" s="8"/>
      <c r="O207" s="8"/>
      <c r="P207" s="8"/>
      <c r="Q207" s="8"/>
      <c r="R207" s="8"/>
      <c r="S207" s="8"/>
      <c r="T207" s="8"/>
      <c r="U207" s="8"/>
      <c r="V207" s="8"/>
      <c r="W207" s="8"/>
      <c r="X207" s="8"/>
      <c r="Y207" s="8"/>
      <c r="Z207" s="8"/>
      <c r="AA207" s="8"/>
      <c r="AB207" s="8"/>
      <c r="AC207" s="8"/>
    </row>
    <row r="208" spans="1:29" ht="15">
      <c r="A208" s="8"/>
      <c r="B208" s="69">
        <v>178</v>
      </c>
      <c r="C208" s="91">
        <v>9.9600000000000009</v>
      </c>
      <c r="D208" s="43">
        <f>0.18*2^9.96</f>
        <v>179.2797599070326</v>
      </c>
      <c r="E208" s="43">
        <v>0.90995436215163295</v>
      </c>
      <c r="F208" s="92">
        <v>0.91</v>
      </c>
      <c r="G208" s="93">
        <v>931</v>
      </c>
      <c r="H208" s="43"/>
      <c r="I208" s="8"/>
      <c r="J208" s="8"/>
      <c r="K208" s="8"/>
      <c r="L208" s="8"/>
      <c r="M208" s="8"/>
      <c r="N208" s="8"/>
      <c r="O208" s="8"/>
      <c r="P208" s="8"/>
      <c r="Q208" s="8"/>
      <c r="R208" s="8"/>
      <c r="S208" s="8"/>
      <c r="T208" s="8"/>
      <c r="U208" s="8"/>
      <c r="V208" s="8"/>
      <c r="W208" s="8"/>
      <c r="X208" s="8"/>
      <c r="Y208" s="8"/>
      <c r="Z208" s="8"/>
      <c r="AA208" s="8"/>
      <c r="AB208" s="8"/>
      <c r="AC208" s="8"/>
    </row>
    <row r="209" spans="1:29" ht="15">
      <c r="A209" s="8"/>
      <c r="B209" s="69">
        <v>179</v>
      </c>
      <c r="C209" s="91">
        <v>10.119999999999999</v>
      </c>
      <c r="D209" s="43">
        <f>0.18*2^10.12</f>
        <v>200.30696986080295</v>
      </c>
      <c r="E209" s="43">
        <v>0.920320059939292</v>
      </c>
      <c r="F209" s="92">
        <v>0.92</v>
      </c>
      <c r="G209" s="93">
        <v>941</v>
      </c>
      <c r="H209" s="43"/>
      <c r="I209" s="8"/>
      <c r="J209" s="8"/>
      <c r="K209" s="8"/>
      <c r="L209" s="8"/>
      <c r="M209" s="8"/>
      <c r="N209" s="8"/>
      <c r="O209" s="8"/>
      <c r="P209" s="8"/>
      <c r="Q209" s="8"/>
      <c r="R209" s="8"/>
      <c r="S209" s="8"/>
      <c r="T209" s="8"/>
      <c r="U209" s="8"/>
      <c r="V209" s="8"/>
      <c r="W209" s="8"/>
      <c r="X209" s="8"/>
      <c r="Y209" s="8"/>
      <c r="Z209" s="8"/>
      <c r="AA209" s="8"/>
      <c r="AB209" s="8"/>
      <c r="AC209" s="8"/>
    </row>
    <row r="210" spans="1:29" ht="15">
      <c r="A210" s="8"/>
      <c r="B210" s="69">
        <v>180</v>
      </c>
      <c r="C210" s="91">
        <v>10.27</v>
      </c>
      <c r="D210" s="43">
        <f>0.18*2^10.27</f>
        <v>222.2544987999608</v>
      </c>
      <c r="E210" s="43">
        <v>0.93003805151471897</v>
      </c>
      <c r="F210" s="92">
        <v>0.93</v>
      </c>
      <c r="G210" s="93">
        <v>951</v>
      </c>
      <c r="H210" s="43"/>
      <c r="I210" s="8"/>
      <c r="J210" s="8"/>
      <c r="K210" s="8"/>
      <c r="L210" s="8"/>
      <c r="M210" s="8"/>
      <c r="N210" s="8"/>
      <c r="O210" s="8"/>
      <c r="P210" s="8"/>
      <c r="Q210" s="8"/>
      <c r="R210" s="8"/>
      <c r="S210" s="8"/>
      <c r="T210" s="8"/>
      <c r="U210" s="8"/>
      <c r="V210" s="8"/>
      <c r="W210" s="8"/>
      <c r="X210" s="8"/>
      <c r="Y210" s="8"/>
      <c r="Z210" s="8"/>
      <c r="AA210" s="8"/>
      <c r="AB210" s="8"/>
      <c r="AC210" s="8"/>
    </row>
    <row r="211" spans="1:29" ht="15">
      <c r="A211" s="8"/>
      <c r="B211" s="69">
        <v>181</v>
      </c>
      <c r="C211" s="91">
        <v>10.42</v>
      </c>
      <c r="D211" s="43">
        <f>0.18*2^10.42</f>
        <v>246.60680689817607</v>
      </c>
      <c r="E211" s="43">
        <v>0.939756173575933</v>
      </c>
      <c r="F211" s="92">
        <v>0.94</v>
      </c>
      <c r="G211" s="93">
        <v>962</v>
      </c>
      <c r="H211" s="43"/>
      <c r="I211" s="8"/>
      <c r="J211" s="8"/>
      <c r="K211" s="8"/>
      <c r="L211" s="8"/>
      <c r="M211" s="8"/>
      <c r="N211" s="8"/>
      <c r="O211" s="8"/>
      <c r="P211" s="8"/>
      <c r="Q211" s="8"/>
      <c r="R211" s="8"/>
      <c r="S211" s="8"/>
      <c r="T211" s="8"/>
      <c r="U211" s="8"/>
      <c r="V211" s="8"/>
      <c r="W211" s="8"/>
      <c r="X211" s="8"/>
      <c r="Y211" s="8"/>
      <c r="Z211" s="8"/>
      <c r="AA211" s="8"/>
      <c r="AB211" s="8"/>
      <c r="AC211" s="8"/>
    </row>
    <row r="212" spans="1:29" ht="15">
      <c r="A212" s="8"/>
      <c r="B212" s="69">
        <v>182</v>
      </c>
      <c r="C212" s="91">
        <v>10.58</v>
      </c>
      <c r="D212" s="43">
        <f>0.18*2^10.58</f>
        <v>275.5306135083917</v>
      </c>
      <c r="E212" s="43">
        <v>0.95012229975204199</v>
      </c>
      <c r="F212" s="92">
        <v>0.95</v>
      </c>
      <c r="G212" s="93">
        <v>972</v>
      </c>
      <c r="H212" s="43"/>
      <c r="I212" s="8"/>
      <c r="J212" s="8"/>
      <c r="K212" s="8"/>
      <c r="L212" s="8"/>
      <c r="M212" s="8"/>
      <c r="N212" s="8"/>
      <c r="O212" s="8"/>
      <c r="P212" s="8"/>
      <c r="Q212" s="8"/>
      <c r="R212" s="8"/>
      <c r="S212" s="8"/>
      <c r="T212" s="8"/>
      <c r="U212" s="8"/>
      <c r="V212" s="8"/>
      <c r="W212" s="8"/>
      <c r="X212" s="8"/>
      <c r="Y212" s="8"/>
      <c r="Z212" s="8"/>
      <c r="AA212" s="8"/>
      <c r="AB212" s="8"/>
      <c r="AC212" s="8"/>
    </row>
    <row r="213" spans="1:29" ht="15">
      <c r="A213" s="8"/>
      <c r="B213" s="69">
        <v>183</v>
      </c>
      <c r="C213" s="91">
        <v>10.73</v>
      </c>
      <c r="D213" s="43">
        <f>0.18*2^10.73</f>
        <v>305.72035736903575</v>
      </c>
      <c r="E213" s="43">
        <v>0.95984065206946301</v>
      </c>
      <c r="F213" s="92">
        <v>0.96</v>
      </c>
      <c r="G213" s="93">
        <v>982</v>
      </c>
      <c r="H213" s="43"/>
      <c r="I213" s="8"/>
      <c r="J213" s="8"/>
      <c r="K213" s="8"/>
      <c r="L213" s="8"/>
      <c r="M213" s="8"/>
      <c r="N213" s="8"/>
      <c r="O213" s="8"/>
      <c r="P213" s="8"/>
      <c r="Q213" s="8"/>
      <c r="R213" s="8"/>
      <c r="S213" s="8"/>
      <c r="T213" s="8"/>
      <c r="U213" s="8"/>
      <c r="V213" s="8"/>
      <c r="W213" s="8"/>
      <c r="X213" s="8"/>
      <c r="Y213" s="8"/>
      <c r="Z213" s="8"/>
      <c r="AA213" s="8"/>
      <c r="AB213" s="8"/>
      <c r="AC213" s="8"/>
    </row>
    <row r="214" spans="1:29" ht="15">
      <c r="A214" s="8"/>
      <c r="B214" s="69">
        <v>184</v>
      </c>
      <c r="C214" s="91">
        <v>10.89</v>
      </c>
      <c r="D214" s="43">
        <f>0.18*2^10.89</f>
        <v>341.57742313526626</v>
      </c>
      <c r="E214" s="43">
        <v>0.97020699882475603</v>
      </c>
      <c r="F214" s="92">
        <v>0.97</v>
      </c>
      <c r="G214" s="93">
        <v>992</v>
      </c>
      <c r="H214" s="43"/>
      <c r="I214" s="8"/>
      <c r="J214" s="8"/>
      <c r="K214" s="8"/>
      <c r="L214" s="8"/>
      <c r="M214" s="8"/>
      <c r="N214" s="8"/>
      <c r="O214" s="8"/>
      <c r="P214" s="8"/>
      <c r="Q214" s="8"/>
      <c r="R214" s="8"/>
      <c r="S214" s="8"/>
      <c r="T214" s="8"/>
      <c r="U214" s="8"/>
      <c r="V214" s="8"/>
      <c r="W214" s="8"/>
      <c r="X214" s="8"/>
      <c r="Y214" s="8"/>
      <c r="Z214" s="8"/>
      <c r="AA214" s="8"/>
      <c r="AB214" s="8"/>
      <c r="AC214" s="8"/>
    </row>
    <row r="215" spans="1:29" ht="15">
      <c r="A215" s="8"/>
      <c r="B215" s="69">
        <v>185</v>
      </c>
      <c r="C215" s="91">
        <v>11.04</v>
      </c>
      <c r="D215" s="43">
        <f>0.18*2^11.04</f>
        <v>379.00388105849208</v>
      </c>
      <c r="E215" s="43">
        <v>0.97992553688259099</v>
      </c>
      <c r="F215" s="92">
        <v>0.98</v>
      </c>
      <c r="G215" s="93">
        <v>1003</v>
      </c>
      <c r="H215" s="43"/>
      <c r="I215" s="8"/>
      <c r="J215" s="8"/>
      <c r="K215" s="8"/>
      <c r="L215" s="8"/>
      <c r="M215" s="8"/>
      <c r="N215" s="8"/>
      <c r="O215" s="8"/>
      <c r="P215" s="8"/>
      <c r="Q215" s="8"/>
      <c r="R215" s="8"/>
      <c r="S215" s="8"/>
      <c r="T215" s="8"/>
      <c r="U215" s="8"/>
      <c r="V215" s="8"/>
      <c r="W215" s="8"/>
      <c r="X215" s="8"/>
      <c r="Y215" s="8"/>
      <c r="Z215" s="8"/>
      <c r="AA215" s="8"/>
      <c r="AB215" s="8"/>
      <c r="AC215" s="8"/>
    </row>
    <row r="216" spans="1:29" ht="15">
      <c r="A216" s="8"/>
      <c r="B216" s="69">
        <v>186</v>
      </c>
      <c r="C216" s="91">
        <v>11.2</v>
      </c>
      <c r="D216" s="43">
        <f>0.18*2^11.2</f>
        <v>423.45616158610659</v>
      </c>
      <c r="E216" s="43">
        <v>0.99029206159762795</v>
      </c>
      <c r="F216" s="92">
        <v>0.99</v>
      </c>
      <c r="G216" s="93">
        <v>1013</v>
      </c>
      <c r="H216" s="43"/>
      <c r="I216" s="8"/>
      <c r="J216" s="8"/>
      <c r="K216" s="8"/>
      <c r="L216" s="8"/>
      <c r="M216" s="8"/>
      <c r="N216" s="8"/>
      <c r="O216" s="8"/>
      <c r="P216" s="8"/>
      <c r="Q216" s="8"/>
      <c r="R216" s="8"/>
      <c r="S216" s="8"/>
      <c r="T216" s="8"/>
      <c r="U216" s="8"/>
      <c r="V216" s="8"/>
      <c r="W216" s="8"/>
      <c r="X216" s="8"/>
      <c r="Y216" s="8"/>
      <c r="Z216" s="8"/>
      <c r="AA216" s="8"/>
      <c r="AB216" s="8"/>
      <c r="AC216" s="8"/>
    </row>
    <row r="217" spans="1:29" ht="15">
      <c r="A217" s="8"/>
      <c r="B217" s="69">
        <v>187</v>
      </c>
      <c r="C217" s="91">
        <v>11.35</v>
      </c>
      <c r="D217" s="43">
        <f>0.18*2^11.35</f>
        <v>469.85402965497263</v>
      </c>
      <c r="E217" s="43">
        <v>1.0000107494665</v>
      </c>
      <c r="F217" s="92">
        <v>1</v>
      </c>
      <c r="G217" s="93">
        <v>1023</v>
      </c>
      <c r="H217" s="43" t="s">
        <v>463</v>
      </c>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3">
    <mergeCell ref="D2:G2"/>
    <mergeCell ref="D29:G29"/>
    <mergeCell ref="L29:P2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D1004"/>
  <sheetViews>
    <sheetView topLeftCell="A121" zoomScale="131" workbookViewId="0">
      <selection activeCell="D154" sqref="D154"/>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64.83203125" customWidth="1"/>
    <col min="9" max="9" width="12.1640625" bestFit="1" customWidth="1"/>
    <col min="10" max="10" width="2.1640625" customWidth="1"/>
    <col min="15" max="15" width="14.1640625" customWidth="1"/>
  </cols>
  <sheetData>
    <row r="1" spans="1:30" ht="13">
      <c r="A1" s="8"/>
      <c r="B1" s="9"/>
      <c r="C1" s="9"/>
      <c r="D1" s="9"/>
      <c r="E1" s="9"/>
      <c r="F1" s="9"/>
      <c r="G1" s="9"/>
      <c r="H1" s="9"/>
      <c r="I1" s="8"/>
      <c r="J1" s="8"/>
      <c r="K1" s="8"/>
      <c r="L1" s="8"/>
      <c r="M1" s="8"/>
      <c r="N1" s="8"/>
      <c r="O1" s="8"/>
      <c r="P1" s="8"/>
      <c r="Q1" s="8"/>
      <c r="R1" s="8"/>
      <c r="S1" s="8"/>
      <c r="T1" s="8"/>
      <c r="U1" s="8"/>
      <c r="V1" s="8"/>
      <c r="W1" s="8"/>
      <c r="X1" s="8"/>
      <c r="Y1" s="8"/>
      <c r="Z1" s="8"/>
      <c r="AA1" s="8"/>
      <c r="AB1" s="8"/>
      <c r="AC1" s="8"/>
      <c r="AD1" s="8"/>
    </row>
    <row r="2" spans="1:30" ht="29.25" customHeight="1">
      <c r="A2" s="8"/>
      <c r="B2" s="56"/>
      <c r="C2" s="12" t="s">
        <v>468</v>
      </c>
      <c r="D2" s="174" t="s">
        <v>142</v>
      </c>
      <c r="E2" s="170"/>
      <c r="F2" s="170"/>
      <c r="G2" s="171"/>
      <c r="H2" s="16"/>
      <c r="I2" s="8"/>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c r="AD3" s="8"/>
    </row>
    <row r="4" spans="1:30" ht="13">
      <c r="A4" s="58"/>
      <c r="B4" s="50">
        <v>1</v>
      </c>
      <c r="C4" s="184" t="s">
        <v>75</v>
      </c>
      <c r="D4" s="17">
        <f>0.18*2^-16.94699</f>
        <v>1.4246893534756729E-6</v>
      </c>
      <c r="E4" s="142">
        <f t="shared" ref="E4:E8" si="0">(D4*(171.2102946929-95)/0.01125+95)/1023</f>
        <v>9.287355933489512E-2</v>
      </c>
      <c r="F4" s="18">
        <f t="shared" ref="F4:F26" si="1">E4*100</f>
        <v>9.2873559334895113</v>
      </c>
      <c r="G4" s="33">
        <f t="shared" ref="G4:G26" si="2">E4*1023</f>
        <v>95.009651199597712</v>
      </c>
      <c r="H4" s="184" t="s">
        <v>811</v>
      </c>
      <c r="I4" s="130">
        <f t="shared" ref="I4:I7" si="3">E4*(2^16-1)</f>
        <v>6086.4687110123514</v>
      </c>
      <c r="J4" s="8"/>
      <c r="K4" s="64" t="s">
        <v>162</v>
      </c>
      <c r="L4" s="8"/>
      <c r="M4" s="8"/>
      <c r="N4" s="8"/>
      <c r="O4" s="8" t="s">
        <v>469</v>
      </c>
      <c r="P4" s="8" t="s">
        <v>133</v>
      </c>
      <c r="Q4" s="8" t="s">
        <v>470</v>
      </c>
      <c r="R4" s="8"/>
      <c r="S4" s="8" t="s">
        <v>471</v>
      </c>
      <c r="T4" s="8"/>
      <c r="U4" s="8"/>
      <c r="V4" s="8"/>
      <c r="W4" s="8"/>
      <c r="X4" s="8"/>
      <c r="Y4" s="8"/>
      <c r="Z4" s="8"/>
      <c r="AA4" s="8"/>
      <c r="AB4" s="8"/>
      <c r="AC4" s="8"/>
      <c r="AD4" s="8"/>
    </row>
    <row r="5" spans="1:30" ht="16">
      <c r="A5" s="58"/>
      <c r="B5" s="50">
        <v>2</v>
      </c>
      <c r="C5" s="184" t="s">
        <v>76</v>
      </c>
      <c r="D5" s="17">
        <f>0.18*2^-8</f>
        <v>7.0312499999999997E-4</v>
      </c>
      <c r="E5" s="142">
        <f t="shared" si="0"/>
        <v>9.7520179294532008E-2</v>
      </c>
      <c r="F5" s="18">
        <f t="shared" si="1"/>
        <v>9.752017929453201</v>
      </c>
      <c r="G5" s="33">
        <f t="shared" si="2"/>
        <v>99.763143418306242</v>
      </c>
      <c r="H5" s="184" t="s">
        <v>812</v>
      </c>
      <c r="I5" s="130">
        <f t="shared" si="3"/>
        <v>6390.9849500671553</v>
      </c>
      <c r="J5" s="8"/>
      <c r="K5" s="56" t="s">
        <v>165</v>
      </c>
      <c r="L5" s="8"/>
      <c r="M5" s="8"/>
      <c r="N5" s="8"/>
      <c r="O5" s="8" t="s">
        <v>472</v>
      </c>
      <c r="P5" s="8">
        <v>0.76600000000000001</v>
      </c>
      <c r="Q5" s="8">
        <v>0.27500000000000002</v>
      </c>
      <c r="R5" s="8"/>
      <c r="S5" s="97">
        <v>0.63900800000000002</v>
      </c>
      <c r="T5" s="97">
        <v>0.270841</v>
      </c>
      <c r="U5" s="97">
        <v>9.0150999999999995E-2</v>
      </c>
      <c r="V5" s="8"/>
      <c r="W5" s="8"/>
      <c r="X5" s="8"/>
      <c r="Y5" s="8"/>
      <c r="Z5" s="8"/>
      <c r="AA5" s="8"/>
      <c r="AB5" s="8"/>
      <c r="AC5" s="8"/>
      <c r="AD5" s="8"/>
    </row>
    <row r="6" spans="1:30" ht="16">
      <c r="A6" s="58"/>
      <c r="B6" s="50">
        <v>3</v>
      </c>
      <c r="C6" s="16" t="s">
        <v>77</v>
      </c>
      <c r="D6" s="17">
        <f>0.18*2^-7</f>
        <v>1.4062499999999999E-3</v>
      </c>
      <c r="E6" s="142">
        <f t="shared" si="0"/>
        <v>0.10217623346687439</v>
      </c>
      <c r="F6" s="18">
        <f t="shared" si="1"/>
        <v>10.217623346687439</v>
      </c>
      <c r="G6" s="33">
        <f t="shared" si="2"/>
        <v>104.5262868366125</v>
      </c>
      <c r="H6" s="12" t="s">
        <v>473</v>
      </c>
      <c r="I6" s="130">
        <f t="shared" si="3"/>
        <v>6696.1194602516134</v>
      </c>
      <c r="J6" s="8"/>
      <c r="K6" s="8"/>
      <c r="L6" s="8"/>
      <c r="M6" s="8"/>
      <c r="N6" s="8"/>
      <c r="O6" s="8" t="s">
        <v>474</v>
      </c>
      <c r="P6" s="8">
        <v>0.22500000000000001</v>
      </c>
      <c r="Q6" s="8">
        <v>0.8</v>
      </c>
      <c r="R6" s="8"/>
      <c r="S6" s="97">
        <v>-3.4510000000000001E-3</v>
      </c>
      <c r="T6" s="97">
        <v>1.085955</v>
      </c>
      <c r="U6" s="97">
        <v>-8.2504999999999995E-2</v>
      </c>
      <c r="V6" s="8"/>
      <c r="W6" s="8"/>
      <c r="X6" s="8"/>
      <c r="Y6" s="8"/>
      <c r="Z6" s="8"/>
      <c r="AA6" s="8"/>
      <c r="AB6" s="8"/>
      <c r="AC6" s="8"/>
      <c r="AD6" s="8"/>
    </row>
    <row r="7" spans="1:30" ht="16">
      <c r="A7" s="58"/>
      <c r="B7" s="50">
        <v>4</v>
      </c>
      <c r="C7" s="16" t="s">
        <v>78</v>
      </c>
      <c r="D7" s="17">
        <f>0.18*2^-6</f>
        <v>2.8124999999999999E-3</v>
      </c>
      <c r="E7" s="142">
        <f t="shared" si="0"/>
        <v>0.11148834181155914</v>
      </c>
      <c r="F7" s="18">
        <f t="shared" si="1"/>
        <v>11.148834181155914</v>
      </c>
      <c r="G7" s="33">
        <f t="shared" si="2"/>
        <v>114.052573673225</v>
      </c>
      <c r="H7" s="16" t="s">
        <v>475</v>
      </c>
      <c r="I7" s="130">
        <f t="shared" si="3"/>
        <v>7306.3884806205288</v>
      </c>
      <c r="J7" s="8"/>
      <c r="K7" s="8" t="s">
        <v>476</v>
      </c>
      <c r="L7" s="8"/>
      <c r="M7" s="8"/>
      <c r="N7" s="8"/>
      <c r="O7" s="8" t="s">
        <v>477</v>
      </c>
      <c r="P7" s="8">
        <v>8.8999999999999996E-2</v>
      </c>
      <c r="Q7" s="8">
        <v>-8.6999999999999994E-2</v>
      </c>
      <c r="R7" s="8"/>
      <c r="S7" s="97">
        <v>-3.0074E-2</v>
      </c>
      <c r="T7" s="97">
        <v>-2.1937000000000002E-2</v>
      </c>
      <c r="U7" s="97">
        <v>1.0520119999999999</v>
      </c>
      <c r="V7" s="8"/>
      <c r="W7" s="8"/>
      <c r="X7" s="8"/>
      <c r="Y7" s="8"/>
      <c r="Z7" s="8"/>
      <c r="AA7" s="8"/>
      <c r="AB7" s="8"/>
      <c r="AC7" s="8"/>
      <c r="AD7" s="8"/>
    </row>
    <row r="8" spans="1:30" ht="13">
      <c r="A8" s="58"/>
      <c r="B8" s="50">
        <v>5</v>
      </c>
      <c r="C8" s="16" t="s">
        <v>79</v>
      </c>
      <c r="D8" s="17">
        <f>0.18*2^-5</f>
        <v>5.6249999999999998E-3</v>
      </c>
      <c r="E8" s="142">
        <f t="shared" si="0"/>
        <v>0.13011255850092865</v>
      </c>
      <c r="F8" s="18">
        <f t="shared" si="1"/>
        <v>13.011255850092866</v>
      </c>
      <c r="G8" s="33">
        <f t="shared" si="2"/>
        <v>133.10514734645</v>
      </c>
      <c r="H8" s="16"/>
      <c r="I8" s="130">
        <f t="shared" ref="I7:I26" si="4">E8*(2^16-1)</f>
        <v>8526.9265213583585</v>
      </c>
      <c r="J8" s="8"/>
      <c r="K8" s="8" t="s">
        <v>478</v>
      </c>
      <c r="L8" s="8"/>
      <c r="M8" s="8"/>
      <c r="N8" s="8"/>
      <c r="O8" s="8" t="s">
        <v>479</v>
      </c>
      <c r="P8" s="8">
        <v>0.32169999999999999</v>
      </c>
      <c r="Q8" s="8">
        <v>0.32900000000000001</v>
      </c>
      <c r="R8" s="8"/>
      <c r="S8" s="8"/>
      <c r="T8" s="8"/>
      <c r="U8" s="8"/>
      <c r="V8" s="8"/>
      <c r="W8" s="8"/>
      <c r="X8" s="8"/>
      <c r="Y8" s="8"/>
      <c r="Z8" s="8"/>
      <c r="AA8" s="8"/>
      <c r="AB8" s="8"/>
      <c r="AC8" s="8"/>
      <c r="AD8" s="8"/>
    </row>
    <row r="9" spans="1:30" ht="13">
      <c r="A9" s="58"/>
      <c r="B9" s="50">
        <v>6</v>
      </c>
      <c r="C9" s="16" t="s">
        <v>80</v>
      </c>
      <c r="D9" s="17">
        <f>0.18*2^-4</f>
        <v>1.125E-2</v>
      </c>
      <c r="E9" s="142">
        <f t="shared" ref="E9" si="5">(D9*(171.2102946929-95)/0.01125+95)/1023</f>
        <v>0.16736099187966763</v>
      </c>
      <c r="F9" s="18">
        <f t="shared" si="1"/>
        <v>16.736099187966762</v>
      </c>
      <c r="G9" s="33">
        <f t="shared" si="2"/>
        <v>171.21029469289999</v>
      </c>
      <c r="H9" s="16"/>
      <c r="I9" s="130">
        <f t="shared" si="4"/>
        <v>10968.002602834018</v>
      </c>
      <c r="J9" s="8"/>
      <c r="K9" s="132" t="s">
        <v>809</v>
      </c>
      <c r="L9" s="8"/>
      <c r="M9" s="8"/>
      <c r="N9" s="8"/>
      <c r="O9" s="8"/>
      <c r="P9" s="8"/>
      <c r="Q9" s="8"/>
      <c r="R9" s="8"/>
      <c r="S9" s="8"/>
      <c r="T9" s="8"/>
      <c r="U9" s="8"/>
      <c r="V9" s="8"/>
      <c r="W9" s="8"/>
      <c r="X9" s="8"/>
      <c r="Y9" s="8"/>
      <c r="Z9" s="8"/>
      <c r="AA9" s="8"/>
      <c r="AB9" s="8"/>
      <c r="AC9" s="8"/>
      <c r="AD9" s="8"/>
    </row>
    <row r="10" spans="1:30" ht="13">
      <c r="A10" s="58"/>
      <c r="B10" s="50">
        <v>7</v>
      </c>
      <c r="C10" s="16" t="s">
        <v>81</v>
      </c>
      <c r="D10" s="17">
        <f>0.18*2^-3</f>
        <v>2.2499999999999999E-2</v>
      </c>
      <c r="E10" s="142">
        <f t="shared" ref="E5:E26" si="6">(420+LOG10((D10+0.01)/0.19)*261.5)/1023</f>
        <v>0.21452925928329511</v>
      </c>
      <c r="F10" s="18">
        <f t="shared" si="1"/>
        <v>21.45292592832951</v>
      </c>
      <c r="G10" s="33">
        <f t="shared" si="2"/>
        <v>219.4634322468109</v>
      </c>
      <c r="H10" s="16"/>
      <c r="I10" s="130">
        <f t="shared" si="4"/>
        <v>14059.175007130745</v>
      </c>
      <c r="J10" s="8"/>
      <c r="K10" s="8" t="s">
        <v>176</v>
      </c>
      <c r="L10" s="8"/>
      <c r="M10" s="8"/>
      <c r="N10" s="8"/>
      <c r="O10" s="8" t="s">
        <v>480</v>
      </c>
      <c r="P10" s="8" t="s">
        <v>133</v>
      </c>
      <c r="Q10" s="8" t="s">
        <v>470</v>
      </c>
      <c r="R10" s="8"/>
      <c r="S10" s="8"/>
      <c r="T10" s="8"/>
      <c r="U10" s="8"/>
      <c r="V10" s="8"/>
      <c r="W10" s="8"/>
      <c r="X10" s="8"/>
      <c r="Y10" s="8"/>
      <c r="Z10" s="8"/>
      <c r="AA10" s="8"/>
      <c r="AB10" s="8"/>
      <c r="AC10" s="8"/>
      <c r="AD10" s="8"/>
    </row>
    <row r="11" spans="1:30" ht="13">
      <c r="A11" s="58"/>
      <c r="B11" s="50">
        <v>8</v>
      </c>
      <c r="C11" s="16" t="s">
        <v>82</v>
      </c>
      <c r="D11" s="17">
        <f>0.18*2^-2</f>
        <v>4.4999999999999998E-2</v>
      </c>
      <c r="E11" s="142">
        <f t="shared" si="6"/>
        <v>0.27293331051180841</v>
      </c>
      <c r="F11" s="18">
        <f t="shared" si="1"/>
        <v>27.293331051180843</v>
      </c>
      <c r="G11" s="33">
        <f t="shared" si="2"/>
        <v>279.21077665358001</v>
      </c>
      <c r="H11" s="16"/>
      <c r="I11" s="130">
        <f t="shared" si="4"/>
        <v>17886.684504391364</v>
      </c>
      <c r="J11" s="8"/>
      <c r="K11" s="8" t="s">
        <v>481</v>
      </c>
      <c r="L11" s="8"/>
      <c r="M11" s="8"/>
      <c r="N11" s="8"/>
      <c r="O11" s="8" t="s">
        <v>472</v>
      </c>
      <c r="P11" s="8">
        <v>0.68</v>
      </c>
      <c r="Q11" s="8">
        <v>0.32</v>
      </c>
      <c r="R11" s="8"/>
      <c r="S11" s="8"/>
      <c r="T11" s="8"/>
      <c r="U11" s="8"/>
      <c r="V11" s="8"/>
      <c r="W11" s="8"/>
      <c r="X11" s="8"/>
      <c r="Y11" s="8"/>
      <c r="Z11" s="8"/>
      <c r="AA11" s="8"/>
      <c r="AB11" s="8"/>
      <c r="AC11" s="8"/>
      <c r="AD11" s="8"/>
    </row>
    <row r="12" spans="1:30" ht="13">
      <c r="A12" s="58"/>
      <c r="B12" s="50">
        <v>9</v>
      </c>
      <c r="C12" s="16" t="s">
        <v>83</v>
      </c>
      <c r="D12" s="17">
        <f>0.18*2^-1</f>
        <v>0.09</v>
      </c>
      <c r="E12" s="142">
        <f t="shared" si="6"/>
        <v>0.33930198763522507</v>
      </c>
      <c r="F12" s="18">
        <f t="shared" si="1"/>
        <v>33.930198763522505</v>
      </c>
      <c r="G12" s="33">
        <f t="shared" si="2"/>
        <v>347.10593335083524</v>
      </c>
      <c r="H12" s="16"/>
      <c r="I12" s="130">
        <f t="shared" si="4"/>
        <v>22236.155759674475</v>
      </c>
      <c r="J12" s="8"/>
      <c r="K12" s="8" t="s">
        <v>482</v>
      </c>
      <c r="L12" s="8"/>
      <c r="M12" s="8"/>
      <c r="N12" s="8"/>
      <c r="O12" s="8" t="s">
        <v>474</v>
      </c>
      <c r="P12" s="8">
        <v>0.26500000000000001</v>
      </c>
      <c r="Q12" s="8">
        <v>0.69</v>
      </c>
      <c r="R12" s="8"/>
      <c r="S12" s="8"/>
      <c r="T12" s="43">
        <v>0.410557184750733</v>
      </c>
      <c r="U12" s="8">
        <f>(10^((T12*1023-420)/261.5))*(0.18+0.01)-0.01</f>
        <v>0.17999999999999969</v>
      </c>
      <c r="V12" s="8"/>
      <c r="W12" s="8"/>
      <c r="X12" s="8"/>
      <c r="Y12" s="8"/>
      <c r="Z12" s="8"/>
      <c r="AA12" s="8"/>
      <c r="AB12" s="8"/>
      <c r="AC12" s="8"/>
      <c r="AD12" s="8"/>
    </row>
    <row r="13" spans="1:30" ht="13">
      <c r="A13" s="58"/>
      <c r="B13" s="50">
        <v>10</v>
      </c>
      <c r="C13" s="16" t="s">
        <v>84</v>
      </c>
      <c r="D13" s="17">
        <f>0.18*2^-0.5</f>
        <v>0.12727922061357855</v>
      </c>
      <c r="E13" s="142">
        <f t="shared" si="6"/>
        <v>0.37447662739080689</v>
      </c>
      <c r="F13" s="18">
        <f t="shared" si="1"/>
        <v>37.447662739080691</v>
      </c>
      <c r="G13" s="33">
        <f t="shared" si="2"/>
        <v>383.08958982079542</v>
      </c>
      <c r="H13" s="16"/>
      <c r="I13" s="130">
        <f t="shared" si="4"/>
        <v>24541.325776056528</v>
      </c>
      <c r="J13" s="8"/>
      <c r="K13" s="8" t="s">
        <v>483</v>
      </c>
      <c r="L13" s="8"/>
      <c r="M13" s="8"/>
      <c r="N13" s="8"/>
      <c r="O13" s="8" t="s">
        <v>477</v>
      </c>
      <c r="P13" s="8">
        <v>0.15</v>
      </c>
      <c r="Q13" s="8">
        <v>0.06</v>
      </c>
      <c r="R13" s="8"/>
      <c r="S13" s="8"/>
      <c r="T13" s="43">
        <v>9.2873559405395795E-2</v>
      </c>
      <c r="U13" s="8">
        <f>(T13*1023-95)*0.01125/(171.2102946929-95)</f>
        <v>1.4246999999991829E-6</v>
      </c>
      <c r="V13" s="8"/>
      <c r="W13" s="8"/>
      <c r="X13" s="8"/>
      <c r="Y13" s="8"/>
      <c r="Z13" s="8"/>
      <c r="AA13" s="8"/>
      <c r="AB13" s="8"/>
      <c r="AC13" s="8"/>
      <c r="AD13" s="8"/>
    </row>
    <row r="14" spans="1:30" ht="15">
      <c r="A14" s="58"/>
      <c r="B14" s="50">
        <v>11</v>
      </c>
      <c r="C14" s="43" t="s">
        <v>85</v>
      </c>
      <c r="D14" s="17">
        <f>0.18*2^-0.1</f>
        <v>0.16794593847662534</v>
      </c>
      <c r="E14" s="142">
        <f t="shared" si="6"/>
        <v>0.40328080767025948</v>
      </c>
      <c r="F14" s="71">
        <f t="shared" si="1"/>
        <v>40.328080767025945</v>
      </c>
      <c r="G14" s="72">
        <f t="shared" si="2"/>
        <v>412.55626624667542</v>
      </c>
      <c r="H14" s="16"/>
      <c r="I14" s="130"/>
      <c r="J14" s="8"/>
      <c r="K14" s="8"/>
      <c r="L14" s="8"/>
      <c r="M14" s="8"/>
      <c r="N14" s="8"/>
      <c r="O14" s="8" t="s">
        <v>484</v>
      </c>
      <c r="P14" s="8">
        <v>0.314</v>
      </c>
      <c r="Q14" s="8">
        <v>0.35099999999999998</v>
      </c>
      <c r="R14" s="8"/>
      <c r="S14" s="8"/>
      <c r="T14" s="8"/>
      <c r="U14" s="8"/>
      <c r="V14" s="8"/>
      <c r="W14" s="8"/>
      <c r="X14" s="8"/>
      <c r="Y14" s="8"/>
      <c r="Z14" s="8"/>
      <c r="AA14" s="8"/>
      <c r="AB14" s="8"/>
      <c r="AC14" s="8"/>
      <c r="AD14" s="8"/>
    </row>
    <row r="15" spans="1:30" ht="13">
      <c r="A15" s="58"/>
      <c r="B15" s="50">
        <v>12</v>
      </c>
      <c r="C15" s="16" t="s">
        <v>86</v>
      </c>
      <c r="D15" s="17">
        <f>0.18</f>
        <v>0.18</v>
      </c>
      <c r="E15" s="142">
        <f t="shared" si="6"/>
        <v>0.41055718475073316</v>
      </c>
      <c r="F15" s="18">
        <f t="shared" si="1"/>
        <v>41.055718475073313</v>
      </c>
      <c r="G15" s="33">
        <f t="shared" si="2"/>
        <v>420</v>
      </c>
      <c r="H15" s="16"/>
      <c r="I15" s="130">
        <f t="shared" si="4"/>
        <v>26905.865102639298</v>
      </c>
      <c r="J15" s="8"/>
      <c r="K15" s="8" t="s">
        <v>485</v>
      </c>
      <c r="L15" s="8"/>
      <c r="M15" s="8"/>
      <c r="N15" s="8"/>
      <c r="O15" s="8"/>
      <c r="P15" s="8"/>
      <c r="Q15" s="8"/>
      <c r="R15" s="8"/>
      <c r="S15" s="8" t="s">
        <v>486</v>
      </c>
      <c r="T15" s="8"/>
      <c r="U15" s="8"/>
      <c r="V15" s="8"/>
      <c r="W15" s="8"/>
      <c r="X15" s="8"/>
      <c r="Y15" s="8"/>
      <c r="Z15" s="8"/>
      <c r="AA15" s="8"/>
      <c r="AB15" s="8"/>
      <c r="AC15" s="8"/>
      <c r="AD15" s="8"/>
    </row>
    <row r="16" spans="1:30" ht="15">
      <c r="A16" s="58"/>
      <c r="B16" s="50">
        <v>13</v>
      </c>
      <c r="C16" s="43" t="s">
        <v>87</v>
      </c>
      <c r="D16" s="17">
        <f>0.18*2^0.2</f>
        <v>0.2067657038994663</v>
      </c>
      <c r="E16" s="142">
        <f t="shared" si="6"/>
        <v>0.42518814027596002</v>
      </c>
      <c r="F16" s="71">
        <f t="shared" si="1"/>
        <v>42.518814027596001</v>
      </c>
      <c r="G16" s="72">
        <f t="shared" si="2"/>
        <v>434.9674675023071</v>
      </c>
      <c r="H16" s="16"/>
      <c r="I16" s="130"/>
      <c r="J16" s="8"/>
      <c r="K16" s="8" t="s">
        <v>487</v>
      </c>
      <c r="L16" s="8"/>
      <c r="M16" s="8"/>
      <c r="N16" s="8"/>
      <c r="O16" s="8" t="s">
        <v>488</v>
      </c>
      <c r="P16" s="8" t="s">
        <v>133</v>
      </c>
      <c r="Q16" s="8" t="s">
        <v>470</v>
      </c>
      <c r="R16" s="8"/>
      <c r="S16" s="8">
        <v>0.97443500000000005</v>
      </c>
      <c r="T16" s="8">
        <v>2.3802E-2</v>
      </c>
      <c r="U16" s="8">
        <v>1.763E-3</v>
      </c>
      <c r="V16" s="8"/>
      <c r="W16" s="8"/>
      <c r="X16" s="8"/>
      <c r="Y16" s="8"/>
      <c r="Z16" s="8"/>
      <c r="AA16" s="8"/>
      <c r="AB16" s="8"/>
      <c r="AC16" s="8"/>
      <c r="AD16" s="8"/>
    </row>
    <row r="17" spans="1:30" ht="13">
      <c r="A17" s="58"/>
      <c r="B17" s="50">
        <v>14</v>
      </c>
      <c r="C17" s="16" t="s">
        <v>88</v>
      </c>
      <c r="D17" s="17">
        <f>0.18*2^0.5</f>
        <v>0.2545584412271571</v>
      </c>
      <c r="E17" s="142">
        <f t="shared" si="6"/>
        <v>0.44730727055796055</v>
      </c>
      <c r="F17" s="18">
        <f t="shared" si="1"/>
        <v>44.730727055796052</v>
      </c>
      <c r="G17" s="33">
        <f t="shared" si="2"/>
        <v>457.59533778079361</v>
      </c>
      <c r="H17" s="16"/>
      <c r="I17" s="130">
        <f t="shared" si="4"/>
        <v>29314.281976015944</v>
      </c>
      <c r="J17" s="8"/>
      <c r="K17" s="8" t="s">
        <v>489</v>
      </c>
      <c r="L17" s="8"/>
      <c r="M17" s="8"/>
      <c r="N17" s="8"/>
      <c r="O17" s="8" t="s">
        <v>472</v>
      </c>
      <c r="P17" s="8">
        <v>0.64</v>
      </c>
      <c r="Q17" s="8">
        <v>0.33</v>
      </c>
      <c r="R17" s="8"/>
      <c r="S17" s="8">
        <v>-8.9226E-2</v>
      </c>
      <c r="T17" s="8">
        <v>1.0712569999999999</v>
      </c>
      <c r="U17" s="8">
        <v>1.7968999999999999E-2</v>
      </c>
      <c r="V17" s="8"/>
      <c r="W17" s="8"/>
      <c r="X17" s="8"/>
      <c r="Y17" s="8"/>
      <c r="Z17" s="8"/>
      <c r="AA17" s="8"/>
      <c r="AB17" s="8"/>
      <c r="AC17" s="8"/>
      <c r="AD17" s="8"/>
    </row>
    <row r="18" spans="1:30" ht="13">
      <c r="A18" s="58"/>
      <c r="B18" s="50">
        <v>15</v>
      </c>
      <c r="C18" s="16" t="s">
        <v>89</v>
      </c>
      <c r="D18" s="17">
        <f>0.18*2^1</f>
        <v>0.36</v>
      </c>
      <c r="E18" s="142">
        <f t="shared" si="6"/>
        <v>0.4845461233571402</v>
      </c>
      <c r="F18" s="18">
        <f t="shared" si="1"/>
        <v>48.454612335714017</v>
      </c>
      <c r="G18" s="33">
        <f t="shared" si="2"/>
        <v>495.69068419435445</v>
      </c>
      <c r="H18" s="16"/>
      <c r="I18" s="130">
        <f t="shared" si="4"/>
        <v>31754.730194210184</v>
      </c>
      <c r="J18" s="8"/>
      <c r="K18" s="8" t="s">
        <v>490</v>
      </c>
      <c r="L18" s="8"/>
      <c r="M18" s="8"/>
      <c r="N18" s="8"/>
      <c r="O18" s="8" t="s">
        <v>474</v>
      </c>
      <c r="P18" s="8">
        <v>0.3</v>
      </c>
      <c r="Q18" s="8">
        <v>0.6</v>
      </c>
      <c r="R18" s="8"/>
      <c r="S18" s="8">
        <v>-3.5353999999999997E-2</v>
      </c>
      <c r="T18" s="8">
        <v>3.8226000000000003E-2</v>
      </c>
      <c r="U18" s="8">
        <v>0.99712800000000001</v>
      </c>
      <c r="V18" s="8"/>
      <c r="W18" s="8"/>
      <c r="X18" s="8"/>
      <c r="Y18" s="8"/>
      <c r="Z18" s="8"/>
      <c r="AA18" s="8"/>
      <c r="AB18" s="8"/>
      <c r="AC18" s="8"/>
      <c r="AD18" s="8"/>
    </row>
    <row r="19" spans="1:30" ht="13">
      <c r="A19" s="58"/>
      <c r="B19" s="50">
        <v>16</v>
      </c>
      <c r="C19" s="16" t="s">
        <v>90</v>
      </c>
      <c r="D19" s="17">
        <f>0.18*2^2</f>
        <v>0.72</v>
      </c>
      <c r="E19" s="142">
        <f t="shared" si="6"/>
        <v>0.55998520163473553</v>
      </c>
      <c r="F19" s="18">
        <f t="shared" si="1"/>
        <v>55.99852016347355</v>
      </c>
      <c r="G19" s="33">
        <f t="shared" si="2"/>
        <v>572.86486127233445</v>
      </c>
      <c r="H19" s="16"/>
      <c r="I19" s="130">
        <f t="shared" si="4"/>
        <v>36698.630189132396</v>
      </c>
      <c r="J19" s="8"/>
      <c r="K19" s="8" t="s">
        <v>491</v>
      </c>
      <c r="L19" s="8"/>
      <c r="M19" s="8"/>
      <c r="N19" s="8"/>
      <c r="O19" s="8" t="s">
        <v>477</v>
      </c>
      <c r="P19" s="8">
        <v>0.15</v>
      </c>
      <c r="Q19" s="8">
        <v>0.06</v>
      </c>
      <c r="R19" s="8"/>
      <c r="S19" s="8"/>
      <c r="T19" s="8"/>
      <c r="U19" s="8"/>
      <c r="V19" s="8"/>
      <c r="W19" s="8"/>
      <c r="X19" s="8"/>
      <c r="Y19" s="8"/>
      <c r="Z19" s="8"/>
      <c r="AA19" s="8"/>
      <c r="AB19" s="8"/>
      <c r="AC19" s="8"/>
      <c r="AD19" s="8"/>
    </row>
    <row r="20" spans="1:30" ht="13">
      <c r="A20" s="58"/>
      <c r="B20" s="82">
        <v>17</v>
      </c>
      <c r="C20" s="73" t="s">
        <v>91</v>
      </c>
      <c r="D20" s="17">
        <f>0.18*2^2.322</f>
        <v>0.90004485786135058</v>
      </c>
      <c r="E20" s="142">
        <f t="shared" si="6"/>
        <v>0.58445831433652684</v>
      </c>
      <c r="F20" s="76">
        <f t="shared" si="1"/>
        <v>58.445831433652685</v>
      </c>
      <c r="G20" s="77">
        <f t="shared" si="2"/>
        <v>597.90085556626696</v>
      </c>
      <c r="H20" s="73" t="s">
        <v>205</v>
      </c>
      <c r="I20" s="130"/>
      <c r="J20" s="8"/>
      <c r="K20" s="8" t="s">
        <v>492</v>
      </c>
      <c r="L20" s="8"/>
      <c r="M20" s="8"/>
      <c r="N20" s="8"/>
      <c r="O20" s="8" t="s">
        <v>479</v>
      </c>
      <c r="P20" s="8">
        <v>0.31269999999999998</v>
      </c>
      <c r="Q20" s="8">
        <v>0.32900000000000001</v>
      </c>
      <c r="R20" s="8"/>
      <c r="S20" s="8"/>
      <c r="T20" s="8"/>
      <c r="U20" s="8"/>
      <c r="V20" s="8"/>
      <c r="W20" s="8"/>
      <c r="X20" s="8"/>
      <c r="Y20" s="8"/>
      <c r="Z20" s="8"/>
      <c r="AA20" s="8"/>
      <c r="AB20" s="8"/>
      <c r="AC20" s="8"/>
      <c r="AD20" s="8"/>
    </row>
    <row r="21" spans="1:30" ht="13">
      <c r="A21" s="58"/>
      <c r="B21" s="50">
        <v>18</v>
      </c>
      <c r="C21" s="16" t="s">
        <v>92</v>
      </c>
      <c r="D21" s="17">
        <f>0.18*2^3</f>
        <v>1.44</v>
      </c>
      <c r="E21" s="142">
        <f t="shared" si="6"/>
        <v>0.63617171645677539</v>
      </c>
      <c r="F21" s="18">
        <f t="shared" si="1"/>
        <v>63.617171645677537</v>
      </c>
      <c r="G21" s="33">
        <f t="shared" si="2"/>
        <v>650.80366593528117</v>
      </c>
      <c r="H21" s="16"/>
      <c r="I21" s="130">
        <f t="shared" si="4"/>
        <v>41691.513437994778</v>
      </c>
      <c r="J21" s="8"/>
      <c r="K21" s="8" t="s">
        <v>493</v>
      </c>
      <c r="L21" s="8"/>
      <c r="M21" s="8"/>
      <c r="N21" s="8"/>
      <c r="O21" s="8"/>
      <c r="P21" s="8"/>
      <c r="Q21" s="8"/>
      <c r="R21" s="8"/>
      <c r="S21" s="8"/>
      <c r="T21" s="8"/>
      <c r="U21" s="8"/>
      <c r="V21" s="8"/>
      <c r="W21" s="8"/>
      <c r="X21" s="8"/>
      <c r="Y21" s="8"/>
      <c r="Z21" s="8"/>
      <c r="AA21" s="8"/>
      <c r="AB21" s="8"/>
      <c r="AC21" s="8"/>
      <c r="AD21" s="8"/>
    </row>
    <row r="22" spans="1:30" ht="13">
      <c r="A22" s="58"/>
      <c r="B22" s="50">
        <v>19</v>
      </c>
      <c r="C22" s="16" t="s">
        <v>93</v>
      </c>
      <c r="D22" s="17">
        <f>0.18*2^4</f>
        <v>2.88</v>
      </c>
      <c r="E22" s="142">
        <f t="shared" si="6"/>
        <v>0.71273775095960168</v>
      </c>
      <c r="F22" s="18">
        <f t="shared" si="1"/>
        <v>71.273775095960161</v>
      </c>
      <c r="G22" s="33">
        <f t="shared" si="2"/>
        <v>729.13071923167251</v>
      </c>
      <c r="H22" s="16"/>
      <c r="I22" s="130">
        <f t="shared" si="4"/>
        <v>46709.268509137495</v>
      </c>
      <c r="J22" s="8"/>
      <c r="K22" s="8"/>
      <c r="L22" s="8"/>
      <c r="M22" s="8"/>
      <c r="N22" s="8"/>
      <c r="O22" s="8" t="s">
        <v>494</v>
      </c>
      <c r="P22" s="8" t="s">
        <v>133</v>
      </c>
      <c r="Q22" s="8" t="s">
        <v>470</v>
      </c>
      <c r="R22" s="8"/>
      <c r="S22" s="8"/>
      <c r="T22" s="8"/>
      <c r="U22" s="8"/>
      <c r="V22" s="8"/>
      <c r="W22" s="8"/>
      <c r="X22" s="8"/>
      <c r="Y22" s="8"/>
      <c r="Z22" s="8"/>
      <c r="AA22" s="8"/>
      <c r="AB22" s="8"/>
      <c r="AC22" s="8"/>
      <c r="AD22" s="8"/>
    </row>
    <row r="23" spans="1:30" ht="13">
      <c r="A23" s="58"/>
      <c r="B23" s="50">
        <v>20</v>
      </c>
      <c r="C23" s="16" t="s">
        <v>94</v>
      </c>
      <c r="D23" s="17">
        <f>0.18*2^5</f>
        <v>5.76</v>
      </c>
      <c r="E23" s="142">
        <f t="shared" si="6"/>
        <v>0.78949502296291207</v>
      </c>
      <c r="F23" s="18">
        <f t="shared" si="1"/>
        <v>78.9495022962912</v>
      </c>
      <c r="G23" s="33">
        <f t="shared" si="2"/>
        <v>807.65340849105905</v>
      </c>
      <c r="H23" s="16" t="s">
        <v>495</v>
      </c>
      <c r="I23" s="130">
        <f t="shared" si="4"/>
        <v>51739.556329874446</v>
      </c>
      <c r="J23" s="8"/>
      <c r="K23" s="8"/>
      <c r="L23" s="8"/>
      <c r="M23" s="8"/>
      <c r="N23" s="8"/>
      <c r="O23" s="8" t="s">
        <v>472</v>
      </c>
      <c r="P23" s="8">
        <v>0.73470000000000002</v>
      </c>
      <c r="Q23" s="8">
        <v>0.26529999999999998</v>
      </c>
      <c r="R23" s="8"/>
      <c r="S23" s="8"/>
      <c r="T23" s="8"/>
      <c r="U23" s="8"/>
      <c r="V23" s="8"/>
      <c r="W23" s="8"/>
      <c r="X23" s="8"/>
      <c r="Y23" s="8"/>
      <c r="Z23" s="8"/>
      <c r="AA23" s="8"/>
      <c r="AB23" s="8"/>
      <c r="AC23" s="8"/>
      <c r="AD23" s="8"/>
    </row>
    <row r="24" spans="1:30" ht="13">
      <c r="A24" s="58"/>
      <c r="B24" s="50">
        <v>21</v>
      </c>
      <c r="C24" s="16" t="s">
        <v>95</v>
      </c>
      <c r="D24" s="17">
        <f>0.18*2^6</f>
        <v>11.52</v>
      </c>
      <c r="E24" s="142">
        <f t="shared" si="6"/>
        <v>0.86634828661622587</v>
      </c>
      <c r="F24" s="18">
        <f t="shared" si="1"/>
        <v>86.634828661622592</v>
      </c>
      <c r="G24" s="33">
        <f t="shared" si="2"/>
        <v>886.27429720839905</v>
      </c>
      <c r="H24" s="5" t="s">
        <v>496</v>
      </c>
      <c r="I24" s="130">
        <f t="shared" si="4"/>
        <v>56776.134963394361</v>
      </c>
      <c r="J24" s="8"/>
      <c r="K24" s="8"/>
      <c r="L24" s="8"/>
      <c r="M24" s="8"/>
      <c r="N24" s="8"/>
      <c r="O24" s="8" t="s">
        <v>474</v>
      </c>
      <c r="P24" s="8">
        <v>0</v>
      </c>
      <c r="Q24" s="8">
        <v>1</v>
      </c>
      <c r="R24" s="8"/>
      <c r="S24" s="8"/>
      <c r="T24" s="8"/>
      <c r="U24" s="8"/>
      <c r="V24" s="8"/>
      <c r="W24" s="8"/>
      <c r="X24" s="8"/>
      <c r="Y24" s="8"/>
      <c r="Z24" s="8"/>
      <c r="AA24" s="8"/>
      <c r="AB24" s="8"/>
      <c r="AC24" s="8"/>
      <c r="AD24" s="8"/>
    </row>
    <row r="25" spans="1:30" ht="13">
      <c r="A25" s="58"/>
      <c r="B25" s="50">
        <v>22</v>
      </c>
      <c r="C25" s="181" t="s">
        <v>96</v>
      </c>
      <c r="D25" s="17">
        <f>0.18*2^7</f>
        <v>23.04</v>
      </c>
      <c r="E25" s="142">
        <f t="shared" si="6"/>
        <v>0.94324963975962572</v>
      </c>
      <c r="F25" s="139">
        <f t="shared" si="1"/>
        <v>94.324963975962575</v>
      </c>
      <c r="G25" s="140">
        <f t="shared" si="2"/>
        <v>964.9443814740971</v>
      </c>
      <c r="H25" s="181" t="s">
        <v>497</v>
      </c>
      <c r="I25" s="130">
        <f t="shared" si="4"/>
        <v>61815.865141647075</v>
      </c>
      <c r="J25" s="8"/>
      <c r="K25" s="8"/>
      <c r="L25" s="8"/>
      <c r="M25" s="8"/>
      <c r="N25" s="8"/>
      <c r="O25" s="8" t="s">
        <v>477</v>
      </c>
      <c r="P25" s="8">
        <v>1E-4</v>
      </c>
      <c r="Q25" s="8">
        <v>-7.6999999999999999E-2</v>
      </c>
      <c r="R25" s="8"/>
      <c r="S25" s="8"/>
      <c r="T25" s="8"/>
      <c r="U25" s="8"/>
      <c r="V25" s="8"/>
      <c r="W25" s="8"/>
      <c r="X25" s="8"/>
      <c r="Y25" s="8"/>
      <c r="Z25" s="8"/>
      <c r="AA25" s="8"/>
      <c r="AB25" s="8"/>
      <c r="AC25" s="8"/>
      <c r="AD25" s="8"/>
    </row>
    <row r="26" spans="1:30" ht="13">
      <c r="A26" s="58"/>
      <c r="B26" s="180">
        <v>23</v>
      </c>
      <c r="C26" s="182" t="s">
        <v>810</v>
      </c>
      <c r="D26" s="183">
        <f>0.18*2^7.7377519</f>
        <v>38.420934690248863</v>
      </c>
      <c r="E26" s="142">
        <f t="shared" si="6"/>
        <v>1.0000000010198378</v>
      </c>
      <c r="F26" s="142">
        <f>E26*100</f>
        <v>100.00000010198377</v>
      </c>
      <c r="G26" s="142">
        <f>E26*1023</f>
        <v>1023.000001043294</v>
      </c>
      <c r="H26" s="142"/>
      <c r="I26" s="130">
        <f t="shared" si="4"/>
        <v>65535.000066835069</v>
      </c>
      <c r="J26" s="8"/>
      <c r="K26" s="8"/>
      <c r="L26" s="8"/>
      <c r="M26" s="8"/>
      <c r="N26" s="8"/>
      <c r="O26" s="8" t="s">
        <v>498</v>
      </c>
      <c r="P26" s="8">
        <v>0.33267999999999998</v>
      </c>
      <c r="Q26" s="8">
        <v>0.33767000000000003</v>
      </c>
      <c r="R26" s="8"/>
      <c r="S26" s="8"/>
      <c r="T26" s="8"/>
      <c r="U26" s="8"/>
      <c r="V26" s="8"/>
      <c r="W26" s="8"/>
      <c r="X26" s="8"/>
      <c r="Y26" s="8"/>
      <c r="Z26" s="8"/>
      <c r="AA26" s="8"/>
      <c r="AB26" s="8"/>
      <c r="AC26" s="8"/>
      <c r="AD26" s="8"/>
    </row>
    <row r="27" spans="1:30" ht="13">
      <c r="A27" s="58"/>
      <c r="B27" s="50">
        <v>24</v>
      </c>
      <c r="C27" s="16" t="s">
        <v>97</v>
      </c>
      <c r="D27" s="17">
        <f>0.18*2^8</f>
        <v>46.08</v>
      </c>
      <c r="E27" s="56">
        <v>1.0201750611196401</v>
      </c>
      <c r="F27" s="18">
        <f>E27*100</f>
        <v>102.01750611196401</v>
      </c>
      <c r="G27" s="33">
        <f>E27*1023</f>
        <v>1043.6390875253917</v>
      </c>
      <c r="H27" s="56"/>
      <c r="I27" s="8"/>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468</v>
      </c>
      <c r="D29" s="173" t="s">
        <v>142</v>
      </c>
      <c r="E29" s="166"/>
      <c r="F29" s="166"/>
      <c r="G29" s="167"/>
      <c r="H29" s="41" t="s">
        <v>228</v>
      </c>
      <c r="I29" s="8"/>
      <c r="J29" s="8"/>
      <c r="K29" s="8"/>
      <c r="L29" s="8"/>
      <c r="M29" s="8"/>
      <c r="N29" s="8"/>
      <c r="O29" s="8"/>
      <c r="P29" s="8"/>
      <c r="Q29" s="8"/>
      <c r="R29" s="8"/>
      <c r="S29" s="8"/>
      <c r="T29" s="8"/>
      <c r="U29" s="8"/>
      <c r="V29" s="8"/>
      <c r="W29" s="8"/>
      <c r="X29" s="8"/>
      <c r="Y29" s="8"/>
      <c r="Z29" s="8"/>
      <c r="AA29" s="8"/>
      <c r="AB29" s="8"/>
      <c r="AC29" s="8"/>
      <c r="AD29" s="8"/>
    </row>
    <row r="30" spans="1:30" ht="42">
      <c r="A30" s="8"/>
      <c r="B30" s="41" t="s">
        <v>58</v>
      </c>
      <c r="C30" s="41" t="s">
        <v>59</v>
      </c>
      <c r="D30" s="41" t="s">
        <v>143</v>
      </c>
      <c r="E30" s="83" t="s">
        <v>144</v>
      </c>
      <c r="F30" s="83" t="s">
        <v>145</v>
      </c>
      <c r="G30" s="83" t="s">
        <v>146</v>
      </c>
      <c r="H30" s="43"/>
      <c r="I30" s="127" t="s">
        <v>756</v>
      </c>
      <c r="J30" s="8"/>
      <c r="K30" s="8"/>
      <c r="L30" s="8"/>
      <c r="M30" s="8"/>
      <c r="N30" s="8"/>
      <c r="O30" s="8" t="s">
        <v>499</v>
      </c>
      <c r="P30" s="8"/>
      <c r="Q30" s="8"/>
      <c r="R30" s="8"/>
      <c r="S30" s="8"/>
      <c r="T30" s="8"/>
      <c r="U30" s="8"/>
      <c r="V30" s="8"/>
      <c r="W30" s="8"/>
      <c r="X30" s="8"/>
      <c r="Y30" s="8"/>
      <c r="Z30" s="8"/>
      <c r="AA30" s="8"/>
      <c r="AB30" s="8"/>
      <c r="AC30" s="8"/>
      <c r="AD30" s="8"/>
    </row>
    <row r="31" spans="1:30" ht="15">
      <c r="A31" s="58"/>
      <c r="B31" s="69">
        <v>1</v>
      </c>
      <c r="C31" s="43" t="s">
        <v>229</v>
      </c>
      <c r="D31" s="17">
        <f>0.18*2^-8</f>
        <v>7.0312499999999997E-4</v>
      </c>
      <c r="E31" s="142">
        <f t="shared" ref="E31:E55" si="7">(D31*(171.2102946929-95)/0.01125+95)/1023</f>
        <v>9.7520179294532008E-2</v>
      </c>
      <c r="F31" s="71">
        <f t="shared" ref="F31:F191" si="8">E31*100</f>
        <v>9.752017929453201</v>
      </c>
      <c r="G31" s="84">
        <f t="shared" ref="G31:G191" si="9">E31*1023</f>
        <v>99.763143418306242</v>
      </c>
      <c r="H31" s="43"/>
      <c r="I31" s="8">
        <f>E31*(2^16-1)</f>
        <v>6390.9849500671553</v>
      </c>
      <c r="J31" s="8"/>
      <c r="K31" s="8"/>
      <c r="L31" s="8"/>
      <c r="M31" s="8"/>
      <c r="N31" s="8"/>
      <c r="O31" s="8"/>
      <c r="P31" s="8"/>
      <c r="Q31" s="8"/>
      <c r="R31" s="8"/>
      <c r="S31" s="8"/>
      <c r="T31" s="8"/>
      <c r="U31" s="8"/>
      <c r="V31" s="8"/>
      <c r="W31" s="8"/>
      <c r="X31" s="8"/>
      <c r="Y31" s="8"/>
      <c r="Z31" s="8"/>
      <c r="AA31" s="8"/>
      <c r="AB31" s="8"/>
      <c r="AC31" s="8"/>
      <c r="AD31" s="8"/>
    </row>
    <row r="32" spans="1:30" ht="15">
      <c r="A32" s="58"/>
      <c r="B32" s="69">
        <v>2</v>
      </c>
      <c r="C32" s="43" t="s">
        <v>230</v>
      </c>
      <c r="D32" s="17">
        <f>0.18*2^-7.9</f>
        <v>7.5359071584583123E-4</v>
      </c>
      <c r="E32" s="142">
        <f t="shared" si="7"/>
        <v>9.7854360424237577E-2</v>
      </c>
      <c r="F32" s="71">
        <f t="shared" si="8"/>
        <v>9.7854360424237576</v>
      </c>
      <c r="G32" s="84">
        <f t="shared" si="9"/>
        <v>100.10501071399504</v>
      </c>
      <c r="H32" s="43"/>
      <c r="I32" s="8">
        <f t="shared" ref="I32:I95" si="10">E32*(2^16-1)</f>
        <v>6412.8855104024096</v>
      </c>
      <c r="J32" s="8"/>
      <c r="K32" s="8"/>
      <c r="L32" s="8"/>
      <c r="M32" s="8"/>
      <c r="N32" s="8"/>
      <c r="O32" s="8"/>
      <c r="P32" s="8"/>
      <c r="Q32" s="8"/>
      <c r="R32" s="8"/>
      <c r="S32" s="8"/>
      <c r="T32" s="8"/>
      <c r="U32" s="8"/>
      <c r="V32" s="8"/>
      <c r="W32" s="8"/>
      <c r="X32" s="8"/>
      <c r="Y32" s="8"/>
      <c r="Z32" s="8"/>
      <c r="AA32" s="8"/>
      <c r="AB32" s="8"/>
      <c r="AC32" s="8"/>
      <c r="AD32" s="8"/>
    </row>
    <row r="33" spans="1:30" ht="15">
      <c r="A33" s="58"/>
      <c r="B33" s="69">
        <v>3</v>
      </c>
      <c r="C33" s="43" t="s">
        <v>231</v>
      </c>
      <c r="D33" s="17">
        <f>0.18*2^-7.8</f>
        <v>8.0767853085729024E-4</v>
      </c>
      <c r="E33" s="142">
        <f t="shared" si="7"/>
        <v>9.821252689073641E-2</v>
      </c>
      <c r="F33" s="71">
        <f t="shared" si="8"/>
        <v>9.8212526890736402</v>
      </c>
      <c r="G33" s="84">
        <f t="shared" si="9"/>
        <v>100.47141500922335</v>
      </c>
      <c r="H33" s="43"/>
      <c r="I33" s="8">
        <f t="shared" si="10"/>
        <v>6436.3579497844103</v>
      </c>
      <c r="J33" s="8"/>
      <c r="K33" s="8"/>
      <c r="L33" s="8"/>
      <c r="M33" s="8"/>
      <c r="N33" s="8"/>
      <c r="O33" s="8"/>
      <c r="P33" s="8"/>
      <c r="Q33" s="8"/>
      <c r="R33" s="8"/>
      <c r="S33" s="8"/>
      <c r="T33" s="8"/>
      <c r="U33" s="8"/>
      <c r="V33" s="8"/>
      <c r="W33" s="8"/>
      <c r="X33" s="8"/>
      <c r="Y33" s="8"/>
      <c r="Z33" s="8"/>
      <c r="AA33" s="8"/>
      <c r="AB33" s="8"/>
      <c r="AC33" s="8"/>
      <c r="AD33" s="8"/>
    </row>
    <row r="34" spans="1:30" ht="15">
      <c r="A34" s="58"/>
      <c r="B34" s="69">
        <v>4</v>
      </c>
      <c r="C34" s="43" t="s">
        <v>232</v>
      </c>
      <c r="D34" s="17">
        <f>0.18*2^-7.7</f>
        <v>8.6564841563314444E-4</v>
      </c>
      <c r="E34" s="142">
        <f t="shared" si="7"/>
        <v>9.8596400204700244E-2</v>
      </c>
      <c r="F34" s="71">
        <f t="shared" si="8"/>
        <v>9.8596400204700245</v>
      </c>
      <c r="G34" s="84">
        <f t="shared" si="9"/>
        <v>100.86411740940835</v>
      </c>
      <c r="H34" s="43"/>
      <c r="I34" s="8">
        <f t="shared" si="10"/>
        <v>6461.5150874150304</v>
      </c>
      <c r="J34" s="8"/>
      <c r="K34" s="8"/>
      <c r="L34" s="8"/>
      <c r="M34" s="8"/>
      <c r="N34" s="8"/>
      <c r="O34" s="8"/>
      <c r="P34" s="8"/>
      <c r="Q34" s="8"/>
      <c r="R34" s="8"/>
      <c r="S34" s="8"/>
      <c r="T34" s="8"/>
      <c r="U34" s="8"/>
      <c r="V34" s="8"/>
      <c r="W34" s="8"/>
      <c r="X34" s="8"/>
      <c r="Y34" s="8"/>
      <c r="Z34" s="8"/>
      <c r="AA34" s="8"/>
      <c r="AB34" s="8"/>
      <c r="AC34" s="8"/>
      <c r="AD34" s="8"/>
    </row>
    <row r="35" spans="1:30" ht="15">
      <c r="A35" s="58"/>
      <c r="B35" s="69">
        <v>5</v>
      </c>
      <c r="C35" s="43" t="s">
        <v>233</v>
      </c>
      <c r="D35" s="17">
        <f>0.18*2^-7.6</f>
        <v>9.2777899976219152E-4</v>
      </c>
      <c r="E35" s="142">
        <f t="shared" si="7"/>
        <v>9.9007825435582536E-2</v>
      </c>
      <c r="F35" s="71">
        <f t="shared" si="8"/>
        <v>9.9007825435582539</v>
      </c>
      <c r="G35" s="84">
        <f t="shared" si="9"/>
        <v>101.28500542060094</v>
      </c>
      <c r="H35" s="43"/>
      <c r="I35" s="8">
        <f t="shared" si="10"/>
        <v>6488.4778399209017</v>
      </c>
      <c r="J35" s="8"/>
      <c r="K35" s="8"/>
      <c r="L35" s="8"/>
      <c r="M35" s="8"/>
      <c r="N35" s="8"/>
      <c r="O35" s="8"/>
      <c r="P35" s="8"/>
      <c r="Q35" s="8"/>
      <c r="R35" s="8"/>
      <c r="S35" s="8"/>
      <c r="T35" s="8"/>
      <c r="U35" s="8"/>
      <c r="V35" s="8"/>
      <c r="W35" s="8"/>
      <c r="X35" s="8"/>
      <c r="Y35" s="8"/>
      <c r="Z35" s="8"/>
      <c r="AA35" s="8"/>
      <c r="AB35" s="8"/>
      <c r="AC35" s="8"/>
      <c r="AD35" s="8"/>
    </row>
    <row r="36" spans="1:30" ht="15">
      <c r="A36" s="58"/>
      <c r="B36" s="69">
        <v>6</v>
      </c>
      <c r="C36" s="43" t="s">
        <v>234</v>
      </c>
      <c r="D36" s="17">
        <f>0.18*2^-7.5</f>
        <v>9.9436891104358262E-4</v>
      </c>
      <c r="E36" s="142">
        <f t="shared" si="7"/>
        <v>9.944878007986005E-2</v>
      </c>
      <c r="F36" s="71">
        <f t="shared" si="8"/>
        <v>9.9448780079860057</v>
      </c>
      <c r="G36" s="84">
        <f t="shared" si="9"/>
        <v>101.73610202169684</v>
      </c>
      <c r="H36" s="43"/>
      <c r="I36" s="8">
        <f t="shared" si="10"/>
        <v>6517.3758025336283</v>
      </c>
      <c r="J36" s="8"/>
      <c r="K36" s="8"/>
      <c r="L36" s="8"/>
      <c r="M36" s="8"/>
      <c r="N36" s="8"/>
      <c r="O36" s="8"/>
      <c r="P36" s="8"/>
      <c r="Q36" s="8"/>
      <c r="R36" s="8"/>
      <c r="S36" s="8"/>
      <c r="T36" s="8"/>
      <c r="U36" s="8"/>
      <c r="V36" s="8"/>
      <c r="W36" s="8"/>
      <c r="X36" s="8"/>
      <c r="Y36" s="8"/>
      <c r="Z36" s="8"/>
      <c r="AA36" s="8"/>
      <c r="AB36" s="8"/>
      <c r="AC36" s="8"/>
      <c r="AD36" s="8"/>
    </row>
    <row r="37" spans="1:30" ht="15">
      <c r="A37" s="58"/>
      <c r="B37" s="69">
        <v>7</v>
      </c>
      <c r="C37" s="43" t="s">
        <v>235</v>
      </c>
      <c r="D37" s="17">
        <f>0.18*2^-7.4</f>
        <v>1.0657382108276239E-3</v>
      </c>
      <c r="E37" s="142">
        <f t="shared" si="7"/>
        <v>9.9921383565778843E-2</v>
      </c>
      <c r="F37" s="71">
        <f t="shared" si="8"/>
        <v>9.9921383565778843</v>
      </c>
      <c r="G37" s="84">
        <f t="shared" si="9"/>
        <v>102.21957538779175</v>
      </c>
      <c r="H37" s="43"/>
      <c r="I37" s="8">
        <f t="shared" si="10"/>
        <v>6548.3478719833165</v>
      </c>
      <c r="J37" s="8"/>
      <c r="K37" s="8"/>
      <c r="L37" s="8"/>
      <c r="M37" s="8"/>
      <c r="N37" s="8"/>
      <c r="O37" s="8"/>
      <c r="P37" s="8"/>
      <c r="Q37" s="8"/>
      <c r="R37" s="8"/>
      <c r="S37" s="8"/>
      <c r="T37" s="8"/>
      <c r="U37" s="8"/>
      <c r="V37" s="8"/>
      <c r="W37" s="8"/>
      <c r="X37" s="8"/>
      <c r="Y37" s="8"/>
      <c r="Z37" s="8"/>
      <c r="AA37" s="8"/>
      <c r="AB37" s="8"/>
      <c r="AC37" s="8"/>
      <c r="AD37" s="8"/>
    </row>
    <row r="38" spans="1:30" ht="15">
      <c r="A38" s="58"/>
      <c r="B38" s="69">
        <v>8</v>
      </c>
      <c r="C38" s="43" t="s">
        <v>236</v>
      </c>
      <c r="D38" s="17">
        <f>0.18*2^-7.3</f>
        <v>1.1422299323759564E-3</v>
      </c>
      <c r="E38" s="142">
        <f t="shared" si="7"/>
        <v>0.10042790744028873</v>
      </c>
      <c r="F38" s="71">
        <f t="shared" si="8"/>
        <v>10.042790744028874</v>
      </c>
      <c r="G38" s="84">
        <f t="shared" si="9"/>
        <v>102.73774931141537</v>
      </c>
      <c r="H38" s="43"/>
      <c r="I38" s="8">
        <f t="shared" si="10"/>
        <v>6581.5429140993219</v>
      </c>
      <c r="J38" s="8"/>
      <c r="K38" s="8"/>
      <c r="L38" s="8"/>
      <c r="M38" s="8"/>
      <c r="N38" s="8"/>
      <c r="O38" s="8"/>
      <c r="P38" s="8"/>
      <c r="Q38" s="8"/>
      <c r="R38" s="8"/>
      <c r="S38" s="8"/>
      <c r="T38" s="8"/>
      <c r="U38" s="8"/>
      <c r="V38" s="8"/>
      <c r="W38" s="8"/>
      <c r="X38" s="8"/>
      <c r="Y38" s="8"/>
      <c r="Z38" s="8"/>
      <c r="AA38" s="8"/>
      <c r="AB38" s="8"/>
      <c r="AC38" s="8"/>
      <c r="AD38" s="8"/>
    </row>
    <row r="39" spans="1:30" ht="15">
      <c r="A39" s="58"/>
      <c r="B39" s="69">
        <v>9</v>
      </c>
      <c r="C39" s="43" t="s">
        <v>237</v>
      </c>
      <c r="D39" s="17">
        <f>0.18*2^-7.2</f>
        <v>1.224211729635175E-3</v>
      </c>
      <c r="E39" s="142">
        <f t="shared" si="7"/>
        <v>0.10097078628712949</v>
      </c>
      <c r="F39" s="71">
        <f t="shared" si="8"/>
        <v>10.09707862871295</v>
      </c>
      <c r="G39" s="84">
        <f t="shared" si="9"/>
        <v>103.29311437173347</v>
      </c>
      <c r="H39" s="43"/>
      <c r="I39" s="8">
        <f t="shared" si="10"/>
        <v>6617.1204793270317</v>
      </c>
      <c r="J39" s="8"/>
      <c r="K39" s="8"/>
      <c r="L39" s="8"/>
      <c r="M39" s="8"/>
      <c r="N39" s="8"/>
      <c r="O39" s="8"/>
      <c r="P39" s="8"/>
      <c r="Q39" s="8"/>
      <c r="R39" s="8"/>
      <c r="S39" s="8"/>
      <c r="T39" s="8"/>
      <c r="U39" s="8"/>
      <c r="V39" s="8"/>
      <c r="W39" s="8"/>
      <c r="X39" s="8"/>
      <c r="Y39" s="8"/>
      <c r="Z39" s="8"/>
      <c r="AA39" s="8"/>
      <c r="AB39" s="8"/>
      <c r="AC39" s="8"/>
      <c r="AD39" s="8"/>
    </row>
    <row r="40" spans="1:30" ht="15">
      <c r="A40" s="58"/>
      <c r="B40" s="69">
        <v>10</v>
      </c>
      <c r="C40" s="43" t="s">
        <v>238</v>
      </c>
      <c r="D40" s="17">
        <f>0.18*2^-7.1</f>
        <v>1.3120776443486357E-3</v>
      </c>
      <c r="E40" s="142">
        <f t="shared" si="7"/>
        <v>0.10155262942854572</v>
      </c>
      <c r="F40" s="71">
        <f t="shared" si="8"/>
        <v>10.155262942854572</v>
      </c>
      <c r="G40" s="84">
        <f t="shared" si="9"/>
        <v>103.88833990540228</v>
      </c>
      <c r="H40" s="43"/>
      <c r="I40" s="8">
        <f t="shared" si="10"/>
        <v>6655.2515695997436</v>
      </c>
      <c r="J40" s="8"/>
      <c r="K40" s="8"/>
      <c r="L40" s="8"/>
      <c r="M40" s="8"/>
      <c r="N40" s="8"/>
      <c r="O40" s="8"/>
      <c r="P40" s="8"/>
      <c r="Q40" s="8"/>
      <c r="R40" s="8"/>
      <c r="S40" s="8"/>
      <c r="T40" s="8"/>
      <c r="U40" s="8"/>
      <c r="V40" s="8"/>
      <c r="W40" s="8"/>
      <c r="X40" s="8"/>
      <c r="Y40" s="8"/>
      <c r="Z40" s="8"/>
      <c r="AA40" s="8"/>
      <c r="AB40" s="8"/>
      <c r="AC40" s="8"/>
      <c r="AD40" s="8"/>
    </row>
    <row r="41" spans="1:30" ht="15">
      <c r="A41" s="58"/>
      <c r="B41" s="69">
        <v>11</v>
      </c>
      <c r="C41" s="43" t="s">
        <v>239</v>
      </c>
      <c r="D41" s="17">
        <f>0.18*2^-7</f>
        <v>1.4062499999999999E-3</v>
      </c>
      <c r="E41" s="142">
        <f t="shared" si="7"/>
        <v>0.10217623346687439</v>
      </c>
      <c r="F41" s="71">
        <f t="shared" si="8"/>
        <v>10.217623346687439</v>
      </c>
      <c r="G41" s="84">
        <f t="shared" si="9"/>
        <v>104.5262868366125</v>
      </c>
      <c r="H41" s="43"/>
      <c r="I41" s="8">
        <f t="shared" si="10"/>
        <v>6696.1194602516134</v>
      </c>
      <c r="J41" s="8"/>
      <c r="K41" s="8"/>
      <c r="L41" s="8"/>
      <c r="M41" s="8"/>
      <c r="N41" s="8"/>
      <c r="O41" s="8"/>
      <c r="P41" s="8"/>
      <c r="Q41" s="8"/>
      <c r="R41" s="8"/>
      <c r="S41" s="8"/>
      <c r="T41" s="8"/>
      <c r="U41" s="8"/>
      <c r="V41" s="8"/>
      <c r="W41" s="8"/>
      <c r="X41" s="8"/>
      <c r="Y41" s="8"/>
      <c r="Z41" s="8"/>
      <c r="AA41" s="8"/>
      <c r="AB41" s="8"/>
      <c r="AC41" s="8"/>
      <c r="AD41" s="8"/>
    </row>
    <row r="42" spans="1:30" ht="15">
      <c r="A42" s="58"/>
      <c r="B42" s="69">
        <v>12</v>
      </c>
      <c r="C42" s="43" t="s">
        <v>240</v>
      </c>
      <c r="D42" s="17">
        <f>0.18*2^-6.9</f>
        <v>1.5071814316916625E-3</v>
      </c>
      <c r="E42" s="142">
        <f t="shared" si="7"/>
        <v>0.10284459572628551</v>
      </c>
      <c r="F42" s="71">
        <f t="shared" si="8"/>
        <v>10.284459572628551</v>
      </c>
      <c r="G42" s="84">
        <f t="shared" si="9"/>
        <v>105.21002142799009</v>
      </c>
      <c r="H42" s="43"/>
      <c r="I42" s="8">
        <f t="shared" si="10"/>
        <v>6739.9205809221212</v>
      </c>
      <c r="J42" s="8"/>
      <c r="K42" s="8"/>
      <c r="L42" s="8"/>
      <c r="M42" s="8"/>
      <c r="N42" s="8"/>
      <c r="O42" s="8"/>
      <c r="P42" s="8"/>
      <c r="Q42" s="8"/>
      <c r="R42" s="8"/>
      <c r="S42" s="8"/>
      <c r="T42" s="8"/>
      <c r="U42" s="8"/>
      <c r="V42" s="8"/>
      <c r="W42" s="8"/>
      <c r="X42" s="8"/>
      <c r="Y42" s="8"/>
      <c r="Z42" s="8"/>
      <c r="AA42" s="8"/>
      <c r="AB42" s="8"/>
      <c r="AC42" s="8"/>
      <c r="AD42" s="8"/>
    </row>
    <row r="43" spans="1:30" ht="15">
      <c r="A43" s="58"/>
      <c r="B43" s="69">
        <v>13</v>
      </c>
      <c r="C43" s="43" t="s">
        <v>241</v>
      </c>
      <c r="D43" s="17">
        <f>0.18*2^-6.8</f>
        <v>1.6153570617145809E-3</v>
      </c>
      <c r="E43" s="142">
        <f t="shared" si="7"/>
        <v>0.10356092865928317</v>
      </c>
      <c r="F43" s="71">
        <f t="shared" si="8"/>
        <v>10.356092865928316</v>
      </c>
      <c r="G43" s="84">
        <f t="shared" si="9"/>
        <v>105.94283001844668</v>
      </c>
      <c r="H43" s="43"/>
      <c r="I43" s="8">
        <f t="shared" si="10"/>
        <v>6786.8654596861224</v>
      </c>
      <c r="J43" s="8"/>
      <c r="K43" s="8"/>
      <c r="L43" s="8"/>
      <c r="M43" s="8"/>
      <c r="N43" s="8"/>
      <c r="O43" s="8"/>
      <c r="P43" s="8"/>
      <c r="Q43" s="8"/>
      <c r="R43" s="8"/>
      <c r="S43" s="8"/>
      <c r="T43" s="8"/>
      <c r="U43" s="8"/>
      <c r="V43" s="8"/>
      <c r="W43" s="8"/>
      <c r="X43" s="8"/>
      <c r="Y43" s="8"/>
      <c r="Z43" s="8"/>
      <c r="AA43" s="8"/>
      <c r="AB43" s="8"/>
      <c r="AC43" s="8"/>
      <c r="AD43" s="8"/>
    </row>
    <row r="44" spans="1:30" ht="15">
      <c r="A44" s="58"/>
      <c r="B44" s="69">
        <v>14</v>
      </c>
      <c r="C44" s="43" t="s">
        <v>242</v>
      </c>
      <c r="D44" s="17">
        <f>0.18*2^-6.7</f>
        <v>1.7312968312662891E-3</v>
      </c>
      <c r="E44" s="142">
        <f t="shared" si="7"/>
        <v>0.10432867528721085</v>
      </c>
      <c r="F44" s="71">
        <f t="shared" si="8"/>
        <v>10.432867528721085</v>
      </c>
      <c r="G44" s="84">
        <f t="shared" si="9"/>
        <v>106.7282348188167</v>
      </c>
      <c r="H44" s="43"/>
      <c r="I44" s="8">
        <f t="shared" si="10"/>
        <v>6837.1797349473627</v>
      </c>
      <c r="J44" s="8"/>
      <c r="K44" s="8"/>
      <c r="L44" s="8"/>
      <c r="M44" s="8"/>
      <c r="N44" s="8"/>
      <c r="O44" s="8"/>
      <c r="P44" s="8"/>
      <c r="Q44" s="8"/>
      <c r="R44" s="8"/>
      <c r="S44" s="8"/>
      <c r="T44" s="8"/>
      <c r="U44" s="8"/>
      <c r="V44" s="8"/>
      <c r="W44" s="8"/>
      <c r="X44" s="8"/>
      <c r="Y44" s="8"/>
      <c r="Z44" s="8"/>
      <c r="AA44" s="8"/>
      <c r="AB44" s="8"/>
      <c r="AC44" s="8"/>
      <c r="AD44" s="8"/>
    </row>
    <row r="45" spans="1:30" ht="15">
      <c r="A45" s="58"/>
      <c r="B45" s="69">
        <v>15</v>
      </c>
      <c r="C45" s="43" t="s">
        <v>243</v>
      </c>
      <c r="D45" s="17">
        <f>0.18*2^-6.6</f>
        <v>1.855557999524383E-3</v>
      </c>
      <c r="E45" s="142">
        <f t="shared" si="7"/>
        <v>0.10515152574897546</v>
      </c>
      <c r="F45" s="71">
        <f t="shared" si="8"/>
        <v>10.515152574897545</v>
      </c>
      <c r="G45" s="84">
        <f t="shared" si="9"/>
        <v>107.57001084120189</v>
      </c>
      <c r="H45" s="43"/>
      <c r="I45" s="8">
        <f t="shared" si="10"/>
        <v>6891.1052399591072</v>
      </c>
      <c r="J45" s="8"/>
      <c r="K45" s="8"/>
      <c r="L45" s="8"/>
      <c r="M45" s="8"/>
      <c r="N45" s="8"/>
      <c r="O45" s="8"/>
      <c r="P45" s="8"/>
      <c r="Q45" s="8"/>
      <c r="R45" s="8"/>
      <c r="S45" s="8"/>
      <c r="T45" s="8"/>
      <c r="U45" s="8"/>
      <c r="V45" s="8"/>
      <c r="W45" s="8"/>
      <c r="X45" s="8"/>
      <c r="Y45" s="8"/>
      <c r="Z45" s="8"/>
      <c r="AA45" s="8"/>
      <c r="AB45" s="8"/>
      <c r="AC45" s="8"/>
      <c r="AD45" s="8"/>
    </row>
    <row r="46" spans="1:30" ht="15">
      <c r="A46" s="58"/>
      <c r="B46" s="69">
        <v>16</v>
      </c>
      <c r="C46" s="43" t="s">
        <v>244</v>
      </c>
      <c r="D46" s="17">
        <f>0.18*2^-6.5</f>
        <v>1.9887378220871652E-3</v>
      </c>
      <c r="E46" s="142">
        <f t="shared" si="7"/>
        <v>0.10603343503753049</v>
      </c>
      <c r="F46" s="71">
        <f t="shared" si="8"/>
        <v>10.603343503753049</v>
      </c>
      <c r="G46" s="84">
        <f t="shared" si="9"/>
        <v>108.47220404339369</v>
      </c>
      <c r="H46" s="43"/>
      <c r="I46" s="8">
        <f t="shared" si="10"/>
        <v>6948.9011651845603</v>
      </c>
      <c r="J46" s="8"/>
      <c r="K46" s="8"/>
      <c r="L46" s="8"/>
      <c r="M46" s="8"/>
      <c r="N46" s="8"/>
      <c r="O46" s="8"/>
      <c r="P46" s="8"/>
      <c r="Q46" s="8"/>
      <c r="R46" s="8"/>
      <c r="S46" s="8"/>
      <c r="T46" s="8"/>
      <c r="U46" s="8"/>
      <c r="V46" s="8"/>
      <c r="W46" s="8"/>
      <c r="X46" s="8"/>
      <c r="Y46" s="8"/>
      <c r="Z46" s="8"/>
      <c r="AA46" s="8"/>
      <c r="AB46" s="8"/>
      <c r="AC46" s="8"/>
      <c r="AD46" s="8"/>
    </row>
    <row r="47" spans="1:30" ht="15">
      <c r="A47" s="58"/>
      <c r="B47" s="69">
        <v>17</v>
      </c>
      <c r="C47" s="43" t="s">
        <v>245</v>
      </c>
      <c r="D47" s="17">
        <f>0.18*2^-6.4</f>
        <v>2.1314764216552478E-3</v>
      </c>
      <c r="E47" s="142">
        <f t="shared" si="7"/>
        <v>0.10697864200936803</v>
      </c>
      <c r="F47" s="71">
        <f t="shared" si="8"/>
        <v>10.697864200936804</v>
      </c>
      <c r="G47" s="84">
        <f t="shared" si="9"/>
        <v>109.4391507755835</v>
      </c>
      <c r="H47" s="43"/>
      <c r="I47" s="8">
        <f t="shared" si="10"/>
        <v>7010.845304083934</v>
      </c>
      <c r="J47" s="8"/>
      <c r="K47" s="8"/>
      <c r="L47" s="8"/>
      <c r="M47" s="8"/>
      <c r="N47" s="8"/>
      <c r="O47" s="8"/>
      <c r="P47" s="8"/>
      <c r="Q47" s="8"/>
      <c r="R47" s="8"/>
      <c r="S47" s="8"/>
      <c r="T47" s="8"/>
      <c r="U47" s="8"/>
      <c r="V47" s="8"/>
      <c r="W47" s="8"/>
      <c r="X47" s="8"/>
      <c r="Y47" s="8"/>
      <c r="Z47" s="8"/>
      <c r="AA47" s="8"/>
      <c r="AB47" s="8"/>
      <c r="AC47" s="8"/>
      <c r="AD47" s="8"/>
    </row>
    <row r="48" spans="1:30" ht="15">
      <c r="A48" s="58"/>
      <c r="B48" s="69">
        <v>18</v>
      </c>
      <c r="C48" s="43" t="s">
        <v>246</v>
      </c>
      <c r="D48" s="17">
        <f>0.18*2^-6.3</f>
        <v>2.2844598647519133E-3</v>
      </c>
      <c r="E48" s="142">
        <f t="shared" si="7"/>
        <v>0.10799168975838783</v>
      </c>
      <c r="F48" s="71">
        <f t="shared" si="8"/>
        <v>10.799168975838782</v>
      </c>
      <c r="G48" s="84">
        <f t="shared" si="9"/>
        <v>110.47549862283074</v>
      </c>
      <c r="H48" s="43"/>
      <c r="I48" s="8">
        <f t="shared" si="10"/>
        <v>7077.2353883159458</v>
      </c>
      <c r="J48" s="8"/>
      <c r="K48" s="8"/>
      <c r="L48" s="8"/>
      <c r="M48" s="8"/>
      <c r="N48" s="8"/>
      <c r="O48" s="8"/>
      <c r="P48" s="8"/>
      <c r="Q48" s="8"/>
      <c r="R48" s="8"/>
      <c r="S48" s="8"/>
      <c r="T48" s="8"/>
      <c r="U48" s="8"/>
      <c r="V48" s="8"/>
      <c r="W48" s="8"/>
      <c r="X48" s="8"/>
      <c r="Y48" s="8"/>
      <c r="Z48" s="8"/>
      <c r="AA48" s="8"/>
      <c r="AB48" s="8"/>
      <c r="AC48" s="8"/>
      <c r="AD48" s="8"/>
    </row>
    <row r="49" spans="1:30" ht="15">
      <c r="A49" s="58"/>
      <c r="B49" s="69">
        <v>19</v>
      </c>
      <c r="C49" s="43" t="s">
        <v>247</v>
      </c>
      <c r="D49" s="17">
        <f>0.18*2^-6.2</f>
        <v>2.44842345927035E-3</v>
      </c>
      <c r="E49" s="142">
        <f t="shared" si="7"/>
        <v>0.10907744745206933</v>
      </c>
      <c r="F49" s="71">
        <f t="shared" si="8"/>
        <v>10.907744745206934</v>
      </c>
      <c r="G49" s="84">
        <f t="shared" si="9"/>
        <v>111.58622874346693</v>
      </c>
      <c r="H49" s="43"/>
      <c r="I49" s="8">
        <f t="shared" si="10"/>
        <v>7148.3905187713635</v>
      </c>
      <c r="J49" s="8"/>
      <c r="K49" s="8"/>
      <c r="L49" s="8"/>
      <c r="M49" s="8"/>
      <c r="N49" s="8"/>
      <c r="O49" s="8"/>
      <c r="P49" s="8"/>
      <c r="Q49" s="8"/>
      <c r="R49" s="8"/>
      <c r="S49" s="8"/>
      <c r="T49" s="8"/>
      <c r="U49" s="8"/>
      <c r="V49" s="8"/>
      <c r="W49" s="8"/>
      <c r="X49" s="8"/>
      <c r="Y49" s="8"/>
      <c r="Z49" s="8"/>
      <c r="AA49" s="8"/>
      <c r="AB49" s="8"/>
      <c r="AC49" s="8"/>
      <c r="AD49" s="8"/>
    </row>
    <row r="50" spans="1:30" ht="15">
      <c r="A50" s="58"/>
      <c r="B50" s="69">
        <v>20</v>
      </c>
      <c r="C50" s="43" t="s">
        <v>248</v>
      </c>
      <c r="D50" s="17">
        <f>0.18*2^-6.1</f>
        <v>2.6241552886972718E-3</v>
      </c>
      <c r="E50" s="142">
        <f t="shared" si="7"/>
        <v>0.11024113373490181</v>
      </c>
      <c r="F50" s="71">
        <f t="shared" si="8"/>
        <v>11.024113373490181</v>
      </c>
      <c r="G50" s="84">
        <f t="shared" si="9"/>
        <v>112.77667981080455</v>
      </c>
      <c r="H50" s="43"/>
      <c r="I50" s="8">
        <f t="shared" si="10"/>
        <v>7224.6526993167899</v>
      </c>
      <c r="J50" s="8"/>
      <c r="K50" s="8"/>
      <c r="L50" s="8"/>
      <c r="M50" s="8"/>
      <c r="N50" s="8"/>
      <c r="O50" s="8"/>
      <c r="P50" s="8"/>
      <c r="Q50" s="8"/>
      <c r="R50" s="8"/>
      <c r="S50" s="8"/>
      <c r="T50" s="8"/>
      <c r="U50" s="8"/>
      <c r="V50" s="8"/>
      <c r="W50" s="8"/>
      <c r="X50" s="8"/>
      <c r="Y50" s="8"/>
      <c r="Z50" s="8"/>
      <c r="AA50" s="8"/>
      <c r="AB50" s="8"/>
      <c r="AC50" s="8"/>
      <c r="AD50" s="8"/>
    </row>
    <row r="51" spans="1:30" ht="15">
      <c r="A51" s="58"/>
      <c r="B51" s="69">
        <v>21</v>
      </c>
      <c r="C51" s="43" t="s">
        <v>249</v>
      </c>
      <c r="D51" s="17">
        <f>0.18*2^-6</f>
        <v>2.8124999999999999E-3</v>
      </c>
      <c r="E51" s="142">
        <f t="shared" si="7"/>
        <v>0.11148834181155914</v>
      </c>
      <c r="F51" s="71">
        <f t="shared" si="8"/>
        <v>11.148834181155914</v>
      </c>
      <c r="G51" s="84">
        <f t="shared" si="9"/>
        <v>114.052573673225</v>
      </c>
      <c r="H51" s="43"/>
      <c r="I51" s="8">
        <f t="shared" si="10"/>
        <v>7306.3884806205288</v>
      </c>
      <c r="J51" s="8"/>
      <c r="K51" s="8"/>
      <c r="L51" s="8"/>
      <c r="M51" s="8"/>
      <c r="N51" s="8"/>
      <c r="O51" s="8"/>
      <c r="P51" s="8"/>
      <c r="Q51" s="8"/>
      <c r="R51" s="8"/>
      <c r="S51" s="8"/>
      <c r="T51" s="8"/>
      <c r="U51" s="8"/>
      <c r="V51" s="8"/>
      <c r="W51" s="8"/>
      <c r="X51" s="8"/>
      <c r="Y51" s="8"/>
      <c r="Z51" s="8"/>
      <c r="AA51" s="8"/>
      <c r="AB51" s="8"/>
      <c r="AC51" s="8"/>
      <c r="AD51" s="8"/>
    </row>
    <row r="52" spans="1:30" ht="15">
      <c r="A52" s="58"/>
      <c r="B52" s="69">
        <v>22</v>
      </c>
      <c r="C52" s="43" t="s">
        <v>250</v>
      </c>
      <c r="D52" s="17">
        <f>0.18*2^-5.9</f>
        <v>3.0143628633833232E-3</v>
      </c>
      <c r="E52" s="142">
        <f t="shared" si="7"/>
        <v>0.1128250663303814</v>
      </c>
      <c r="F52" s="71">
        <f t="shared" si="8"/>
        <v>11.282506633038141</v>
      </c>
      <c r="G52" s="84">
        <f t="shared" si="9"/>
        <v>115.42004285598017</v>
      </c>
      <c r="H52" s="43"/>
      <c r="I52" s="8">
        <f t="shared" si="10"/>
        <v>7393.9907219615452</v>
      </c>
      <c r="J52" s="8"/>
      <c r="K52" s="8"/>
      <c r="L52" s="8"/>
      <c r="M52" s="8"/>
      <c r="N52" s="8"/>
      <c r="O52" s="8"/>
      <c r="P52" s="8"/>
      <c r="Q52" s="8"/>
      <c r="R52" s="8"/>
      <c r="S52" s="8"/>
      <c r="T52" s="8"/>
      <c r="U52" s="8"/>
      <c r="V52" s="8"/>
      <c r="W52" s="8"/>
      <c r="X52" s="8"/>
      <c r="Y52" s="8"/>
      <c r="Z52" s="8"/>
      <c r="AA52" s="8"/>
      <c r="AB52" s="8"/>
      <c r="AC52" s="8"/>
      <c r="AD52" s="8"/>
    </row>
    <row r="53" spans="1:30" ht="15">
      <c r="A53" s="58"/>
      <c r="B53" s="69">
        <v>23</v>
      </c>
      <c r="C53" s="43" t="s">
        <v>251</v>
      </c>
      <c r="D53" s="17">
        <f>0.18*2^-5.8</f>
        <v>3.2307141234291623E-3</v>
      </c>
      <c r="E53" s="142">
        <f t="shared" si="7"/>
        <v>0.11425773219637672</v>
      </c>
      <c r="F53" s="71">
        <f t="shared" si="8"/>
        <v>11.425773219637673</v>
      </c>
      <c r="G53" s="84">
        <f t="shared" si="9"/>
        <v>116.88566003689338</v>
      </c>
      <c r="H53" s="43"/>
      <c r="I53" s="8">
        <f t="shared" si="10"/>
        <v>7487.8804794895486</v>
      </c>
      <c r="J53" s="8"/>
      <c r="K53" s="8"/>
      <c r="L53" s="8"/>
      <c r="M53" s="8"/>
      <c r="N53" s="8"/>
      <c r="O53" s="8"/>
      <c r="P53" s="8"/>
      <c r="Q53" s="8"/>
      <c r="R53" s="8"/>
      <c r="S53" s="8"/>
      <c r="T53" s="8"/>
      <c r="U53" s="8"/>
      <c r="V53" s="8"/>
      <c r="W53" s="8"/>
      <c r="X53" s="8"/>
      <c r="Y53" s="8"/>
      <c r="Z53" s="8"/>
      <c r="AA53" s="8"/>
      <c r="AB53" s="8"/>
      <c r="AC53" s="8"/>
      <c r="AD53" s="8"/>
    </row>
    <row r="54" spans="1:30" ht="15">
      <c r="A54" s="58"/>
      <c r="B54" s="69">
        <v>24</v>
      </c>
      <c r="C54" s="43" t="s">
        <v>252</v>
      </c>
      <c r="D54" s="17">
        <f>0.18*2^-5.7</f>
        <v>3.4625936625325765E-3</v>
      </c>
      <c r="E54" s="142">
        <f t="shared" si="7"/>
        <v>0.11579322545223206</v>
      </c>
      <c r="F54" s="71">
        <f t="shared" si="8"/>
        <v>11.579322545223206</v>
      </c>
      <c r="G54" s="84">
        <f t="shared" si="9"/>
        <v>118.45646963763339</v>
      </c>
      <c r="H54" s="43"/>
      <c r="I54" s="8">
        <f t="shared" si="10"/>
        <v>7588.5090300120282</v>
      </c>
      <c r="J54" s="8"/>
      <c r="K54" s="8"/>
      <c r="L54" s="8"/>
      <c r="M54" s="8"/>
      <c r="N54" s="8"/>
      <c r="O54" s="8"/>
      <c r="P54" s="8"/>
      <c r="Q54" s="8"/>
      <c r="R54" s="8"/>
      <c r="S54" s="8"/>
      <c r="T54" s="8"/>
      <c r="U54" s="8"/>
      <c r="V54" s="8"/>
      <c r="W54" s="8"/>
      <c r="X54" s="8"/>
      <c r="Y54" s="8"/>
      <c r="Z54" s="8"/>
      <c r="AA54" s="8"/>
      <c r="AB54" s="8"/>
      <c r="AC54" s="8"/>
      <c r="AD54" s="8"/>
    </row>
    <row r="55" spans="1:30" ht="15">
      <c r="A55" s="58"/>
      <c r="B55" s="69">
        <v>25</v>
      </c>
      <c r="C55" s="43" t="s">
        <v>253</v>
      </c>
      <c r="D55" s="17">
        <f>0.18*2^-5.6</f>
        <v>3.7111159990487661E-3</v>
      </c>
      <c r="E55" s="142">
        <f t="shared" si="7"/>
        <v>0.11743892637576125</v>
      </c>
      <c r="F55" s="71">
        <f t="shared" si="8"/>
        <v>11.743892637576126</v>
      </c>
      <c r="G55" s="84">
        <f t="shared" si="9"/>
        <v>120.14002168240377</v>
      </c>
      <c r="H55" s="43"/>
      <c r="I55" s="8">
        <f t="shared" si="10"/>
        <v>7696.3600400355135</v>
      </c>
      <c r="J55" s="8"/>
      <c r="K55" s="8"/>
      <c r="L55" s="8"/>
      <c r="M55" s="8"/>
      <c r="N55" s="8"/>
      <c r="O55" s="8"/>
      <c r="P55" s="8"/>
      <c r="Q55" s="8"/>
      <c r="R55" s="8"/>
      <c r="S55" s="8"/>
      <c r="T55" s="8"/>
      <c r="U55" s="8"/>
      <c r="V55" s="8"/>
      <c r="W55" s="8"/>
      <c r="X55" s="8"/>
      <c r="Y55" s="8"/>
      <c r="Z55" s="8"/>
      <c r="AA55" s="8"/>
      <c r="AB55" s="8"/>
      <c r="AC55" s="8"/>
      <c r="AD55" s="8"/>
    </row>
    <row r="56" spans="1:30" ht="15">
      <c r="A56" s="58"/>
      <c r="B56" s="69">
        <v>26</v>
      </c>
      <c r="C56" s="43" t="s">
        <v>254</v>
      </c>
      <c r="D56" s="17">
        <f>0.18*2^-5.5</f>
        <v>3.9774756441743296E-3</v>
      </c>
      <c r="E56" s="142">
        <f t="shared" ref="E53:E70" si="11">(D56*(171.2102946929-95)/0.01125+95)/1023</f>
        <v>0.11920274495287134</v>
      </c>
      <c r="F56" s="71">
        <f t="shared" si="8"/>
        <v>11.920274495287133</v>
      </c>
      <c r="G56" s="84">
        <f t="shared" si="9"/>
        <v>121.94440808678738</v>
      </c>
      <c r="H56" s="43"/>
      <c r="I56" s="8">
        <f t="shared" si="10"/>
        <v>7811.9518904864235</v>
      </c>
      <c r="J56" s="8"/>
      <c r="K56" s="8"/>
      <c r="L56" s="8"/>
      <c r="M56" s="8"/>
      <c r="N56" s="8"/>
      <c r="O56" s="8"/>
      <c r="P56" s="8"/>
      <c r="Q56" s="8"/>
      <c r="R56" s="8"/>
      <c r="S56" s="8"/>
      <c r="T56" s="8"/>
      <c r="U56" s="8"/>
      <c r="V56" s="8"/>
      <c r="W56" s="8"/>
      <c r="X56" s="8"/>
      <c r="Y56" s="8"/>
      <c r="Z56" s="8"/>
      <c r="AA56" s="8"/>
      <c r="AB56" s="8"/>
      <c r="AC56" s="8"/>
      <c r="AD56" s="8"/>
    </row>
    <row r="57" spans="1:30" ht="15">
      <c r="A57" s="58"/>
      <c r="B57" s="69">
        <v>27</v>
      </c>
      <c r="C57" s="43" t="s">
        <v>255</v>
      </c>
      <c r="D57" s="17">
        <f>0.18*2^-5.4</f>
        <v>4.2629528433104948E-3</v>
      </c>
      <c r="E57" s="142">
        <f t="shared" si="11"/>
        <v>0.12109315889654643</v>
      </c>
      <c r="F57" s="71">
        <f t="shared" si="8"/>
        <v>12.109315889654642</v>
      </c>
      <c r="G57" s="84">
        <f t="shared" si="9"/>
        <v>123.878301551167</v>
      </c>
      <c r="H57" s="43"/>
      <c r="I57" s="8">
        <f t="shared" si="10"/>
        <v>7935.84016828517</v>
      </c>
      <c r="J57" s="8"/>
      <c r="K57" s="8"/>
      <c r="L57" s="8"/>
      <c r="M57" s="8"/>
      <c r="N57" s="8"/>
      <c r="O57" s="8"/>
      <c r="P57" s="8"/>
      <c r="Q57" s="8"/>
      <c r="R57" s="8"/>
      <c r="S57" s="8"/>
      <c r="T57" s="8"/>
      <c r="U57" s="8"/>
      <c r="V57" s="8"/>
      <c r="W57" s="8"/>
      <c r="X57" s="8"/>
      <c r="Y57" s="8"/>
      <c r="Z57" s="8"/>
      <c r="AA57" s="8"/>
      <c r="AB57" s="8"/>
      <c r="AC57" s="8"/>
      <c r="AD57" s="8"/>
    </row>
    <row r="58" spans="1:30" ht="15">
      <c r="A58" s="58"/>
      <c r="B58" s="69">
        <v>28</v>
      </c>
      <c r="C58" s="43" t="s">
        <v>256</v>
      </c>
      <c r="D58" s="17">
        <f>0.18*2^-5.3</f>
        <v>4.5689197295038265E-3</v>
      </c>
      <c r="E58" s="142">
        <f t="shared" si="11"/>
        <v>0.12311925439458599</v>
      </c>
      <c r="F58" s="71">
        <f t="shared" si="8"/>
        <v>12.311925439458598</v>
      </c>
      <c r="G58" s="84">
        <f t="shared" si="9"/>
        <v>125.95099724566147</v>
      </c>
      <c r="H58" s="43"/>
      <c r="I58" s="8">
        <f t="shared" si="10"/>
        <v>8068.6203367491926</v>
      </c>
      <c r="J58" s="8"/>
      <c r="K58" s="8"/>
      <c r="L58" s="8"/>
      <c r="M58" s="8"/>
      <c r="N58" s="8"/>
      <c r="O58" s="8"/>
      <c r="P58" s="8"/>
      <c r="Q58" s="8"/>
      <c r="R58" s="8"/>
      <c r="S58" s="8"/>
      <c r="T58" s="8"/>
      <c r="U58" s="8"/>
      <c r="V58" s="8"/>
      <c r="W58" s="8"/>
      <c r="X58" s="8"/>
      <c r="Y58" s="8"/>
      <c r="Z58" s="8"/>
      <c r="AA58" s="8"/>
      <c r="AB58" s="8"/>
      <c r="AC58" s="8"/>
      <c r="AD58" s="8"/>
    </row>
    <row r="59" spans="1:30" ht="15">
      <c r="A59" s="58"/>
      <c r="B59" s="69">
        <v>29</v>
      </c>
      <c r="C59" s="43" t="s">
        <v>257</v>
      </c>
      <c r="D59" s="17">
        <f>0.18*2^-5.2</f>
        <v>4.8968469185406982E-3</v>
      </c>
      <c r="E59" s="142">
        <f t="shared" si="11"/>
        <v>0.12529076978194903</v>
      </c>
      <c r="F59" s="71">
        <f t="shared" si="8"/>
        <v>12.529076978194903</v>
      </c>
      <c r="G59" s="84">
        <f t="shared" si="9"/>
        <v>128.17245748693387</v>
      </c>
      <c r="H59" s="43"/>
      <c r="I59" s="8">
        <f t="shared" si="10"/>
        <v>8210.9305976600299</v>
      </c>
      <c r="J59" s="8"/>
      <c r="K59" s="8"/>
      <c r="L59" s="8"/>
      <c r="M59" s="8"/>
      <c r="N59" s="8"/>
      <c r="O59" s="8"/>
      <c r="P59" s="8"/>
      <c r="Q59" s="8"/>
      <c r="R59" s="8"/>
      <c r="S59" s="8"/>
      <c r="T59" s="8"/>
      <c r="U59" s="8"/>
      <c r="V59" s="8"/>
      <c r="W59" s="8"/>
      <c r="X59" s="8"/>
      <c r="Y59" s="8"/>
      <c r="Z59" s="8"/>
      <c r="AA59" s="8"/>
      <c r="AB59" s="8"/>
      <c r="AC59" s="8"/>
      <c r="AD59" s="8"/>
    </row>
    <row r="60" spans="1:30" ht="15">
      <c r="A60" s="58"/>
      <c r="B60" s="69">
        <v>30</v>
      </c>
      <c r="C60" s="43" t="s">
        <v>258</v>
      </c>
      <c r="D60" s="17">
        <f>0.18*2^-5.1</f>
        <v>5.2483105773945436E-3</v>
      </c>
      <c r="E60" s="142">
        <f t="shared" si="11"/>
        <v>0.12761814234761398</v>
      </c>
      <c r="F60" s="71">
        <f t="shared" si="8"/>
        <v>12.761814234761399</v>
      </c>
      <c r="G60" s="84">
        <f t="shared" si="9"/>
        <v>130.5533596216091</v>
      </c>
      <c r="H60" s="43"/>
      <c r="I60" s="8">
        <f t="shared" si="10"/>
        <v>8363.4549587508827</v>
      </c>
      <c r="J60" s="8"/>
      <c r="K60" s="8"/>
      <c r="L60" s="8"/>
      <c r="M60" s="8"/>
      <c r="N60" s="8"/>
      <c r="O60" s="8"/>
      <c r="P60" s="8"/>
      <c r="Q60" s="8"/>
      <c r="R60" s="8"/>
      <c r="S60" s="8"/>
      <c r="T60" s="8"/>
      <c r="U60" s="8"/>
      <c r="V60" s="8"/>
      <c r="W60" s="8"/>
      <c r="X60" s="8"/>
      <c r="Y60" s="8"/>
      <c r="Z60" s="8"/>
      <c r="AA60" s="8"/>
      <c r="AB60" s="8"/>
      <c r="AC60" s="8"/>
      <c r="AD60" s="8"/>
    </row>
    <row r="61" spans="1:30" ht="15">
      <c r="A61" s="58"/>
      <c r="B61" s="69">
        <v>31</v>
      </c>
      <c r="C61" s="43" t="s">
        <v>259</v>
      </c>
      <c r="D61" s="17">
        <f>0.18*2^-5</f>
        <v>5.6249999999999998E-3</v>
      </c>
      <c r="E61" s="142">
        <f t="shared" si="11"/>
        <v>0.13011255850092865</v>
      </c>
      <c r="F61" s="71">
        <f t="shared" si="8"/>
        <v>13.011255850092866</v>
      </c>
      <c r="G61" s="84">
        <f t="shared" si="9"/>
        <v>133.10514734645</v>
      </c>
      <c r="H61" s="43"/>
      <c r="I61" s="8">
        <f t="shared" si="10"/>
        <v>8526.9265213583585</v>
      </c>
      <c r="J61" s="8"/>
      <c r="K61" s="8"/>
      <c r="L61" s="8"/>
      <c r="M61" s="8"/>
      <c r="N61" s="8"/>
      <c r="O61" s="8"/>
      <c r="P61" s="8"/>
      <c r="Q61" s="8"/>
      <c r="R61" s="8"/>
      <c r="S61" s="8"/>
      <c r="T61" s="8"/>
      <c r="U61" s="8"/>
      <c r="V61" s="8"/>
      <c r="W61" s="8"/>
      <c r="X61" s="8"/>
      <c r="Y61" s="8"/>
      <c r="Z61" s="8"/>
      <c r="AA61" s="8"/>
      <c r="AB61" s="8"/>
      <c r="AC61" s="8"/>
      <c r="AD61" s="8"/>
    </row>
    <row r="62" spans="1:30" ht="15">
      <c r="A62" s="58"/>
      <c r="B62" s="69">
        <v>32</v>
      </c>
      <c r="C62" s="43" t="s">
        <v>260</v>
      </c>
      <c r="D62" s="17">
        <f>0.18*2^-4.9</f>
        <v>6.028725726766649E-3</v>
      </c>
      <c r="E62" s="142">
        <f t="shared" si="11"/>
        <v>0.13278600753857317</v>
      </c>
      <c r="F62" s="71">
        <f t="shared" si="8"/>
        <v>13.278600753857317</v>
      </c>
      <c r="G62" s="84">
        <f t="shared" si="9"/>
        <v>135.84008571196034</v>
      </c>
      <c r="H62" s="43"/>
      <c r="I62" s="8">
        <f t="shared" si="10"/>
        <v>8702.1310040403932</v>
      </c>
      <c r="J62" s="8"/>
      <c r="K62" s="8"/>
      <c r="L62" s="8"/>
      <c r="M62" s="8"/>
      <c r="N62" s="8"/>
      <c r="O62" s="8"/>
      <c r="P62" s="8"/>
      <c r="Q62" s="8"/>
      <c r="R62" s="8"/>
      <c r="S62" s="8"/>
      <c r="T62" s="8"/>
      <c r="U62" s="8"/>
      <c r="V62" s="8"/>
      <c r="W62" s="8"/>
      <c r="X62" s="8"/>
      <c r="Y62" s="8"/>
      <c r="Z62" s="8"/>
      <c r="AA62" s="8"/>
      <c r="AB62" s="8"/>
      <c r="AC62" s="8"/>
      <c r="AD62" s="8"/>
    </row>
    <row r="63" spans="1:30" ht="15">
      <c r="A63" s="58"/>
      <c r="B63" s="69">
        <v>33</v>
      </c>
      <c r="C63" s="43" t="s">
        <v>261</v>
      </c>
      <c r="D63" s="17">
        <f>0.18*2^-4.8</f>
        <v>6.4614282468583219E-3</v>
      </c>
      <c r="E63" s="142">
        <f t="shared" si="11"/>
        <v>0.13565133927056378</v>
      </c>
      <c r="F63" s="71">
        <f t="shared" si="8"/>
        <v>13.565133927056378</v>
      </c>
      <c r="G63" s="84">
        <f t="shared" si="9"/>
        <v>138.77132007378674</v>
      </c>
      <c r="H63" s="43"/>
      <c r="I63" s="8">
        <f t="shared" si="10"/>
        <v>8889.9105190963965</v>
      </c>
      <c r="J63" s="8"/>
      <c r="K63" s="8"/>
      <c r="L63" s="8"/>
      <c r="M63" s="8"/>
      <c r="N63" s="8"/>
      <c r="O63" s="8"/>
      <c r="P63" s="8"/>
      <c r="Q63" s="8"/>
      <c r="R63" s="8"/>
      <c r="S63" s="8"/>
      <c r="T63" s="8"/>
      <c r="U63" s="8"/>
      <c r="V63" s="8"/>
      <c r="W63" s="8"/>
      <c r="X63" s="8"/>
      <c r="Y63" s="8"/>
      <c r="Z63" s="8"/>
      <c r="AA63" s="8"/>
      <c r="AB63" s="8"/>
      <c r="AC63" s="8"/>
      <c r="AD63" s="8"/>
    </row>
    <row r="64" spans="1:30" ht="15">
      <c r="A64" s="58"/>
      <c r="B64" s="69">
        <v>34</v>
      </c>
      <c r="C64" s="43" t="s">
        <v>262</v>
      </c>
      <c r="D64" s="17">
        <f>0.18*2^-4.7</f>
        <v>6.9251873250651538E-3</v>
      </c>
      <c r="E64" s="142">
        <f t="shared" si="11"/>
        <v>0.13872232578227447</v>
      </c>
      <c r="F64" s="71">
        <f t="shared" si="8"/>
        <v>13.872232578227447</v>
      </c>
      <c r="G64" s="84">
        <f t="shared" si="9"/>
        <v>141.91293927526678</v>
      </c>
      <c r="H64" s="43"/>
      <c r="I64" s="8">
        <f t="shared" si="10"/>
        <v>9091.1676201413575</v>
      </c>
      <c r="J64" s="8"/>
      <c r="K64" s="8"/>
      <c r="L64" s="8"/>
      <c r="M64" s="8"/>
      <c r="N64" s="8"/>
      <c r="O64" s="8"/>
      <c r="P64" s="8"/>
      <c r="Q64" s="8"/>
      <c r="R64" s="8"/>
      <c r="S64" s="8"/>
      <c r="T64" s="8"/>
      <c r="U64" s="8"/>
      <c r="V64" s="8"/>
      <c r="W64" s="8"/>
      <c r="X64" s="8"/>
      <c r="Y64" s="8"/>
      <c r="Z64" s="8"/>
      <c r="AA64" s="8"/>
      <c r="AB64" s="8"/>
      <c r="AC64" s="8"/>
      <c r="AD64" s="8"/>
    </row>
    <row r="65" spans="1:30" ht="15">
      <c r="A65" s="58"/>
      <c r="B65" s="69">
        <v>35</v>
      </c>
      <c r="C65" s="43" t="s">
        <v>263</v>
      </c>
      <c r="D65" s="17">
        <f>0.18*2^-4.6</f>
        <v>7.4222319980975331E-3</v>
      </c>
      <c r="E65" s="142">
        <f t="shared" si="11"/>
        <v>0.14201372762933287</v>
      </c>
      <c r="F65" s="71">
        <f t="shared" si="8"/>
        <v>14.201372762933287</v>
      </c>
      <c r="G65" s="84">
        <f t="shared" si="9"/>
        <v>145.28004336480754</v>
      </c>
      <c r="H65" s="43"/>
      <c r="I65" s="8">
        <f t="shared" si="10"/>
        <v>9306.8696401883299</v>
      </c>
      <c r="J65" s="8"/>
      <c r="K65" s="8"/>
      <c r="L65" s="8"/>
      <c r="M65" s="8"/>
      <c r="N65" s="8"/>
      <c r="O65" s="8"/>
      <c r="P65" s="8"/>
      <c r="Q65" s="8"/>
      <c r="R65" s="8"/>
      <c r="S65" s="8"/>
      <c r="T65" s="8"/>
      <c r="U65" s="8"/>
      <c r="V65" s="8"/>
      <c r="W65" s="8"/>
      <c r="X65" s="8"/>
      <c r="Y65" s="8"/>
      <c r="Z65" s="8"/>
      <c r="AA65" s="8"/>
      <c r="AB65" s="8"/>
      <c r="AC65" s="8"/>
      <c r="AD65" s="8"/>
    </row>
    <row r="66" spans="1:30" ht="15">
      <c r="A66" s="58"/>
      <c r="B66" s="69">
        <v>36</v>
      </c>
      <c r="C66" s="43" t="s">
        <v>264</v>
      </c>
      <c r="D66" s="17">
        <f>0.18*2^-4.5</f>
        <v>7.9549512883486592E-3</v>
      </c>
      <c r="E66" s="142">
        <f t="shared" si="11"/>
        <v>0.14554136478355303</v>
      </c>
      <c r="F66" s="71">
        <f t="shared" si="8"/>
        <v>14.554136478355304</v>
      </c>
      <c r="G66" s="84">
        <f t="shared" si="9"/>
        <v>148.88881617357475</v>
      </c>
      <c r="H66" s="43"/>
      <c r="I66" s="8">
        <f t="shared" si="10"/>
        <v>9538.053341090148</v>
      </c>
      <c r="J66" s="8"/>
      <c r="K66" s="8"/>
      <c r="L66" s="8"/>
      <c r="M66" s="8"/>
      <c r="N66" s="8"/>
      <c r="O66" s="8"/>
      <c r="P66" s="8"/>
      <c r="Q66" s="8"/>
      <c r="R66" s="8"/>
      <c r="S66" s="8"/>
      <c r="T66" s="8"/>
      <c r="U66" s="8"/>
      <c r="V66" s="8"/>
      <c r="W66" s="8"/>
      <c r="X66" s="8"/>
      <c r="Y66" s="8"/>
      <c r="Z66" s="8"/>
      <c r="AA66" s="8"/>
      <c r="AB66" s="8"/>
      <c r="AC66" s="8"/>
      <c r="AD66" s="8"/>
    </row>
    <row r="67" spans="1:30" ht="15">
      <c r="A67" s="58"/>
      <c r="B67" s="69">
        <v>37</v>
      </c>
      <c r="C67" s="43" t="s">
        <v>265</v>
      </c>
      <c r="D67" s="17">
        <f>0.18*2^-4.4</f>
        <v>8.5259056866209895E-3</v>
      </c>
      <c r="E67" s="142">
        <f t="shared" si="11"/>
        <v>0.14932219267090321</v>
      </c>
      <c r="F67" s="71">
        <f t="shared" si="8"/>
        <v>14.932219267090321</v>
      </c>
      <c r="G67" s="84">
        <f t="shared" si="9"/>
        <v>152.756603102334</v>
      </c>
      <c r="H67" s="43"/>
      <c r="I67" s="8">
        <f t="shared" si="10"/>
        <v>9785.8298966876428</v>
      </c>
      <c r="J67" s="8"/>
      <c r="K67" s="8"/>
      <c r="L67" s="8"/>
      <c r="M67" s="8"/>
      <c r="N67" s="8"/>
      <c r="O67" s="8"/>
      <c r="P67" s="8"/>
      <c r="Q67" s="8"/>
      <c r="R67" s="8"/>
      <c r="S67" s="8"/>
      <c r="T67" s="8"/>
      <c r="U67" s="8"/>
      <c r="V67" s="8"/>
      <c r="W67" s="8"/>
      <c r="X67" s="8"/>
      <c r="Y67" s="8"/>
      <c r="Z67" s="8"/>
      <c r="AA67" s="8"/>
      <c r="AB67" s="8"/>
      <c r="AC67" s="8"/>
      <c r="AD67" s="8"/>
    </row>
    <row r="68" spans="1:30" ht="15">
      <c r="A68" s="58"/>
      <c r="B68" s="69">
        <v>38</v>
      </c>
      <c r="C68" s="43" t="s">
        <v>266</v>
      </c>
      <c r="D68" s="17">
        <f>0.18*2^-4.3</f>
        <v>9.1378394590076479E-3</v>
      </c>
      <c r="E68" s="142">
        <f t="shared" si="11"/>
        <v>0.15337438366698231</v>
      </c>
      <c r="F68" s="71">
        <f t="shared" si="8"/>
        <v>15.33743836669823</v>
      </c>
      <c r="G68" s="84">
        <f t="shared" si="9"/>
        <v>156.90199449132291</v>
      </c>
      <c r="H68" s="43"/>
      <c r="I68" s="8">
        <f t="shared" si="10"/>
        <v>10051.390233615686</v>
      </c>
      <c r="J68" s="8"/>
      <c r="K68" s="8"/>
      <c r="L68" s="8"/>
      <c r="M68" s="8"/>
      <c r="N68" s="8"/>
      <c r="O68" s="8"/>
      <c r="P68" s="8"/>
      <c r="Q68" s="8"/>
      <c r="R68" s="8"/>
      <c r="S68" s="8"/>
      <c r="T68" s="8"/>
      <c r="U68" s="8"/>
      <c r="V68" s="8"/>
      <c r="W68" s="8"/>
      <c r="X68" s="8"/>
      <c r="Y68" s="8"/>
      <c r="Z68" s="8"/>
      <c r="AA68" s="8"/>
      <c r="AB68" s="8"/>
      <c r="AC68" s="8"/>
      <c r="AD68" s="8"/>
    </row>
    <row r="69" spans="1:30" ht="15">
      <c r="A69" s="58"/>
      <c r="B69" s="69">
        <v>39</v>
      </c>
      <c r="C69" s="43" t="s">
        <v>267</v>
      </c>
      <c r="D69" s="17">
        <f>0.18*2^-4.2</f>
        <v>9.7936938370813981E-3</v>
      </c>
      <c r="E69" s="142">
        <f t="shared" si="11"/>
        <v>0.15771741444170845</v>
      </c>
      <c r="F69" s="71">
        <f t="shared" si="8"/>
        <v>15.771741444170845</v>
      </c>
      <c r="G69" s="84">
        <f t="shared" si="9"/>
        <v>161.34491497386773</v>
      </c>
      <c r="H69" s="43"/>
      <c r="I69" s="8">
        <f t="shared" si="10"/>
        <v>10336.010755437363</v>
      </c>
      <c r="J69" s="8"/>
      <c r="K69" s="8"/>
      <c r="L69" s="8"/>
      <c r="M69" s="8"/>
      <c r="N69" s="8"/>
      <c r="O69" s="8"/>
      <c r="P69" s="8"/>
      <c r="Q69" s="8"/>
      <c r="R69" s="8"/>
      <c r="S69" s="8"/>
      <c r="T69" s="8"/>
      <c r="U69" s="8"/>
      <c r="V69" s="8"/>
      <c r="W69" s="8"/>
      <c r="X69" s="8"/>
      <c r="Y69" s="8"/>
      <c r="Z69" s="8"/>
      <c r="AA69" s="8"/>
      <c r="AB69" s="8"/>
      <c r="AC69" s="8"/>
      <c r="AD69" s="8"/>
    </row>
    <row r="70" spans="1:30" ht="15">
      <c r="A70" s="58"/>
      <c r="B70" s="69">
        <v>40</v>
      </c>
      <c r="C70" s="43" t="s">
        <v>268</v>
      </c>
      <c r="D70" s="17">
        <f>0.18*2^-4.1</f>
        <v>1.0496621154789087E-2</v>
      </c>
      <c r="E70" s="142">
        <f t="shared" si="11"/>
        <v>0.1623721595730383</v>
      </c>
      <c r="F70" s="71">
        <f t="shared" si="8"/>
        <v>16.237215957303832</v>
      </c>
      <c r="G70" s="84">
        <f t="shared" si="9"/>
        <v>166.10671924321818</v>
      </c>
      <c r="H70" s="43"/>
      <c r="I70" s="8">
        <f t="shared" si="10"/>
        <v>10641.059477619065</v>
      </c>
      <c r="J70" s="8"/>
      <c r="K70" s="8"/>
      <c r="L70" s="8"/>
      <c r="M70" s="8"/>
      <c r="N70" s="8"/>
      <c r="O70" s="8"/>
      <c r="P70" s="8"/>
      <c r="Q70" s="8"/>
      <c r="R70" s="8"/>
      <c r="S70" s="8"/>
      <c r="T70" s="8"/>
      <c r="U70" s="8"/>
      <c r="V70" s="8"/>
      <c r="W70" s="8"/>
      <c r="X70" s="8"/>
      <c r="Y70" s="8"/>
      <c r="Z70" s="8"/>
      <c r="AA70" s="8"/>
      <c r="AB70" s="8"/>
      <c r="AC70" s="8"/>
      <c r="AD70" s="8"/>
    </row>
    <row r="71" spans="1:30" ht="15">
      <c r="A71" s="58"/>
      <c r="B71" s="69">
        <v>41</v>
      </c>
      <c r="C71" s="43" t="s">
        <v>269</v>
      </c>
      <c r="D71" s="17">
        <f>0.18*2^-4</f>
        <v>1.125E-2</v>
      </c>
      <c r="E71" s="142">
        <f>(D71*(171.2102946929-95)/0.01125+95)/1023</f>
        <v>0.16736099187966763</v>
      </c>
      <c r="F71" s="71">
        <f t="shared" si="8"/>
        <v>16.736099187966762</v>
      </c>
      <c r="G71" s="84">
        <f t="shared" si="9"/>
        <v>171.21029469289999</v>
      </c>
      <c r="H71" s="43"/>
      <c r="I71" s="8">
        <f t="shared" si="10"/>
        <v>10968.002602834018</v>
      </c>
      <c r="J71" s="8"/>
      <c r="K71" s="8"/>
      <c r="L71" s="8"/>
      <c r="M71" s="8"/>
      <c r="N71" s="8"/>
      <c r="O71" s="8"/>
      <c r="P71" s="8"/>
      <c r="Q71" s="8"/>
      <c r="R71" s="8"/>
      <c r="S71" s="8"/>
      <c r="T71" s="8"/>
      <c r="U71" s="8"/>
      <c r="V71" s="8"/>
      <c r="W71" s="8"/>
      <c r="X71" s="8"/>
      <c r="Y71" s="8"/>
      <c r="Z71" s="8"/>
      <c r="AA71" s="8"/>
      <c r="AB71" s="8"/>
      <c r="AC71" s="8"/>
      <c r="AD71" s="8"/>
    </row>
    <row r="72" spans="1:30" ht="15">
      <c r="A72" s="58"/>
      <c r="B72" s="69">
        <v>42</v>
      </c>
      <c r="C72" s="43" t="s">
        <v>270</v>
      </c>
      <c r="D72" s="17">
        <f>0.18*2^-3.9</f>
        <v>1.20574514535333E-2</v>
      </c>
      <c r="E72" s="142">
        <f t="shared" ref="E31:E94" si="12">(420+LOG10((D72+0.01)/0.19)*261.5)/1023</f>
        <v>0.17150112676800572</v>
      </c>
      <c r="F72" s="71">
        <f t="shared" si="8"/>
        <v>17.150112676800571</v>
      </c>
      <c r="G72" s="84">
        <f t="shared" si="9"/>
        <v>175.44565268366986</v>
      </c>
      <c r="H72" s="43"/>
      <c r="I72" s="8">
        <f t="shared" si="10"/>
        <v>11239.326342741255</v>
      </c>
      <c r="J72" s="8"/>
      <c r="K72" s="8"/>
      <c r="L72" s="8"/>
      <c r="M72" s="8"/>
      <c r="N72" s="8"/>
      <c r="O72" s="8"/>
      <c r="P72" s="8"/>
      <c r="Q72" s="8"/>
      <c r="R72" s="8"/>
      <c r="S72" s="8"/>
      <c r="T72" s="8"/>
      <c r="U72" s="8"/>
      <c r="V72" s="8"/>
      <c r="W72" s="8"/>
      <c r="X72" s="8"/>
      <c r="Y72" s="8"/>
      <c r="Z72" s="8"/>
      <c r="AA72" s="8"/>
      <c r="AB72" s="8"/>
      <c r="AC72" s="8"/>
      <c r="AD72" s="8"/>
    </row>
    <row r="73" spans="1:30" ht="15">
      <c r="A73" s="58"/>
      <c r="B73" s="69">
        <v>43</v>
      </c>
      <c r="C73" s="43" t="s">
        <v>271</v>
      </c>
      <c r="D73" s="17">
        <f>0.18*2^-3.8</f>
        <v>1.2922856493716644E-2</v>
      </c>
      <c r="E73" s="142">
        <f t="shared" si="12"/>
        <v>0.17577341905974297</v>
      </c>
      <c r="F73" s="71">
        <f t="shared" si="8"/>
        <v>17.577341905974297</v>
      </c>
      <c r="G73" s="84">
        <f t="shared" si="9"/>
        <v>179.81620769811707</v>
      </c>
      <c r="H73" s="43"/>
      <c r="I73" s="8">
        <f t="shared" si="10"/>
        <v>11519.311018080256</v>
      </c>
      <c r="J73" s="8"/>
      <c r="K73" s="8"/>
      <c r="L73" s="8"/>
      <c r="M73" s="8"/>
      <c r="N73" s="8"/>
      <c r="O73" s="8"/>
      <c r="P73" s="8"/>
      <c r="Q73" s="8"/>
      <c r="R73" s="8"/>
      <c r="S73" s="8"/>
      <c r="T73" s="8"/>
      <c r="U73" s="8"/>
      <c r="V73" s="8"/>
      <c r="W73" s="8"/>
      <c r="X73" s="8"/>
      <c r="Y73" s="8"/>
      <c r="Z73" s="8"/>
      <c r="AA73" s="8"/>
      <c r="AB73" s="8"/>
      <c r="AC73" s="8"/>
      <c r="AD73" s="8"/>
    </row>
    <row r="74" spans="1:30" ht="15">
      <c r="A74" s="58"/>
      <c r="B74" s="69">
        <v>44</v>
      </c>
      <c r="C74" s="43" t="s">
        <v>272</v>
      </c>
      <c r="D74" s="17">
        <f>0.18*2^-3.7</f>
        <v>1.3850374650130308E-2</v>
      </c>
      <c r="E74" s="142">
        <f t="shared" si="12"/>
        <v>0.18017686176361075</v>
      </c>
      <c r="F74" s="71">
        <f t="shared" si="8"/>
        <v>18.017686176361075</v>
      </c>
      <c r="G74" s="84">
        <f t="shared" si="9"/>
        <v>184.3209295841738</v>
      </c>
      <c r="H74" s="43"/>
      <c r="I74" s="8">
        <f t="shared" si="10"/>
        <v>11807.89063567823</v>
      </c>
      <c r="J74" s="8"/>
      <c r="K74" s="8"/>
      <c r="L74" s="8"/>
      <c r="M74" s="8"/>
      <c r="N74" s="8"/>
      <c r="O74" s="8"/>
      <c r="P74" s="8"/>
      <c r="Q74" s="8"/>
      <c r="R74" s="8"/>
      <c r="S74" s="8"/>
      <c r="T74" s="8"/>
      <c r="U74" s="8"/>
      <c r="V74" s="8"/>
      <c r="W74" s="8"/>
      <c r="X74" s="8"/>
      <c r="Y74" s="8"/>
      <c r="Z74" s="8"/>
      <c r="AA74" s="8"/>
      <c r="AB74" s="8"/>
      <c r="AC74" s="8"/>
      <c r="AD74" s="8"/>
    </row>
    <row r="75" spans="1:30" ht="15">
      <c r="A75" s="58"/>
      <c r="B75" s="69">
        <v>45</v>
      </c>
      <c r="C75" s="43" t="s">
        <v>273</v>
      </c>
      <c r="D75" s="17">
        <f>0.18*2^-3.6</f>
        <v>1.4844463996195061E-2</v>
      </c>
      <c r="E75" s="142">
        <f t="shared" si="12"/>
        <v>0.1847101485837917</v>
      </c>
      <c r="F75" s="71">
        <f t="shared" si="8"/>
        <v>18.471014858379171</v>
      </c>
      <c r="G75" s="84">
        <f t="shared" si="9"/>
        <v>188.9584820012189</v>
      </c>
      <c r="H75" s="43"/>
      <c r="I75" s="8">
        <f t="shared" si="10"/>
        <v>12104.979587438789</v>
      </c>
      <c r="J75" s="8"/>
      <c r="K75" s="8"/>
      <c r="L75" s="8"/>
      <c r="M75" s="8"/>
      <c r="N75" s="8"/>
      <c r="O75" s="8"/>
      <c r="P75" s="8"/>
      <c r="Q75" s="8"/>
      <c r="R75" s="8"/>
      <c r="S75" s="8"/>
      <c r="T75" s="8"/>
      <c r="U75" s="8"/>
      <c r="V75" s="8"/>
      <c r="W75" s="8"/>
      <c r="X75" s="8"/>
      <c r="Y75" s="8"/>
      <c r="Z75" s="8"/>
      <c r="AA75" s="8"/>
      <c r="AB75" s="8"/>
      <c r="AC75" s="8"/>
      <c r="AD75" s="8"/>
    </row>
    <row r="76" spans="1:30" ht="15">
      <c r="A76" s="58"/>
      <c r="B76" s="69">
        <v>46</v>
      </c>
      <c r="C76" s="43" t="s">
        <v>274</v>
      </c>
      <c r="D76" s="17">
        <f>0.18*2^-3.5</f>
        <v>1.5909902576697318E-2</v>
      </c>
      <c r="E76" s="142">
        <f t="shared" si="12"/>
        <v>0.18937168604365207</v>
      </c>
      <c r="F76" s="71">
        <f t="shared" si="8"/>
        <v>18.937168604365205</v>
      </c>
      <c r="G76" s="84">
        <f t="shared" si="9"/>
        <v>193.72723482265607</v>
      </c>
      <c r="H76" s="43"/>
      <c r="I76" s="8">
        <f t="shared" si="10"/>
        <v>12410.473444870739</v>
      </c>
      <c r="J76" s="8"/>
      <c r="K76" s="8"/>
      <c r="L76" s="8"/>
      <c r="M76" s="8"/>
      <c r="N76" s="8"/>
      <c r="O76" s="8"/>
      <c r="P76" s="8"/>
      <c r="Q76" s="8"/>
      <c r="R76" s="8"/>
      <c r="S76" s="8"/>
      <c r="T76" s="8"/>
      <c r="U76" s="8"/>
      <c r="V76" s="8"/>
      <c r="W76" s="8"/>
      <c r="X76" s="8"/>
      <c r="Y76" s="8"/>
      <c r="Z76" s="8"/>
      <c r="AA76" s="8"/>
      <c r="AB76" s="8"/>
      <c r="AC76" s="8"/>
      <c r="AD76" s="8"/>
    </row>
    <row r="77" spans="1:30" ht="15">
      <c r="A77" s="58"/>
      <c r="B77" s="69">
        <v>47</v>
      </c>
      <c r="C77" s="43" t="s">
        <v>275</v>
      </c>
      <c r="D77" s="17">
        <f>0.18*2^-3.4</f>
        <v>1.7051811373241983E-2</v>
      </c>
      <c r="E77" s="142">
        <f t="shared" si="12"/>
        <v>0.19415960802644922</v>
      </c>
      <c r="F77" s="71">
        <f t="shared" si="8"/>
        <v>19.415960802644921</v>
      </c>
      <c r="G77" s="84">
        <f t="shared" si="9"/>
        <v>198.62527901105756</v>
      </c>
      <c r="H77" s="43"/>
      <c r="I77" s="8">
        <f t="shared" si="10"/>
        <v>12724.249912013349</v>
      </c>
      <c r="J77" s="8"/>
      <c r="K77" s="8"/>
      <c r="L77" s="8"/>
      <c r="M77" s="8"/>
      <c r="N77" s="8"/>
      <c r="O77" s="8"/>
      <c r="P77" s="8"/>
      <c r="Q77" s="8"/>
      <c r="R77" s="8"/>
      <c r="S77" s="8"/>
      <c r="T77" s="8"/>
      <c r="U77" s="8"/>
      <c r="V77" s="8"/>
      <c r="W77" s="8"/>
      <c r="X77" s="8"/>
      <c r="Y77" s="8"/>
      <c r="Z77" s="8"/>
      <c r="AA77" s="8"/>
      <c r="AB77" s="8"/>
      <c r="AC77" s="8"/>
      <c r="AD77" s="8"/>
    </row>
    <row r="78" spans="1:30" ht="15">
      <c r="A78" s="58"/>
      <c r="B78" s="69">
        <v>48</v>
      </c>
      <c r="C78" s="43" t="s">
        <v>276</v>
      </c>
      <c r="D78" s="17">
        <f>0.18*2^-3.3</f>
        <v>1.8275678918015303E-2</v>
      </c>
      <c r="E78" s="142">
        <f t="shared" si="12"/>
        <v>0.19907179245682827</v>
      </c>
      <c r="F78" s="71">
        <f t="shared" si="8"/>
        <v>19.907179245682826</v>
      </c>
      <c r="G78" s="84">
        <f t="shared" si="9"/>
        <v>203.65044368333531</v>
      </c>
      <c r="H78" s="43"/>
      <c r="I78" s="8">
        <f t="shared" si="10"/>
        <v>13046.169918658241</v>
      </c>
      <c r="J78" s="8"/>
      <c r="K78" s="8"/>
      <c r="L78" s="8"/>
      <c r="M78" s="8"/>
      <c r="N78" s="8"/>
      <c r="O78" s="8"/>
      <c r="P78" s="8"/>
      <c r="Q78" s="8"/>
      <c r="R78" s="8"/>
      <c r="S78" s="8"/>
      <c r="T78" s="8"/>
      <c r="U78" s="8"/>
      <c r="V78" s="8"/>
      <c r="W78" s="8"/>
      <c r="X78" s="8"/>
      <c r="Y78" s="8"/>
      <c r="Z78" s="8"/>
      <c r="AA78" s="8"/>
      <c r="AB78" s="8"/>
      <c r="AC78" s="8"/>
      <c r="AD78" s="8"/>
    </row>
    <row r="79" spans="1:30" ht="15">
      <c r="A79" s="58"/>
      <c r="B79" s="69">
        <v>49</v>
      </c>
      <c r="C79" s="43" t="s">
        <v>277</v>
      </c>
      <c r="D79" s="17">
        <f>0.18*2^-3.2</f>
        <v>1.9587387674162796E-2</v>
      </c>
      <c r="E79" s="142">
        <f t="shared" si="12"/>
        <v>0.20410587981531197</v>
      </c>
      <c r="F79" s="71">
        <f t="shared" si="8"/>
        <v>20.410587981531197</v>
      </c>
      <c r="G79" s="84">
        <f t="shared" si="9"/>
        <v>208.80031505106416</v>
      </c>
      <c r="H79" s="43"/>
      <c r="I79" s="8">
        <f t="shared" si="10"/>
        <v>13376.078833696471</v>
      </c>
      <c r="J79" s="8"/>
      <c r="K79" s="8"/>
      <c r="L79" s="8"/>
      <c r="M79" s="8"/>
      <c r="N79" s="8"/>
      <c r="O79" s="8"/>
      <c r="P79" s="8"/>
      <c r="Q79" s="8"/>
      <c r="R79" s="8"/>
      <c r="S79" s="8"/>
      <c r="T79" s="8"/>
      <c r="U79" s="8"/>
      <c r="V79" s="8"/>
      <c r="W79" s="8"/>
      <c r="X79" s="8"/>
      <c r="Y79" s="8"/>
      <c r="Z79" s="8"/>
      <c r="AA79" s="8"/>
      <c r="AB79" s="8"/>
      <c r="AC79" s="8"/>
      <c r="AD79" s="8"/>
    </row>
    <row r="80" spans="1:30" ht="15">
      <c r="A80" s="58"/>
      <c r="B80" s="69">
        <v>50</v>
      </c>
      <c r="C80" s="43" t="s">
        <v>278</v>
      </c>
      <c r="D80" s="17">
        <f>0.18*2^-3.1</f>
        <v>2.0993242309578171E-2</v>
      </c>
      <c r="E80" s="142">
        <f t="shared" si="12"/>
        <v>0.20925929315577169</v>
      </c>
      <c r="F80" s="71">
        <f t="shared" si="8"/>
        <v>20.925929315577168</v>
      </c>
      <c r="G80" s="84">
        <f t="shared" si="9"/>
        <v>214.07225689835442</v>
      </c>
      <c r="H80" s="43"/>
      <c r="I80" s="8">
        <f t="shared" si="10"/>
        <v>13713.807776963498</v>
      </c>
      <c r="J80" s="8"/>
      <c r="K80" s="8"/>
      <c r="L80" s="8"/>
      <c r="M80" s="8"/>
      <c r="N80" s="8"/>
      <c r="O80" s="8"/>
      <c r="P80" s="8"/>
      <c r="Q80" s="8"/>
      <c r="R80" s="8"/>
      <c r="S80" s="8"/>
      <c r="T80" s="8"/>
      <c r="U80" s="8"/>
      <c r="V80" s="8"/>
      <c r="W80" s="8"/>
      <c r="X80" s="8"/>
      <c r="Y80" s="8"/>
      <c r="Z80" s="8"/>
      <c r="AA80" s="8"/>
      <c r="AB80" s="8"/>
      <c r="AC80" s="8"/>
      <c r="AD80" s="8"/>
    </row>
    <row r="81" spans="1:30" ht="15">
      <c r="A81" s="58"/>
      <c r="B81" s="69">
        <v>51</v>
      </c>
      <c r="C81" s="43" t="s">
        <v>279</v>
      </c>
      <c r="D81" s="17">
        <f>0.18*2^-3</f>
        <v>2.2499999999999999E-2</v>
      </c>
      <c r="E81" s="142">
        <f t="shared" si="12"/>
        <v>0.21452925928329511</v>
      </c>
      <c r="F81" s="71">
        <f t="shared" si="8"/>
        <v>21.45292592832951</v>
      </c>
      <c r="G81" s="84">
        <f t="shared" si="9"/>
        <v>219.4634322468109</v>
      </c>
      <c r="H81" s="43"/>
      <c r="I81" s="8">
        <f t="shared" si="10"/>
        <v>14059.175007130745</v>
      </c>
      <c r="J81" s="8"/>
      <c r="K81" s="8"/>
      <c r="L81" s="8"/>
      <c r="M81" s="8"/>
      <c r="N81" s="8"/>
      <c r="O81" s="8"/>
      <c r="P81" s="8"/>
      <c r="Q81" s="8"/>
      <c r="R81" s="8"/>
      <c r="S81" s="8"/>
      <c r="T81" s="8"/>
      <c r="U81" s="8"/>
      <c r="V81" s="8"/>
      <c r="W81" s="8"/>
      <c r="X81" s="8"/>
      <c r="Y81" s="8"/>
      <c r="Z81" s="8"/>
      <c r="AA81" s="8"/>
      <c r="AB81" s="8"/>
      <c r="AC81" s="8"/>
      <c r="AD81" s="8"/>
    </row>
    <row r="82" spans="1:30" ht="15">
      <c r="A82" s="58"/>
      <c r="B82" s="69">
        <v>52</v>
      </c>
      <c r="C82" s="43" t="s">
        <v>280</v>
      </c>
      <c r="D82" s="17">
        <f>0.18*2^-2.9</f>
        <v>2.4114902907066599E-2</v>
      </c>
      <c r="E82" s="142">
        <f t="shared" si="12"/>
        <v>0.2199128307467457</v>
      </c>
      <c r="F82" s="71">
        <f t="shared" si="8"/>
        <v>21.99128307467457</v>
      </c>
      <c r="G82" s="84">
        <f t="shared" si="9"/>
        <v>224.97082585392084</v>
      </c>
      <c r="H82" s="43"/>
      <c r="I82" s="8">
        <f t="shared" si="10"/>
        <v>14411.987362987978</v>
      </c>
      <c r="J82" s="8"/>
      <c r="K82" s="8"/>
      <c r="L82" s="8"/>
      <c r="M82" s="8"/>
      <c r="N82" s="8"/>
      <c r="O82" s="8"/>
      <c r="P82" s="8"/>
      <c r="Q82" s="8"/>
      <c r="R82" s="8"/>
      <c r="S82" s="8"/>
      <c r="T82" s="8"/>
      <c r="U82" s="8"/>
      <c r="V82" s="8"/>
      <c r="W82" s="8"/>
      <c r="X82" s="8"/>
      <c r="Y82" s="8"/>
      <c r="Z82" s="8"/>
      <c r="AA82" s="8"/>
      <c r="AB82" s="8"/>
      <c r="AC82" s="8"/>
      <c r="AD82" s="8"/>
    </row>
    <row r="83" spans="1:30" ht="15">
      <c r="A83" s="58"/>
      <c r="B83" s="69">
        <v>53</v>
      </c>
      <c r="C83" s="43" t="s">
        <v>281</v>
      </c>
      <c r="D83" s="17">
        <f>0.18*2^-2.8</f>
        <v>2.5845712987433288E-2</v>
      </c>
      <c r="E83" s="142">
        <f t="shared" si="12"/>
        <v>0.2254069083060701</v>
      </c>
      <c r="F83" s="71">
        <f t="shared" si="8"/>
        <v>22.540690830607009</v>
      </c>
      <c r="G83" s="84">
        <f t="shared" si="9"/>
        <v>230.59126719710972</v>
      </c>
      <c r="H83" s="43"/>
      <c r="I83" s="8">
        <f t="shared" si="10"/>
        <v>14772.041735838304</v>
      </c>
      <c r="J83" s="8"/>
      <c r="K83" s="8"/>
      <c r="L83" s="8"/>
      <c r="M83" s="8"/>
      <c r="N83" s="8"/>
      <c r="O83" s="8"/>
      <c r="P83" s="8"/>
      <c r="Q83" s="8"/>
      <c r="R83" s="8"/>
      <c r="S83" s="8"/>
      <c r="T83" s="8"/>
      <c r="U83" s="8"/>
      <c r="V83" s="8"/>
      <c r="W83" s="8"/>
      <c r="X83" s="8"/>
      <c r="Y83" s="8"/>
      <c r="Z83" s="8"/>
      <c r="AA83" s="8"/>
      <c r="AB83" s="8"/>
      <c r="AC83" s="8"/>
      <c r="AD83" s="8"/>
    </row>
    <row r="84" spans="1:30" ht="15">
      <c r="A84" s="58"/>
      <c r="B84" s="69">
        <v>54</v>
      </c>
      <c r="C84" s="43" t="s">
        <v>282</v>
      </c>
      <c r="D84" s="17">
        <f>0.18*2^-2.7</f>
        <v>2.7700749300260612E-2</v>
      </c>
      <c r="E84" s="142">
        <f t="shared" si="12"/>
        <v>0.23100826354819037</v>
      </c>
      <c r="F84" s="71">
        <f t="shared" si="8"/>
        <v>23.100826354819038</v>
      </c>
      <c r="G84" s="84">
        <f t="shared" si="9"/>
        <v>236.32145360979877</v>
      </c>
      <c r="H84" s="43"/>
      <c r="I84" s="8">
        <f t="shared" si="10"/>
        <v>15139.126551630656</v>
      </c>
      <c r="J84" s="8"/>
      <c r="K84" s="8"/>
      <c r="L84" s="8"/>
      <c r="M84" s="8"/>
      <c r="N84" s="8"/>
      <c r="O84" s="8"/>
      <c r="P84" s="8"/>
      <c r="Q84" s="8"/>
      <c r="R84" s="8"/>
      <c r="S84" s="8"/>
      <c r="T84" s="8"/>
      <c r="U84" s="8"/>
      <c r="V84" s="8"/>
      <c r="W84" s="8"/>
      <c r="X84" s="8"/>
      <c r="Y84" s="8"/>
      <c r="Z84" s="8"/>
      <c r="AA84" s="8"/>
      <c r="AB84" s="8"/>
      <c r="AC84" s="8"/>
      <c r="AD84" s="8"/>
    </row>
    <row r="85" spans="1:30" ht="15">
      <c r="A85" s="58"/>
      <c r="B85" s="69">
        <v>55</v>
      </c>
      <c r="C85" s="43" t="s">
        <v>283</v>
      </c>
      <c r="D85" s="17">
        <f>0.18*2^-2.6</f>
        <v>2.9688927992390122E-2</v>
      </c>
      <c r="E85" s="142">
        <f t="shared" si="12"/>
        <v>0.23671356134600169</v>
      </c>
      <c r="F85" s="71">
        <f t="shared" si="8"/>
        <v>23.67135613460017</v>
      </c>
      <c r="G85" s="84">
        <f t="shared" si="9"/>
        <v>242.15797325695974</v>
      </c>
      <c r="H85" s="43"/>
      <c r="I85" s="8">
        <f t="shared" si="10"/>
        <v>15513.023242810221</v>
      </c>
      <c r="J85" s="8"/>
      <c r="K85" s="8"/>
      <c r="L85" s="8"/>
      <c r="M85" s="8"/>
      <c r="N85" s="8"/>
      <c r="O85" s="8"/>
      <c r="P85" s="8"/>
      <c r="Q85" s="8"/>
      <c r="R85" s="8"/>
      <c r="S85" s="8"/>
      <c r="T85" s="8"/>
      <c r="U85" s="8"/>
      <c r="V85" s="8"/>
      <c r="W85" s="8"/>
      <c r="X85" s="8"/>
      <c r="Y85" s="8"/>
      <c r="Z85" s="8"/>
      <c r="AA85" s="8"/>
      <c r="AB85" s="8"/>
      <c r="AC85" s="8"/>
      <c r="AD85" s="8"/>
    </row>
    <row r="86" spans="1:30" ht="15">
      <c r="A86" s="58"/>
      <c r="B86" s="69">
        <v>56</v>
      </c>
      <c r="C86" s="43" t="s">
        <v>284</v>
      </c>
      <c r="D86" s="17">
        <f>0.18*2^-2.5</f>
        <v>3.1819805153394637E-2</v>
      </c>
      <c r="E86" s="142">
        <f t="shared" si="12"/>
        <v>0.24251938188131833</v>
      </c>
      <c r="F86" s="71">
        <f t="shared" si="8"/>
        <v>24.251938188131835</v>
      </c>
      <c r="G86" s="84">
        <f t="shared" si="9"/>
        <v>248.09732766458865</v>
      </c>
      <c r="H86" s="43"/>
      <c r="I86" s="8">
        <f t="shared" si="10"/>
        <v>15893.507691592196</v>
      </c>
      <c r="J86" s="8"/>
      <c r="K86" s="8"/>
      <c r="L86" s="8"/>
      <c r="M86" s="8"/>
      <c r="N86" s="8"/>
      <c r="O86" s="8"/>
      <c r="P86" s="8"/>
      <c r="Q86" s="8"/>
      <c r="R86" s="8"/>
      <c r="S86" s="8"/>
      <c r="T86" s="8"/>
      <c r="U86" s="8"/>
      <c r="V86" s="8"/>
      <c r="W86" s="8"/>
      <c r="X86" s="8"/>
      <c r="Y86" s="8"/>
      <c r="Z86" s="8"/>
      <c r="AA86" s="8"/>
      <c r="AB86" s="8"/>
      <c r="AC86" s="8"/>
      <c r="AD86" s="8"/>
    </row>
    <row r="87" spans="1:30" ht="15">
      <c r="A87" s="58"/>
      <c r="B87" s="69">
        <v>57</v>
      </c>
      <c r="C87" s="43" t="s">
        <v>285</v>
      </c>
      <c r="D87" s="17">
        <f>0.18*2^-2.4</f>
        <v>3.4103622746483958E-2</v>
      </c>
      <c r="E87" s="142">
        <f t="shared" si="12"/>
        <v>0.24842224198321411</v>
      </c>
      <c r="F87" s="71">
        <f t="shared" si="8"/>
        <v>24.842224198321411</v>
      </c>
      <c r="G87" s="84">
        <f t="shared" si="9"/>
        <v>254.13595354882804</v>
      </c>
      <c r="H87" s="43"/>
      <c r="I87" s="8">
        <f t="shared" si="10"/>
        <v>16280.351628369937</v>
      </c>
      <c r="J87" s="8"/>
      <c r="K87" s="8"/>
      <c r="L87" s="8"/>
      <c r="M87" s="8"/>
      <c r="N87" s="8"/>
      <c r="O87" s="8"/>
      <c r="P87" s="8"/>
      <c r="Q87" s="8"/>
      <c r="R87" s="8"/>
      <c r="S87" s="8"/>
      <c r="T87" s="8"/>
      <c r="U87" s="8"/>
      <c r="V87" s="8"/>
      <c r="W87" s="8"/>
      <c r="X87" s="8"/>
      <c r="Y87" s="8"/>
      <c r="Z87" s="8"/>
      <c r="AA87" s="8"/>
      <c r="AB87" s="8"/>
      <c r="AC87" s="8"/>
      <c r="AD87" s="8"/>
    </row>
    <row r="88" spans="1:30" ht="15">
      <c r="A88" s="58"/>
      <c r="B88" s="69">
        <v>58</v>
      </c>
      <c r="C88" s="43" t="s">
        <v>286</v>
      </c>
      <c r="D88" s="17">
        <f>0.18*2^-2.3</f>
        <v>3.6551357836030605E-2</v>
      </c>
      <c r="E88" s="142">
        <f t="shared" si="12"/>
        <v>0.25441861556672424</v>
      </c>
      <c r="F88" s="71">
        <f t="shared" si="8"/>
        <v>25.441861556672425</v>
      </c>
      <c r="G88" s="84">
        <f t="shared" si="9"/>
        <v>260.27024372475887</v>
      </c>
      <c r="H88" s="43"/>
      <c r="I88" s="8">
        <f t="shared" si="10"/>
        <v>16673.323971165271</v>
      </c>
      <c r="J88" s="8"/>
      <c r="K88" s="8"/>
      <c r="L88" s="8"/>
      <c r="M88" s="8"/>
      <c r="N88" s="8"/>
      <c r="O88" s="8"/>
      <c r="P88" s="8"/>
      <c r="Q88" s="8"/>
      <c r="R88" s="8"/>
      <c r="S88" s="8"/>
      <c r="T88" s="8"/>
      <c r="U88" s="8"/>
      <c r="V88" s="8"/>
      <c r="W88" s="8"/>
      <c r="X88" s="8"/>
      <c r="Y88" s="8"/>
      <c r="Z88" s="8"/>
      <c r="AA88" s="8"/>
      <c r="AB88" s="8"/>
      <c r="AC88" s="8"/>
      <c r="AD88" s="8"/>
    </row>
    <row r="89" spans="1:30" ht="15">
      <c r="A89" s="58"/>
      <c r="B89" s="69">
        <v>59</v>
      </c>
      <c r="C89" s="43" t="s">
        <v>287</v>
      </c>
      <c r="D89" s="17">
        <f>0.18*2^-2.2</f>
        <v>3.9174775348325593E-2</v>
      </c>
      <c r="E89" s="142">
        <f t="shared" si="12"/>
        <v>0.26050495299199938</v>
      </c>
      <c r="F89" s="71">
        <f t="shared" si="8"/>
        <v>26.050495299199937</v>
      </c>
      <c r="G89" s="84">
        <f t="shared" si="9"/>
        <v>266.49656691081537</v>
      </c>
      <c r="H89" s="43"/>
      <c r="I89" s="8">
        <f t="shared" si="10"/>
        <v>17072.19209433068</v>
      </c>
      <c r="J89" s="8"/>
      <c r="K89" s="8"/>
      <c r="L89" s="8"/>
      <c r="M89" s="8"/>
      <c r="N89" s="8"/>
      <c r="O89" s="8"/>
      <c r="P89" s="8"/>
      <c r="Q89" s="8"/>
      <c r="R89" s="8"/>
      <c r="S89" s="8"/>
      <c r="T89" s="8"/>
      <c r="U89" s="8"/>
      <c r="V89" s="8"/>
      <c r="W89" s="8"/>
      <c r="X89" s="8"/>
      <c r="Y89" s="8"/>
      <c r="Z89" s="8"/>
      <c r="AA89" s="8"/>
      <c r="AB89" s="8"/>
      <c r="AC89" s="8"/>
      <c r="AD89" s="8"/>
    </row>
    <row r="90" spans="1:30" ht="15">
      <c r="A90" s="58"/>
      <c r="B90" s="69">
        <v>60</v>
      </c>
      <c r="C90" s="43" t="s">
        <v>288</v>
      </c>
      <c r="D90" s="17">
        <f>0.18*2^-2.1</f>
        <v>4.1986484619156335E-2</v>
      </c>
      <c r="E90" s="142">
        <f t="shared" si="12"/>
        <v>0.26667769919951878</v>
      </c>
      <c r="F90" s="71">
        <f t="shared" si="8"/>
        <v>26.66776991995188</v>
      </c>
      <c r="G90" s="84">
        <f t="shared" si="9"/>
        <v>272.8112862811077</v>
      </c>
      <c r="H90" s="43"/>
      <c r="I90" s="8">
        <f t="shared" si="10"/>
        <v>17476.723017040462</v>
      </c>
      <c r="J90" s="8"/>
      <c r="K90" s="8"/>
      <c r="L90" s="8"/>
      <c r="M90" s="8"/>
      <c r="N90" s="8"/>
      <c r="O90" s="8"/>
      <c r="P90" s="8"/>
      <c r="Q90" s="8"/>
      <c r="R90" s="8"/>
      <c r="S90" s="8"/>
      <c r="T90" s="8"/>
      <c r="U90" s="8"/>
      <c r="V90" s="8"/>
      <c r="W90" s="8"/>
      <c r="X90" s="8"/>
      <c r="Y90" s="8"/>
      <c r="Z90" s="8"/>
      <c r="AA90" s="8"/>
      <c r="AB90" s="8"/>
      <c r="AC90" s="8"/>
      <c r="AD90" s="8"/>
    </row>
    <row r="91" spans="1:30" ht="15">
      <c r="A91" s="58"/>
      <c r="B91" s="69">
        <v>61</v>
      </c>
      <c r="C91" s="43" t="s">
        <v>289</v>
      </c>
      <c r="D91" s="17">
        <f>0.18*2^-2</f>
        <v>4.4999999999999998E-2</v>
      </c>
      <c r="E91" s="142">
        <f t="shared" si="12"/>
        <v>0.27293331051180841</v>
      </c>
      <c r="F91" s="71">
        <f t="shared" si="8"/>
        <v>27.293331051180843</v>
      </c>
      <c r="G91" s="84">
        <f t="shared" si="9"/>
        <v>279.21077665358001</v>
      </c>
      <c r="H91" s="43"/>
      <c r="I91" s="8">
        <f t="shared" si="10"/>
        <v>17886.684504391364</v>
      </c>
      <c r="J91" s="8"/>
      <c r="K91" s="8"/>
      <c r="L91" s="8"/>
      <c r="M91" s="8"/>
      <c r="N91" s="8"/>
      <c r="O91" s="8"/>
      <c r="P91" s="8"/>
      <c r="Q91" s="8"/>
      <c r="R91" s="8"/>
      <c r="S91" s="8"/>
      <c r="T91" s="8"/>
      <c r="U91" s="8"/>
      <c r="V91" s="8"/>
      <c r="W91" s="8"/>
      <c r="X91" s="8"/>
      <c r="Y91" s="8"/>
      <c r="Z91" s="8"/>
      <c r="AA91" s="8"/>
      <c r="AB91" s="8"/>
      <c r="AC91" s="8"/>
      <c r="AD91" s="8"/>
    </row>
    <row r="92" spans="1:30" ht="15">
      <c r="A92" s="58"/>
      <c r="B92" s="69">
        <v>62</v>
      </c>
      <c r="C92" s="43" t="s">
        <v>290</v>
      </c>
      <c r="D92" s="17">
        <f>0.18*2^-1.9</f>
        <v>4.8229805814133192E-2</v>
      </c>
      <c r="E92" s="142">
        <f t="shared" si="12"/>
        <v>0.2792682700253763</v>
      </c>
      <c r="F92" s="71">
        <f t="shared" si="8"/>
        <v>27.926827002537628</v>
      </c>
      <c r="G92" s="84">
        <f t="shared" si="9"/>
        <v>285.69144023595993</v>
      </c>
      <c r="H92" s="43"/>
      <c r="I92" s="8">
        <f t="shared" si="10"/>
        <v>18301.846076113037</v>
      </c>
      <c r="J92" s="8"/>
      <c r="K92" s="8"/>
      <c r="L92" s="8"/>
      <c r="M92" s="8"/>
      <c r="N92" s="8"/>
      <c r="O92" s="8"/>
      <c r="P92" s="8"/>
      <c r="Q92" s="8"/>
      <c r="R92" s="8"/>
      <c r="S92" s="8"/>
      <c r="T92" s="8"/>
      <c r="U92" s="8"/>
      <c r="V92" s="8"/>
      <c r="W92" s="8"/>
      <c r="X92" s="8"/>
      <c r="Y92" s="8"/>
      <c r="Z92" s="8"/>
      <c r="AA92" s="8"/>
      <c r="AB92" s="8"/>
      <c r="AC92" s="8"/>
      <c r="AD92" s="8"/>
    </row>
    <row r="93" spans="1:30" ht="15">
      <c r="A93" s="58"/>
      <c r="B93" s="69">
        <v>63</v>
      </c>
      <c r="C93" s="43" t="s">
        <v>291</v>
      </c>
      <c r="D93" s="17">
        <f>0.18*2^-1.8</f>
        <v>5.1691425974866576E-2</v>
      </c>
      <c r="E93" s="142">
        <f t="shared" si="12"/>
        <v>0.28567910154754511</v>
      </c>
      <c r="F93" s="71">
        <f t="shared" si="8"/>
        <v>28.567910154754511</v>
      </c>
      <c r="G93" s="84">
        <f t="shared" si="9"/>
        <v>292.24972088313865</v>
      </c>
      <c r="H93" s="43"/>
      <c r="I93" s="8">
        <f t="shared" si="10"/>
        <v>18721.979919918369</v>
      </c>
      <c r="J93" s="8"/>
      <c r="K93" s="8"/>
      <c r="L93" s="8"/>
      <c r="M93" s="8"/>
      <c r="N93" s="8"/>
      <c r="O93" s="8"/>
      <c r="P93" s="8"/>
      <c r="Q93" s="8"/>
      <c r="R93" s="8"/>
      <c r="S93" s="8"/>
      <c r="T93" s="8"/>
      <c r="U93" s="8"/>
      <c r="V93" s="8"/>
      <c r="W93" s="8"/>
      <c r="X93" s="8"/>
      <c r="Y93" s="8"/>
      <c r="Z93" s="8"/>
      <c r="AA93" s="8"/>
      <c r="AB93" s="8"/>
      <c r="AC93" s="8"/>
      <c r="AD93" s="8"/>
    </row>
    <row r="94" spans="1:30" ht="15">
      <c r="A94" s="58"/>
      <c r="B94" s="69">
        <v>64</v>
      </c>
      <c r="C94" s="43" t="s">
        <v>292</v>
      </c>
      <c r="D94" s="17">
        <f>0.18*2^-1.7</f>
        <v>5.540149860052123E-2</v>
      </c>
      <c r="E94" s="142">
        <f t="shared" si="12"/>
        <v>0.29216238206100187</v>
      </c>
      <c r="F94" s="71">
        <f t="shared" si="8"/>
        <v>29.216238206100186</v>
      </c>
      <c r="G94" s="84">
        <f t="shared" si="9"/>
        <v>298.88211684840491</v>
      </c>
      <c r="H94" s="43"/>
      <c r="I94" s="8">
        <f t="shared" si="10"/>
        <v>19146.861708367756</v>
      </c>
      <c r="J94" s="8"/>
      <c r="K94" s="8"/>
      <c r="L94" s="8"/>
      <c r="M94" s="8"/>
      <c r="N94" s="8"/>
      <c r="O94" s="8"/>
      <c r="P94" s="8"/>
      <c r="Q94" s="8"/>
      <c r="R94" s="8"/>
      <c r="S94" s="8"/>
      <c r="T94" s="8"/>
      <c r="U94" s="8"/>
      <c r="V94" s="8"/>
      <c r="W94" s="8"/>
      <c r="X94" s="8"/>
      <c r="Y94" s="8"/>
      <c r="Z94" s="8"/>
      <c r="AA94" s="8"/>
      <c r="AB94" s="8"/>
      <c r="AC94" s="8"/>
      <c r="AD94" s="8"/>
    </row>
    <row r="95" spans="1:30" ht="15">
      <c r="A95" s="58"/>
      <c r="B95" s="69">
        <v>65</v>
      </c>
      <c r="C95" s="43" t="s">
        <v>293</v>
      </c>
      <c r="D95" s="17">
        <f>0.18*2^-1.6</f>
        <v>5.9377855984780244E-2</v>
      </c>
      <c r="E95" s="142">
        <f t="shared" ref="E95:E158" si="13">(420+LOG10((D95+0.01)/0.19)*261.5)/1023</f>
        <v>0.29871475272382908</v>
      </c>
      <c r="F95" s="71">
        <f t="shared" si="8"/>
        <v>29.871475272382909</v>
      </c>
      <c r="G95" s="84">
        <f t="shared" si="9"/>
        <v>305.58519203647717</v>
      </c>
      <c r="H95" s="43"/>
      <c r="I95" s="8">
        <f t="shared" si="10"/>
        <v>19576.271319756139</v>
      </c>
      <c r="J95" s="8"/>
      <c r="K95" s="8"/>
      <c r="L95" s="8"/>
      <c r="M95" s="8"/>
      <c r="N95" s="8"/>
      <c r="O95" s="8"/>
      <c r="P95" s="8"/>
      <c r="Q95" s="8"/>
      <c r="R95" s="8"/>
      <c r="S95" s="8"/>
      <c r="T95" s="8"/>
      <c r="U95" s="8"/>
      <c r="V95" s="8"/>
      <c r="W95" s="8"/>
      <c r="X95" s="8"/>
      <c r="Y95" s="8"/>
      <c r="Z95" s="8"/>
      <c r="AA95" s="8"/>
      <c r="AB95" s="8"/>
      <c r="AC95" s="8"/>
      <c r="AD95" s="8"/>
    </row>
    <row r="96" spans="1:30" ht="15">
      <c r="A96" s="58"/>
      <c r="B96" s="69">
        <v>66</v>
      </c>
      <c r="C96" s="43" t="s">
        <v>294</v>
      </c>
      <c r="D96" s="17">
        <f>0.18*2^-1.5</f>
        <v>6.3639610306789274E-2</v>
      </c>
      <c r="E96" s="142">
        <f t="shared" si="13"/>
        <v>0.30533292843433618</v>
      </c>
      <c r="F96" s="71">
        <f t="shared" si="8"/>
        <v>30.533292843433617</v>
      </c>
      <c r="G96" s="84">
        <f t="shared" si="9"/>
        <v>312.35558578832593</v>
      </c>
      <c r="H96" s="43"/>
      <c r="I96" s="8">
        <f t="shared" ref="I96:I159" si="14">E96*(2^16-1)</f>
        <v>20009.993464944222</v>
      </c>
      <c r="J96" s="8"/>
      <c r="K96" s="8"/>
      <c r="L96" s="8"/>
      <c r="M96" s="8"/>
      <c r="N96" s="8"/>
      <c r="O96" s="8"/>
      <c r="P96" s="8"/>
      <c r="Q96" s="8"/>
      <c r="R96" s="8"/>
      <c r="S96" s="8"/>
      <c r="T96" s="8"/>
      <c r="U96" s="8"/>
      <c r="V96" s="8"/>
      <c r="W96" s="8"/>
      <c r="X96" s="8"/>
      <c r="Y96" s="8"/>
      <c r="Z96" s="8"/>
      <c r="AA96" s="8"/>
      <c r="AB96" s="8"/>
      <c r="AC96" s="8"/>
      <c r="AD96" s="8"/>
    </row>
    <row r="97" spans="1:30" ht="15">
      <c r="A97" s="58"/>
      <c r="B97" s="69">
        <v>67</v>
      </c>
      <c r="C97" s="43" t="s">
        <v>295</v>
      </c>
      <c r="D97" s="17">
        <f>0.18*2^-1.4</f>
        <v>6.8207245492967916E-2</v>
      </c>
      <c r="E97" s="142">
        <f t="shared" si="13"/>
        <v>0.31201370600811074</v>
      </c>
      <c r="F97" s="71">
        <f t="shared" si="8"/>
        <v>31.201370600811074</v>
      </c>
      <c r="G97" s="84">
        <f t="shared" si="9"/>
        <v>319.19002124629731</v>
      </c>
      <c r="H97" s="43"/>
      <c r="I97" s="8">
        <f t="shared" si="14"/>
        <v>20447.818223241538</v>
      </c>
      <c r="J97" s="8"/>
      <c r="K97" s="8"/>
      <c r="L97" s="8"/>
      <c r="M97" s="8"/>
      <c r="N97" s="8"/>
      <c r="O97" s="8"/>
      <c r="P97" s="8"/>
      <c r="Q97" s="8"/>
      <c r="R97" s="8"/>
      <c r="S97" s="8"/>
      <c r="T97" s="8"/>
      <c r="U97" s="8"/>
      <c r="V97" s="8"/>
      <c r="W97" s="8"/>
      <c r="X97" s="8"/>
      <c r="Y97" s="8"/>
      <c r="Z97" s="8"/>
      <c r="AA97" s="8"/>
      <c r="AB97" s="8"/>
      <c r="AC97" s="8"/>
      <c r="AD97" s="8"/>
    </row>
    <row r="98" spans="1:30" ht="15">
      <c r="A98" s="58"/>
      <c r="B98" s="69">
        <v>68</v>
      </c>
      <c r="C98" s="43" t="s">
        <v>296</v>
      </c>
      <c r="D98" s="17">
        <f>0.18*2^-1.3</f>
        <v>7.3102715672061183E-2</v>
      </c>
      <c r="E98" s="142">
        <f t="shared" si="13"/>
        <v>0.31875397102941611</v>
      </c>
      <c r="F98" s="71">
        <f t="shared" si="8"/>
        <v>31.875397102941612</v>
      </c>
      <c r="G98" s="84">
        <f t="shared" si="9"/>
        <v>326.08531236309267</v>
      </c>
      <c r="H98" s="43"/>
      <c r="I98" s="8">
        <f t="shared" si="14"/>
        <v>20889.541491412783</v>
      </c>
      <c r="J98" s="8"/>
      <c r="K98" s="8"/>
      <c r="L98" s="8"/>
      <c r="M98" s="8"/>
      <c r="N98" s="8"/>
      <c r="O98" s="8"/>
      <c r="P98" s="8"/>
      <c r="Q98" s="8"/>
      <c r="R98" s="8"/>
      <c r="S98" s="8"/>
      <c r="T98" s="8"/>
      <c r="U98" s="8"/>
      <c r="V98" s="8"/>
      <c r="W98" s="8"/>
      <c r="X98" s="8"/>
      <c r="Y98" s="8"/>
      <c r="Z98" s="8"/>
      <c r="AA98" s="8"/>
      <c r="AB98" s="8"/>
      <c r="AC98" s="8"/>
      <c r="AD98" s="8"/>
    </row>
    <row r="99" spans="1:30" ht="15">
      <c r="A99" s="58"/>
      <c r="B99" s="69">
        <v>69</v>
      </c>
      <c r="C99" s="43" t="s">
        <v>297</v>
      </c>
      <c r="D99" s="17">
        <f>0.18*2^-1.2</f>
        <v>7.8349550696651171E-2</v>
      </c>
      <c r="E99" s="142">
        <f t="shared" si="13"/>
        <v>0.32555070345053305</v>
      </c>
      <c r="F99" s="71">
        <f t="shared" si="8"/>
        <v>32.555070345053302</v>
      </c>
      <c r="G99" s="84">
        <f t="shared" si="9"/>
        <v>333.03836962989533</v>
      </c>
      <c r="H99" s="43"/>
      <c r="I99" s="8">
        <f t="shared" si="14"/>
        <v>21334.965350630682</v>
      </c>
      <c r="J99" s="8"/>
      <c r="K99" s="8"/>
      <c r="L99" s="8"/>
      <c r="M99" s="8"/>
      <c r="N99" s="8"/>
      <c r="O99" s="8"/>
      <c r="P99" s="8"/>
      <c r="Q99" s="8"/>
      <c r="R99" s="8"/>
      <c r="S99" s="8"/>
      <c r="T99" s="8"/>
      <c r="U99" s="8"/>
      <c r="V99" s="8"/>
      <c r="W99" s="8"/>
      <c r="X99" s="8"/>
      <c r="Y99" s="8"/>
      <c r="Z99" s="8"/>
      <c r="AA99" s="8"/>
      <c r="AB99" s="8"/>
      <c r="AC99" s="8"/>
      <c r="AD99" s="8"/>
    </row>
    <row r="100" spans="1:30" ht="15">
      <c r="A100" s="58"/>
      <c r="B100" s="69">
        <v>70</v>
      </c>
      <c r="C100" s="43" t="s">
        <v>298</v>
      </c>
      <c r="D100" s="17">
        <f>0.18*2^-1.1</f>
        <v>8.397296923831267E-2</v>
      </c>
      <c r="E100" s="142">
        <f t="shared" si="13"/>
        <v>0.33240098202109941</v>
      </c>
      <c r="F100" s="71">
        <f t="shared" si="8"/>
        <v>33.240098202109941</v>
      </c>
      <c r="G100" s="84">
        <f t="shared" si="9"/>
        <v>340.04620460758468</v>
      </c>
      <c r="H100" s="43"/>
      <c r="I100" s="8">
        <f t="shared" si="14"/>
        <v>21783.89835675275</v>
      </c>
      <c r="J100" s="8"/>
      <c r="K100" s="8"/>
      <c r="L100" s="8"/>
      <c r="M100" s="8"/>
      <c r="N100" s="8"/>
      <c r="O100" s="8"/>
      <c r="P100" s="8"/>
      <c r="Q100" s="8"/>
      <c r="R100" s="8"/>
      <c r="S100" s="8"/>
      <c r="T100" s="8"/>
      <c r="U100" s="8"/>
      <c r="V100" s="8"/>
      <c r="W100" s="8"/>
      <c r="X100" s="8"/>
      <c r="Y100" s="8"/>
      <c r="Z100" s="8"/>
      <c r="AA100" s="8"/>
      <c r="AB100" s="8"/>
      <c r="AC100" s="8"/>
      <c r="AD100" s="8"/>
    </row>
    <row r="101" spans="1:30" ht="15">
      <c r="A101" s="58"/>
      <c r="B101" s="69">
        <v>71</v>
      </c>
      <c r="C101" s="43" t="s">
        <v>299</v>
      </c>
      <c r="D101" s="17">
        <f>0.18*2^-1</f>
        <v>0.09</v>
      </c>
      <c r="E101" s="142">
        <f t="shared" si="13"/>
        <v>0.33930198763522507</v>
      </c>
      <c r="F101" s="71">
        <f t="shared" si="8"/>
        <v>33.930198763522505</v>
      </c>
      <c r="G101" s="84">
        <f t="shared" si="9"/>
        <v>347.10593335083524</v>
      </c>
      <c r="H101" s="43"/>
      <c r="I101" s="8">
        <f t="shared" si="14"/>
        <v>22236.155759674475</v>
      </c>
      <c r="J101" s="8"/>
      <c r="K101" s="8"/>
      <c r="L101" s="8"/>
      <c r="M101" s="8"/>
      <c r="N101" s="8"/>
      <c r="O101" s="8"/>
      <c r="P101" s="8"/>
      <c r="Q101" s="8"/>
      <c r="R101" s="8"/>
      <c r="S101" s="8"/>
      <c r="T101" s="8"/>
      <c r="U101" s="8"/>
      <c r="V101" s="8"/>
      <c r="W101" s="8"/>
      <c r="X101" s="8"/>
      <c r="Y101" s="8"/>
      <c r="Z101" s="8"/>
      <c r="AA101" s="8"/>
      <c r="AB101" s="8"/>
      <c r="AC101" s="8"/>
      <c r="AD101" s="8"/>
    </row>
    <row r="102" spans="1:30" ht="15">
      <c r="A102" s="58"/>
      <c r="B102" s="69">
        <v>72</v>
      </c>
      <c r="C102" s="43" t="s">
        <v>300</v>
      </c>
      <c r="D102" s="17">
        <f>0.18*2^-0.9</f>
        <v>9.6459611628266384E-2</v>
      </c>
      <c r="E102" s="142">
        <f t="shared" si="13"/>
        <v>0.34625100568745387</v>
      </c>
      <c r="F102" s="71">
        <f t="shared" si="8"/>
        <v>34.625100568745388</v>
      </c>
      <c r="G102" s="84">
        <f t="shared" si="9"/>
        <v>354.2147788182653</v>
      </c>
      <c r="H102" s="43"/>
      <c r="I102" s="8">
        <f t="shared" si="14"/>
        <v>22691.559657727288</v>
      </c>
      <c r="J102" s="8"/>
      <c r="K102" s="8"/>
      <c r="L102" s="8"/>
      <c r="M102" s="8"/>
      <c r="N102" s="8"/>
      <c r="O102" s="8"/>
      <c r="P102" s="8"/>
      <c r="Q102" s="8"/>
      <c r="R102" s="8"/>
      <c r="S102" s="8"/>
      <c r="T102" s="8"/>
      <c r="U102" s="8"/>
      <c r="V102" s="8"/>
      <c r="W102" s="8"/>
      <c r="X102" s="8"/>
      <c r="Y102" s="8"/>
      <c r="Z102" s="8"/>
      <c r="AA102" s="8"/>
      <c r="AB102" s="8"/>
      <c r="AC102" s="8"/>
      <c r="AD102" s="8"/>
    </row>
    <row r="103" spans="1:30" ht="15">
      <c r="A103" s="58"/>
      <c r="B103" s="69">
        <v>73</v>
      </c>
      <c r="C103" s="43" t="s">
        <v>301</v>
      </c>
      <c r="D103" s="17">
        <f>0.18*2^-0.8</f>
        <v>0.10338285194973315</v>
      </c>
      <c r="E103" s="142">
        <f t="shared" si="13"/>
        <v>0.35324542752983484</v>
      </c>
      <c r="F103" s="71">
        <f t="shared" si="8"/>
        <v>35.324542752983483</v>
      </c>
      <c r="G103" s="84">
        <f t="shared" si="9"/>
        <v>361.37007236302105</v>
      </c>
      <c r="H103" s="43"/>
      <c r="I103" s="8">
        <f t="shared" si="14"/>
        <v>23149.939093167726</v>
      </c>
      <c r="J103" s="8"/>
      <c r="K103" s="8"/>
      <c r="L103" s="8"/>
      <c r="M103" s="8"/>
      <c r="N103" s="8"/>
      <c r="O103" s="8"/>
      <c r="P103" s="8"/>
      <c r="Q103" s="8"/>
      <c r="R103" s="8"/>
      <c r="S103" s="8"/>
      <c r="T103" s="8"/>
      <c r="U103" s="8"/>
      <c r="V103" s="8"/>
      <c r="W103" s="8"/>
      <c r="X103" s="8"/>
      <c r="Y103" s="8"/>
      <c r="Z103" s="8"/>
      <c r="AA103" s="8"/>
      <c r="AB103" s="8"/>
      <c r="AC103" s="8"/>
      <c r="AD103" s="8"/>
    </row>
    <row r="104" spans="1:30" ht="15">
      <c r="A104" s="58"/>
      <c r="B104" s="69">
        <v>74</v>
      </c>
      <c r="C104" s="43" t="s">
        <v>302</v>
      </c>
      <c r="D104" s="17">
        <f>0.18*2^-0.7</f>
        <v>0.11080299720104246</v>
      </c>
      <c r="E104" s="142">
        <f t="shared" si="13"/>
        <v>0.36028275112177022</v>
      </c>
      <c r="F104" s="71">
        <f t="shared" si="8"/>
        <v>36.02827511217702</v>
      </c>
      <c r="G104" s="84">
        <f t="shared" si="9"/>
        <v>368.56925439757094</v>
      </c>
      <c r="H104" s="43"/>
      <c r="I104" s="8">
        <f t="shared" si="14"/>
        <v>23611.130094765213</v>
      </c>
      <c r="J104" s="8"/>
      <c r="K104" s="8"/>
      <c r="L104" s="8"/>
      <c r="M104" s="8"/>
      <c r="N104" s="8"/>
      <c r="O104" s="8"/>
      <c r="P104" s="8"/>
      <c r="Q104" s="8"/>
      <c r="R104" s="8"/>
      <c r="S104" s="8"/>
      <c r="T104" s="8"/>
      <c r="U104" s="8"/>
      <c r="V104" s="8"/>
      <c r="W104" s="8"/>
      <c r="X104" s="8"/>
      <c r="Y104" s="8"/>
      <c r="Z104" s="8"/>
      <c r="AA104" s="8"/>
      <c r="AB104" s="8"/>
      <c r="AC104" s="8"/>
      <c r="AD104" s="8"/>
    </row>
    <row r="105" spans="1:30" ht="15">
      <c r="A105" s="58"/>
      <c r="B105" s="69">
        <v>75</v>
      </c>
      <c r="C105" s="43" t="s">
        <v>303</v>
      </c>
      <c r="D105" s="17">
        <f>0.18*2^-0.6</f>
        <v>0.11875571196956049</v>
      </c>
      <c r="E105" s="142">
        <f t="shared" si="13"/>
        <v>0.36736058096224605</v>
      </c>
      <c r="F105" s="71">
        <f t="shared" si="8"/>
        <v>36.736058096224603</v>
      </c>
      <c r="G105" s="84">
        <f t="shared" si="9"/>
        <v>375.80987432437769</v>
      </c>
      <c r="H105" s="43"/>
      <c r="I105" s="8">
        <f t="shared" si="14"/>
        <v>24074.975673360794</v>
      </c>
      <c r="J105" s="8"/>
      <c r="K105" s="8"/>
      <c r="L105" s="8"/>
      <c r="M105" s="8"/>
      <c r="N105" s="8"/>
      <c r="O105" s="8"/>
      <c r="P105" s="8"/>
      <c r="Q105" s="8"/>
      <c r="R105" s="8"/>
      <c r="S105" s="8"/>
      <c r="T105" s="8"/>
      <c r="U105" s="8"/>
      <c r="V105" s="8"/>
      <c r="W105" s="8"/>
      <c r="X105" s="8"/>
      <c r="Y105" s="8"/>
      <c r="Z105" s="8"/>
      <c r="AA105" s="8"/>
      <c r="AB105" s="8"/>
      <c r="AC105" s="8"/>
      <c r="AD105" s="8"/>
    </row>
    <row r="106" spans="1:30" ht="15">
      <c r="A106" s="58"/>
      <c r="B106" s="69">
        <v>76</v>
      </c>
      <c r="C106" s="43" t="s">
        <v>304</v>
      </c>
      <c r="D106" s="17">
        <f>0.18*2^-0.5</f>
        <v>0.12727922061357855</v>
      </c>
      <c r="E106" s="142">
        <f t="shared" si="13"/>
        <v>0.37447662739080689</v>
      </c>
      <c r="F106" s="71">
        <f t="shared" si="8"/>
        <v>37.447662739080691</v>
      </c>
      <c r="G106" s="84">
        <f t="shared" si="9"/>
        <v>383.08958982079542</v>
      </c>
      <c r="H106" s="43"/>
      <c r="I106" s="8">
        <f t="shared" si="14"/>
        <v>24541.325776056528</v>
      </c>
      <c r="J106" s="8"/>
      <c r="K106" s="8"/>
      <c r="L106" s="8"/>
      <c r="M106" s="8"/>
      <c r="N106" s="8"/>
      <c r="O106" s="8"/>
      <c r="P106" s="8"/>
      <c r="Q106" s="8"/>
      <c r="R106" s="8"/>
      <c r="S106" s="8"/>
      <c r="T106" s="8"/>
      <c r="U106" s="8"/>
      <c r="V106" s="8"/>
      <c r="W106" s="8"/>
      <c r="X106" s="8"/>
      <c r="Y106" s="8"/>
      <c r="Z106" s="8"/>
      <c r="AA106" s="8"/>
      <c r="AB106" s="8"/>
      <c r="AC106" s="8"/>
      <c r="AD106" s="8"/>
    </row>
    <row r="107" spans="1:30" ht="15">
      <c r="A107" s="58"/>
      <c r="B107" s="69">
        <v>77</v>
      </c>
      <c r="C107" s="43" t="s">
        <v>305</v>
      </c>
      <c r="D107" s="17">
        <f>0.18*2^-0.4</f>
        <v>0.13641449098593583</v>
      </c>
      <c r="E107" s="142">
        <f t="shared" si="13"/>
        <v>0.38162870533949139</v>
      </c>
      <c r="F107" s="71">
        <f t="shared" si="8"/>
        <v>38.162870533949139</v>
      </c>
      <c r="G107" s="84">
        <f t="shared" si="9"/>
        <v>390.40616556229969</v>
      </c>
      <c r="H107" s="43"/>
      <c r="I107" s="8">
        <f t="shared" si="14"/>
        <v>25010.03720442357</v>
      </c>
      <c r="J107" s="8"/>
      <c r="K107" s="8"/>
      <c r="L107" s="8"/>
      <c r="M107" s="8"/>
      <c r="N107" s="8"/>
      <c r="O107" s="8"/>
      <c r="P107" s="8"/>
      <c r="Q107" s="8"/>
      <c r="R107" s="8"/>
      <c r="S107" s="8"/>
      <c r="T107" s="8"/>
      <c r="U107" s="8"/>
      <c r="V107" s="8"/>
      <c r="W107" s="8"/>
      <c r="X107" s="8"/>
      <c r="Y107" s="8"/>
      <c r="Z107" s="8"/>
      <c r="AA107" s="8"/>
      <c r="AB107" s="8"/>
      <c r="AC107" s="8"/>
      <c r="AD107" s="8"/>
    </row>
    <row r="108" spans="1:30" ht="15">
      <c r="A108" s="58"/>
      <c r="B108" s="69">
        <v>78</v>
      </c>
      <c r="C108" s="43" t="s">
        <v>306</v>
      </c>
      <c r="D108" s="17">
        <f>0.18*2^-0.3</f>
        <v>0.14620543134412237</v>
      </c>
      <c r="E108" s="142">
        <f t="shared" si="13"/>
        <v>0.38881473261312538</v>
      </c>
      <c r="F108" s="71">
        <f t="shared" si="8"/>
        <v>38.881473261312536</v>
      </c>
      <c r="G108" s="84">
        <f t="shared" si="9"/>
        <v>397.75747146322726</v>
      </c>
      <c r="H108" s="43"/>
      <c r="I108" s="8">
        <f t="shared" si="14"/>
        <v>25480.973501801171</v>
      </c>
      <c r="J108" s="8"/>
      <c r="K108" s="8"/>
      <c r="L108" s="8"/>
      <c r="M108" s="8"/>
      <c r="N108" s="8"/>
      <c r="O108" s="8"/>
      <c r="P108" s="8"/>
      <c r="Q108" s="8"/>
      <c r="R108" s="8"/>
      <c r="S108" s="8"/>
      <c r="T108" s="8"/>
      <c r="U108" s="8"/>
      <c r="V108" s="8"/>
      <c r="W108" s="8"/>
      <c r="X108" s="8"/>
      <c r="Y108" s="8"/>
      <c r="Z108" s="8"/>
      <c r="AA108" s="8"/>
      <c r="AB108" s="8"/>
      <c r="AC108" s="8"/>
      <c r="AD108" s="8"/>
    </row>
    <row r="109" spans="1:30" ht="15">
      <c r="A109" s="58"/>
      <c r="B109" s="69">
        <v>79</v>
      </c>
      <c r="C109" s="43" t="s">
        <v>307</v>
      </c>
      <c r="D109" s="17">
        <f>0.18*2^-0.2</f>
        <v>0.15669910139330234</v>
      </c>
      <c r="E109" s="142">
        <f t="shared" si="13"/>
        <v>0.39603272777010473</v>
      </c>
      <c r="F109" s="71">
        <f t="shared" si="8"/>
        <v>39.603272777010474</v>
      </c>
      <c r="G109" s="84">
        <f t="shared" si="9"/>
        <v>405.14148050881715</v>
      </c>
      <c r="H109" s="43"/>
      <c r="I109" s="8">
        <f t="shared" si="14"/>
        <v>25954.004814413813</v>
      </c>
      <c r="J109" s="8"/>
      <c r="K109" s="8"/>
      <c r="L109" s="8"/>
      <c r="M109" s="8"/>
      <c r="N109" s="8"/>
      <c r="O109" s="8"/>
      <c r="P109" s="8"/>
      <c r="Q109" s="8"/>
      <c r="R109" s="8"/>
      <c r="S109" s="8"/>
      <c r="T109" s="8"/>
      <c r="U109" s="8"/>
      <c r="V109" s="8"/>
      <c r="W109" s="8"/>
      <c r="X109" s="8"/>
      <c r="Y109" s="8"/>
      <c r="Z109" s="8"/>
      <c r="AA109" s="8"/>
      <c r="AB109" s="8"/>
      <c r="AC109" s="8"/>
      <c r="AD109" s="8"/>
    </row>
    <row r="110" spans="1:30" ht="15">
      <c r="A110" s="58"/>
      <c r="B110" s="69">
        <v>80</v>
      </c>
      <c r="C110" s="43" t="s">
        <v>85</v>
      </c>
      <c r="D110" s="17">
        <f>0.18*2^-0.1</f>
        <v>0.16794593847662534</v>
      </c>
      <c r="E110" s="142">
        <f t="shared" si="13"/>
        <v>0.40328080767025948</v>
      </c>
      <c r="F110" s="71">
        <f t="shared" si="8"/>
        <v>40.328080767025945</v>
      </c>
      <c r="G110" s="84">
        <f t="shared" si="9"/>
        <v>412.55626624667542</v>
      </c>
      <c r="H110" s="43"/>
      <c r="I110" s="8">
        <f t="shared" si="14"/>
        <v>26429.007730670455</v>
      </c>
      <c r="J110" s="8"/>
      <c r="K110" s="8"/>
      <c r="L110" s="8"/>
      <c r="M110" s="8"/>
      <c r="N110" s="8"/>
      <c r="O110" s="8"/>
      <c r="P110" s="8"/>
      <c r="Q110" s="8"/>
      <c r="R110" s="8"/>
      <c r="S110" s="8"/>
      <c r="T110" s="8"/>
      <c r="U110" s="8"/>
      <c r="V110" s="8"/>
      <c r="W110" s="8"/>
      <c r="X110" s="8"/>
      <c r="Y110" s="8"/>
      <c r="Z110" s="8"/>
      <c r="AA110" s="8"/>
      <c r="AB110" s="8"/>
      <c r="AC110" s="8"/>
      <c r="AD110" s="8"/>
    </row>
    <row r="111" spans="1:30" ht="15">
      <c r="A111" s="58"/>
      <c r="B111" s="69">
        <v>81</v>
      </c>
      <c r="C111" s="43" t="s">
        <v>308</v>
      </c>
      <c r="D111" s="69">
        <v>0.18</v>
      </c>
      <c r="E111" s="142">
        <f t="shared" si="13"/>
        <v>0.41055718475073316</v>
      </c>
      <c r="F111" s="71">
        <f t="shared" si="8"/>
        <v>41.055718475073313</v>
      </c>
      <c r="G111" s="84">
        <f t="shared" si="9"/>
        <v>420</v>
      </c>
      <c r="H111" s="43"/>
      <c r="I111" s="8">
        <f t="shared" si="14"/>
        <v>26905.865102639298</v>
      </c>
      <c r="J111" s="8"/>
      <c r="K111" s="8"/>
      <c r="L111" s="8"/>
      <c r="M111" s="8"/>
      <c r="N111" s="8"/>
      <c r="O111" s="8"/>
      <c r="P111" s="8"/>
      <c r="Q111" s="8"/>
      <c r="R111" s="8"/>
      <c r="S111" s="8"/>
      <c r="T111" s="8"/>
      <c r="U111" s="8"/>
      <c r="V111" s="8"/>
      <c r="W111" s="8"/>
      <c r="X111" s="8"/>
      <c r="Y111" s="8"/>
      <c r="Z111" s="8"/>
      <c r="AA111" s="8"/>
      <c r="AB111" s="8"/>
      <c r="AC111" s="8"/>
      <c r="AD111" s="8"/>
    </row>
    <row r="112" spans="1:30" ht="15">
      <c r="A112" s="58"/>
      <c r="B112" s="69">
        <v>82</v>
      </c>
      <c r="C112" s="43" t="s">
        <v>309</v>
      </c>
      <c r="D112" s="69">
        <v>0.19291922325653199</v>
      </c>
      <c r="E112" s="142">
        <f t="shared" si="13"/>
        <v>0.41786016408516896</v>
      </c>
      <c r="F112" s="71">
        <f t="shared" si="8"/>
        <v>41.786016408516893</v>
      </c>
      <c r="G112" s="84">
        <f t="shared" si="9"/>
        <v>427.47094785912788</v>
      </c>
      <c r="H112" s="43"/>
      <c r="I112" s="8">
        <f t="shared" si="14"/>
        <v>27384.465853321548</v>
      </c>
      <c r="J112" s="8"/>
      <c r="K112" s="8"/>
      <c r="L112" s="8"/>
      <c r="M112" s="8"/>
      <c r="N112" s="8"/>
      <c r="O112" s="8"/>
      <c r="P112" s="8"/>
      <c r="Q112" s="8"/>
      <c r="R112" s="8"/>
      <c r="S112" s="8"/>
      <c r="T112" s="8"/>
      <c r="U112" s="8"/>
      <c r="V112" s="8"/>
      <c r="W112" s="8"/>
      <c r="X112" s="8"/>
      <c r="Y112" s="8"/>
      <c r="Z112" s="8"/>
      <c r="AA112" s="8"/>
      <c r="AB112" s="8"/>
      <c r="AC112" s="8"/>
      <c r="AD112" s="8"/>
    </row>
    <row r="113" spans="1:30" ht="15">
      <c r="A113" s="58"/>
      <c r="B113" s="69">
        <v>83</v>
      </c>
      <c r="C113" s="43" t="s">
        <v>87</v>
      </c>
      <c r="D113" s="69">
        <v>0.206765703899466</v>
      </c>
      <c r="E113" s="142">
        <f t="shared" si="13"/>
        <v>0.42518814027595986</v>
      </c>
      <c r="F113" s="71">
        <f t="shared" si="8"/>
        <v>42.518814027595987</v>
      </c>
      <c r="G113" s="84">
        <f t="shared" si="9"/>
        <v>434.96746750230693</v>
      </c>
      <c r="H113" s="43"/>
      <c r="I113" s="8">
        <f t="shared" si="14"/>
        <v>27864.704772985031</v>
      </c>
      <c r="J113" s="8"/>
      <c r="K113" s="8"/>
      <c r="L113" s="8"/>
      <c r="M113" s="8"/>
      <c r="N113" s="8"/>
      <c r="O113" s="8"/>
      <c r="P113" s="8"/>
      <c r="Q113" s="8"/>
      <c r="R113" s="8"/>
      <c r="S113" s="8"/>
      <c r="T113" s="8"/>
      <c r="U113" s="8"/>
      <c r="V113" s="8"/>
      <c r="W113" s="8"/>
      <c r="X113" s="8"/>
      <c r="Y113" s="8"/>
      <c r="Z113" s="8"/>
      <c r="AA113" s="8"/>
      <c r="AB113" s="8"/>
      <c r="AC113" s="8"/>
      <c r="AD113" s="8"/>
    </row>
    <row r="114" spans="1:30" ht="15">
      <c r="A114" s="58"/>
      <c r="B114" s="69">
        <v>84</v>
      </c>
      <c r="C114" s="43" t="s">
        <v>310</v>
      </c>
      <c r="D114" s="69">
        <v>0.22160599440208401</v>
      </c>
      <c r="E114" s="142">
        <f t="shared" si="13"/>
        <v>0.43253959422396954</v>
      </c>
      <c r="F114" s="71">
        <f t="shared" si="8"/>
        <v>43.253959422396953</v>
      </c>
      <c r="G114" s="84">
        <f t="shared" si="9"/>
        <v>442.48800489112085</v>
      </c>
      <c r="H114" s="43"/>
      <c r="I114" s="8">
        <f t="shared" si="14"/>
        <v>28346.482307467842</v>
      </c>
      <c r="J114" s="8"/>
      <c r="K114" s="8"/>
      <c r="L114" s="8"/>
      <c r="M114" s="8"/>
      <c r="N114" s="8"/>
      <c r="O114" s="8"/>
      <c r="P114" s="8"/>
      <c r="Q114" s="8"/>
      <c r="R114" s="8"/>
      <c r="S114" s="8"/>
      <c r="T114" s="8"/>
      <c r="U114" s="8"/>
      <c r="V114" s="8"/>
      <c r="W114" s="8"/>
      <c r="X114" s="8"/>
      <c r="Y114" s="8"/>
      <c r="Z114" s="8"/>
      <c r="AA114" s="8"/>
      <c r="AB114" s="8"/>
      <c r="AC114" s="8"/>
      <c r="AD114" s="8"/>
    </row>
    <row r="115" spans="1:30" ht="15">
      <c r="A115" s="58"/>
      <c r="B115" s="69">
        <v>85</v>
      </c>
      <c r="C115" s="43" t="s">
        <v>311</v>
      </c>
      <c r="D115" s="69">
        <v>0.23751142393912</v>
      </c>
      <c r="E115" s="142">
        <f t="shared" si="13"/>
        <v>0.43991308981506344</v>
      </c>
      <c r="F115" s="71">
        <f t="shared" si="8"/>
        <v>43.991308981506343</v>
      </c>
      <c r="G115" s="84">
        <f t="shared" si="9"/>
        <v>450.03109088080993</v>
      </c>
      <c r="H115" s="43"/>
      <c r="I115" s="8">
        <f t="shared" si="14"/>
        <v>28829.704341030181</v>
      </c>
      <c r="J115" s="8"/>
      <c r="K115" s="8"/>
      <c r="L115" s="8"/>
      <c r="M115" s="8"/>
      <c r="N115" s="8"/>
      <c r="O115" s="8"/>
      <c r="P115" s="8"/>
      <c r="Q115" s="8"/>
      <c r="R115" s="8"/>
      <c r="S115" s="8"/>
      <c r="T115" s="8"/>
      <c r="U115" s="8"/>
      <c r="V115" s="8"/>
      <c r="W115" s="8"/>
      <c r="X115" s="8"/>
      <c r="Y115" s="8"/>
      <c r="Z115" s="8"/>
      <c r="AA115" s="8"/>
      <c r="AB115" s="8"/>
      <c r="AC115" s="8"/>
      <c r="AD115" s="8"/>
    </row>
    <row r="116" spans="1:30" ht="15">
      <c r="A116" s="58"/>
      <c r="B116" s="69">
        <v>86</v>
      </c>
      <c r="C116" s="43" t="s">
        <v>312</v>
      </c>
      <c r="D116" s="69">
        <v>0.25455844122715698</v>
      </c>
      <c r="E116" s="142">
        <f t="shared" si="13"/>
        <v>0.44730727055796049</v>
      </c>
      <c r="F116" s="71">
        <f t="shared" si="8"/>
        <v>44.730727055796052</v>
      </c>
      <c r="G116" s="84">
        <f t="shared" si="9"/>
        <v>457.59533778079356</v>
      </c>
      <c r="H116" s="43"/>
      <c r="I116" s="8">
        <f t="shared" si="14"/>
        <v>29314.28197601594</v>
      </c>
      <c r="J116" s="8"/>
      <c r="K116" s="8"/>
      <c r="L116" s="8"/>
      <c r="M116" s="8"/>
      <c r="N116" s="8"/>
      <c r="O116" s="8"/>
      <c r="P116" s="8"/>
      <c r="Q116" s="8"/>
      <c r="R116" s="8"/>
      <c r="S116" s="8"/>
      <c r="T116" s="8"/>
      <c r="U116" s="8"/>
      <c r="V116" s="8"/>
      <c r="W116" s="8"/>
      <c r="X116" s="8"/>
      <c r="Y116" s="8"/>
      <c r="Z116" s="8"/>
      <c r="AA116" s="8"/>
      <c r="AB116" s="8"/>
      <c r="AC116" s="8"/>
      <c r="AD116" s="8"/>
    </row>
    <row r="117" spans="1:30" ht="15">
      <c r="A117" s="58"/>
      <c r="B117" s="69">
        <v>87</v>
      </c>
      <c r="C117" s="43" t="s">
        <v>313</v>
      </c>
      <c r="D117" s="69">
        <v>0.272828981971871</v>
      </c>
      <c r="E117" s="142">
        <f t="shared" si="13"/>
        <v>0.4547208562034698</v>
      </c>
      <c r="F117" s="71">
        <f t="shared" si="8"/>
        <v>45.472085620346981</v>
      </c>
      <c r="G117" s="84">
        <f t="shared" si="9"/>
        <v>465.17943589614958</v>
      </c>
      <c r="H117" s="43"/>
      <c r="I117" s="8">
        <f t="shared" si="14"/>
        <v>29800.131311294394</v>
      </c>
      <c r="J117" s="8"/>
      <c r="K117" s="8"/>
      <c r="L117" s="8"/>
      <c r="M117" s="8"/>
      <c r="N117" s="8"/>
      <c r="O117" s="8"/>
      <c r="P117" s="8"/>
      <c r="Q117" s="8"/>
      <c r="R117" s="8"/>
      <c r="S117" s="8"/>
      <c r="T117" s="8"/>
      <c r="U117" s="8"/>
      <c r="V117" s="8"/>
      <c r="W117" s="8"/>
      <c r="X117" s="8"/>
      <c r="Y117" s="8"/>
      <c r="Z117" s="8"/>
      <c r="AA117" s="8"/>
      <c r="AB117" s="8"/>
      <c r="AC117" s="8"/>
      <c r="AD117" s="8"/>
    </row>
    <row r="118" spans="1:30" ht="15">
      <c r="A118" s="58"/>
      <c r="B118" s="69">
        <v>88</v>
      </c>
      <c r="C118" s="43" t="s">
        <v>314</v>
      </c>
      <c r="D118" s="69">
        <v>0.29241086268824401</v>
      </c>
      <c r="E118" s="142">
        <f t="shared" si="13"/>
        <v>0.46215263937102952</v>
      </c>
      <c r="F118" s="71">
        <f t="shared" si="8"/>
        <v>46.215263937102954</v>
      </c>
      <c r="G118" s="84">
        <f t="shared" si="9"/>
        <v>472.7821500765632</v>
      </c>
      <c r="H118" s="43"/>
      <c r="I118" s="8">
        <f t="shared" si="14"/>
        <v>30287.173221180419</v>
      </c>
      <c r="J118" s="8"/>
      <c r="K118" s="8"/>
      <c r="L118" s="8"/>
      <c r="M118" s="8"/>
      <c r="N118" s="8"/>
      <c r="O118" s="8"/>
      <c r="P118" s="8"/>
      <c r="Q118" s="8"/>
      <c r="R118" s="8"/>
      <c r="S118" s="8"/>
      <c r="T118" s="8"/>
      <c r="U118" s="8"/>
      <c r="V118" s="8"/>
      <c r="W118" s="8"/>
      <c r="X118" s="8"/>
      <c r="Y118" s="8"/>
      <c r="Z118" s="8"/>
      <c r="AA118" s="8"/>
      <c r="AB118" s="8"/>
      <c r="AC118" s="8"/>
      <c r="AD118" s="8"/>
    </row>
    <row r="119" spans="1:30" ht="15">
      <c r="A119" s="58"/>
      <c r="B119" s="69">
        <v>89</v>
      </c>
      <c r="C119" s="43" t="s">
        <v>315</v>
      </c>
      <c r="D119" s="69">
        <v>0.31339820278660402</v>
      </c>
      <c r="E119" s="142">
        <f t="shared" si="13"/>
        <v>0.46960148220466269</v>
      </c>
      <c r="F119" s="71">
        <f t="shared" si="8"/>
        <v>46.960148220466266</v>
      </c>
      <c r="G119" s="84">
        <f t="shared" si="9"/>
        <v>480.40231629536993</v>
      </c>
      <c r="H119" s="43"/>
      <c r="I119" s="8">
        <f t="shared" si="14"/>
        <v>30775.33313628257</v>
      </c>
      <c r="J119" s="8"/>
      <c r="K119" s="8"/>
      <c r="L119" s="8"/>
      <c r="M119" s="8"/>
      <c r="N119" s="8"/>
      <c r="O119" s="8"/>
      <c r="P119" s="8"/>
      <c r="Q119" s="8"/>
      <c r="R119" s="8"/>
      <c r="S119" s="8"/>
      <c r="T119" s="8"/>
      <c r="U119" s="8"/>
      <c r="V119" s="8"/>
      <c r="W119" s="8"/>
      <c r="X119" s="8"/>
      <c r="Y119" s="8"/>
      <c r="Z119" s="8"/>
      <c r="AA119" s="8"/>
      <c r="AB119" s="8"/>
      <c r="AC119" s="8"/>
      <c r="AD119" s="8"/>
    </row>
    <row r="120" spans="1:30" ht="15">
      <c r="A120" s="58"/>
      <c r="B120" s="69">
        <v>90</v>
      </c>
      <c r="C120" s="43" t="s">
        <v>316</v>
      </c>
      <c r="D120" s="69">
        <v>0.33589187695325001</v>
      </c>
      <c r="E120" s="142">
        <f t="shared" si="13"/>
        <v>0.47706631307703123</v>
      </c>
      <c r="F120" s="71">
        <f t="shared" si="8"/>
        <v>47.706631307703127</v>
      </c>
      <c r="G120" s="84">
        <f t="shared" si="9"/>
        <v>488.03883827780294</v>
      </c>
      <c r="H120" s="43"/>
      <c r="I120" s="8">
        <f t="shared" si="14"/>
        <v>31264.540827503242</v>
      </c>
      <c r="J120" s="8"/>
      <c r="K120" s="8"/>
      <c r="L120" s="8"/>
      <c r="M120" s="8"/>
      <c r="N120" s="8"/>
      <c r="O120" s="8"/>
      <c r="P120" s="8"/>
      <c r="Q120" s="8"/>
      <c r="R120" s="8"/>
      <c r="S120" s="8"/>
      <c r="T120" s="8"/>
      <c r="U120" s="8"/>
      <c r="V120" s="8"/>
      <c r="W120" s="8"/>
      <c r="X120" s="8"/>
      <c r="Y120" s="8"/>
      <c r="Z120" s="8"/>
      <c r="AA120" s="8"/>
      <c r="AB120" s="8"/>
      <c r="AC120" s="8"/>
      <c r="AD120" s="8"/>
    </row>
    <row r="121" spans="1:30" ht="15">
      <c r="A121" s="58"/>
      <c r="B121" s="69">
        <v>91</v>
      </c>
      <c r="C121" s="43" t="s">
        <v>317</v>
      </c>
      <c r="D121" s="69">
        <v>0.36</v>
      </c>
      <c r="E121" s="142">
        <f t="shared" si="13"/>
        <v>0.4845461233571402</v>
      </c>
      <c r="F121" s="71">
        <f t="shared" si="8"/>
        <v>48.454612335714017</v>
      </c>
      <c r="G121" s="84">
        <f t="shared" si="9"/>
        <v>495.69068419435445</v>
      </c>
      <c r="H121" s="43"/>
      <c r="I121" s="8">
        <f t="shared" si="14"/>
        <v>31754.730194210184</v>
      </c>
      <c r="J121" s="8"/>
      <c r="K121" s="8"/>
      <c r="L121" s="8"/>
      <c r="M121" s="8"/>
      <c r="N121" s="8"/>
      <c r="O121" s="8"/>
      <c r="P121" s="8"/>
      <c r="Q121" s="8"/>
      <c r="R121" s="8"/>
      <c r="S121" s="8"/>
      <c r="T121" s="8"/>
      <c r="U121" s="8"/>
      <c r="V121" s="8"/>
      <c r="W121" s="8"/>
      <c r="X121" s="8"/>
      <c r="Y121" s="8"/>
      <c r="Z121" s="8"/>
      <c r="AA121" s="8"/>
      <c r="AB121" s="8"/>
      <c r="AC121" s="8"/>
      <c r="AD121" s="8"/>
    </row>
    <row r="122" spans="1:30" ht="15">
      <c r="A122" s="58"/>
      <c r="B122" s="69">
        <v>92</v>
      </c>
      <c r="C122" s="43" t="s">
        <v>318</v>
      </c>
      <c r="D122" s="69">
        <v>0.38583844651306498</v>
      </c>
      <c r="E122" s="142">
        <f t="shared" si="13"/>
        <v>0.49203996425444713</v>
      </c>
      <c r="F122" s="71">
        <f t="shared" si="8"/>
        <v>49.203996425444714</v>
      </c>
      <c r="G122" s="84">
        <f t="shared" si="9"/>
        <v>503.35688343229941</v>
      </c>
      <c r="H122" s="43"/>
      <c r="I122" s="8">
        <f t="shared" si="14"/>
        <v>32245.839057415193</v>
      </c>
      <c r="J122" s="8"/>
      <c r="K122" s="8"/>
      <c r="L122" s="8"/>
      <c r="M122" s="8"/>
      <c r="N122" s="8"/>
      <c r="O122" s="8"/>
      <c r="P122" s="8"/>
      <c r="Q122" s="8"/>
      <c r="R122" s="8"/>
      <c r="S122" s="8"/>
      <c r="T122" s="8"/>
      <c r="U122" s="8"/>
      <c r="V122" s="8"/>
      <c r="W122" s="8"/>
      <c r="X122" s="8"/>
      <c r="Y122" s="8"/>
      <c r="Z122" s="8"/>
      <c r="AA122" s="8"/>
      <c r="AB122" s="8"/>
      <c r="AC122" s="8"/>
      <c r="AD122" s="8"/>
    </row>
    <row r="123" spans="1:30" ht="15">
      <c r="A123" s="58"/>
      <c r="B123" s="69">
        <v>93</v>
      </c>
      <c r="C123" s="43" t="s">
        <v>319</v>
      </c>
      <c r="D123" s="69">
        <v>0.41353140779893199</v>
      </c>
      <c r="E123" s="142">
        <f t="shared" si="13"/>
        <v>0.49954694374964753</v>
      </c>
      <c r="F123" s="71">
        <f t="shared" si="8"/>
        <v>49.954694374964753</v>
      </c>
      <c r="G123" s="84">
        <f t="shared" si="9"/>
        <v>511.03652345588944</v>
      </c>
      <c r="H123" s="43"/>
      <c r="I123" s="8">
        <f t="shared" si="14"/>
        <v>32737.808958633152</v>
      </c>
      <c r="J123" s="8"/>
      <c r="K123" s="8"/>
      <c r="L123" s="8"/>
      <c r="M123" s="8"/>
      <c r="N123" s="8"/>
      <c r="O123" s="8"/>
      <c r="P123" s="8"/>
      <c r="Q123" s="8"/>
      <c r="R123" s="8"/>
      <c r="S123" s="8"/>
      <c r="T123" s="8"/>
      <c r="U123" s="8"/>
      <c r="V123" s="8"/>
      <c r="W123" s="8"/>
      <c r="X123" s="8"/>
      <c r="Y123" s="8"/>
      <c r="Z123" s="8"/>
      <c r="AA123" s="8"/>
      <c r="AB123" s="8"/>
      <c r="AC123" s="8"/>
      <c r="AD123" s="8"/>
    </row>
    <row r="124" spans="1:30" ht="15">
      <c r="A124" s="58"/>
      <c r="B124" s="69">
        <v>94</v>
      </c>
      <c r="C124" s="43" t="s">
        <v>320</v>
      </c>
      <c r="D124" s="69">
        <v>0.44321198880416901</v>
      </c>
      <c r="E124" s="142">
        <f t="shared" si="13"/>
        <v>0.50706622362018694</v>
      </c>
      <c r="F124" s="71">
        <f t="shared" si="8"/>
        <v>50.706622362018692</v>
      </c>
      <c r="G124" s="84">
        <f t="shared" si="9"/>
        <v>518.72874676345123</v>
      </c>
      <c r="H124" s="43"/>
      <c r="I124" s="8">
        <f t="shared" si="14"/>
        <v>33230.584964948954</v>
      </c>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142">
        <f t="shared" si="13"/>
        <v>0.51459701656662349</v>
      </c>
      <c r="F125" s="71">
        <f t="shared" si="8"/>
        <v>51.459701656662347</v>
      </c>
      <c r="G125" s="84">
        <f t="shared" si="9"/>
        <v>526.4327479476558</v>
      </c>
      <c r="H125" s="43"/>
      <c r="I125" s="8">
        <f t="shared" si="14"/>
        <v>33724.115480693668</v>
      </c>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142">
        <f t="shared" si="13"/>
        <v>0.52213858344425867</v>
      </c>
      <c r="F126" s="71">
        <f t="shared" si="8"/>
        <v>52.213858344425866</v>
      </c>
      <c r="G126" s="84">
        <f t="shared" si="9"/>
        <v>534.14777086347658</v>
      </c>
      <c r="H126" s="43"/>
      <c r="I126" s="8">
        <f t="shared" si="14"/>
        <v>34218.352066019492</v>
      </c>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142">
        <f t="shared" si="13"/>
        <v>0.52969023060298814</v>
      </c>
      <c r="F127" s="71">
        <f t="shared" si="8"/>
        <v>52.969023060298817</v>
      </c>
      <c r="G127" s="84">
        <f t="shared" si="9"/>
        <v>541.87310590685684</v>
      </c>
      <c r="H127" s="43"/>
      <c r="I127" s="8">
        <f t="shared" si="14"/>
        <v>34713.249262566831</v>
      </c>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142">
        <f t="shared" si="13"/>
        <v>0.5372513073370575</v>
      </c>
      <c r="F128" s="71">
        <f t="shared" si="8"/>
        <v>53.725130733705754</v>
      </c>
      <c r="G128" s="84">
        <f t="shared" si="9"/>
        <v>549.60808740580978</v>
      </c>
      <c r="H128" s="43"/>
      <c r="I128" s="8">
        <f t="shared" si="14"/>
        <v>35208.764426334063</v>
      </c>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142">
        <f t="shared" si="13"/>
        <v>0.54482120344532259</v>
      </c>
      <c r="F129" s="71">
        <f t="shared" si="8"/>
        <v>54.482120344532262</v>
      </c>
      <c r="G129" s="84">
        <f t="shared" si="9"/>
        <v>557.35209112456505</v>
      </c>
      <c r="H129" s="43"/>
      <c r="I129" s="8">
        <f t="shared" si="14"/>
        <v>35704.857567789215</v>
      </c>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142">
        <f t="shared" si="13"/>
        <v>0.55239934690170178</v>
      </c>
      <c r="F130" s="71">
        <f t="shared" si="8"/>
        <v>55.23993469017018</v>
      </c>
      <c r="G130" s="84">
        <f t="shared" si="9"/>
        <v>565.10453188044096</v>
      </c>
      <c r="H130" s="43"/>
      <c r="I130" s="8">
        <f t="shared" si="14"/>
        <v>36201.491199203025</v>
      </c>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142">
        <f t="shared" si="13"/>
        <v>0.55998520163473553</v>
      </c>
      <c r="F131" s="71">
        <f t="shared" si="8"/>
        <v>55.99852016347355</v>
      </c>
      <c r="G131" s="84">
        <f t="shared" si="9"/>
        <v>572.86486127233445</v>
      </c>
      <c r="H131" s="43"/>
      <c r="I131" s="8">
        <f t="shared" si="14"/>
        <v>36698.630189132396</v>
      </c>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142">
        <f t="shared" si="13"/>
        <v>0.56757826541453293</v>
      </c>
      <c r="F132" s="71">
        <f t="shared" si="8"/>
        <v>56.757826541453291</v>
      </c>
      <c r="G132" s="84">
        <f t="shared" si="9"/>
        <v>580.63256551906716</v>
      </c>
      <c r="H132" s="43"/>
      <c r="I132" s="8">
        <f t="shared" si="14"/>
        <v>37196.241623941416</v>
      </c>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142">
        <f t="shared" si="13"/>
        <v>0.57517806784486469</v>
      </c>
      <c r="F133" s="71">
        <f t="shared" si="8"/>
        <v>57.517806784486467</v>
      </c>
      <c r="G133" s="84">
        <f t="shared" si="9"/>
        <v>588.40716340529661</v>
      </c>
      <c r="H133" s="43"/>
      <c r="I133" s="8">
        <f t="shared" si="14"/>
        <v>37694.294676213205</v>
      </c>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142">
        <f t="shared" si="13"/>
        <v>0.58278416845774117</v>
      </c>
      <c r="F134" s="71">
        <f t="shared" si="8"/>
        <v>58.278416845774117</v>
      </c>
      <c r="G134" s="84">
        <f t="shared" si="9"/>
        <v>596.18820433226927</v>
      </c>
      <c r="H134" s="43"/>
      <c r="I134" s="8">
        <f t="shared" si="14"/>
        <v>38192.760479878067</v>
      </c>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142">
        <f t="shared" si="13"/>
        <v>0.59039615490748276</v>
      </c>
      <c r="F135" s="71">
        <f t="shared" si="8"/>
        <v>59.039615490748275</v>
      </c>
      <c r="G135" s="84">
        <f t="shared" si="9"/>
        <v>603.97526647035488</v>
      </c>
      <c r="H135" s="43"/>
      <c r="I135" s="8">
        <f t="shared" si="14"/>
        <v>38691.612011861886</v>
      </c>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142">
        <f t="shared" si="13"/>
        <v>0.59801364126104184</v>
      </c>
      <c r="F136" s="71">
        <f t="shared" si="8"/>
        <v>59.801364126104183</v>
      </c>
      <c r="G136" s="84">
        <f t="shared" si="9"/>
        <v>611.76795501004585</v>
      </c>
      <c r="H136" s="43"/>
      <c r="I136" s="8">
        <f t="shared" si="14"/>
        <v>39190.823980042376</v>
      </c>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142">
        <f t="shared" si="13"/>
        <v>0.60563626638114954</v>
      </c>
      <c r="F137" s="71">
        <f t="shared" si="8"/>
        <v>60.563626638114954</v>
      </c>
      <c r="G137" s="84">
        <f t="shared" si="9"/>
        <v>619.56590050791601</v>
      </c>
      <c r="H137" s="43"/>
      <c r="I137" s="8">
        <f t="shared" si="14"/>
        <v>39690.372717288636</v>
      </c>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142">
        <f t="shared" si="13"/>
        <v>0.61326369239871714</v>
      </c>
      <c r="F138" s="71">
        <f t="shared" si="8"/>
        <v>61.326369239871717</v>
      </c>
      <c r="G138" s="84">
        <f t="shared" si="9"/>
        <v>627.36875732388762</v>
      </c>
      <c r="H138" s="43"/>
      <c r="I138" s="8">
        <f t="shared" si="14"/>
        <v>40190.236081349925</v>
      </c>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142">
        <f t="shared" si="13"/>
        <v>0.62089560327087556</v>
      </c>
      <c r="F139" s="71">
        <f t="shared" si="8"/>
        <v>62.089560327087554</v>
      </c>
      <c r="G139" s="84">
        <f t="shared" si="9"/>
        <v>635.17620214610565</v>
      </c>
      <c r="H139" s="43"/>
      <c r="I139" s="8">
        <f t="shared" si="14"/>
        <v>40690.393360356829</v>
      </c>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142">
        <f t="shared" si="13"/>
        <v>0.62853170342096054</v>
      </c>
      <c r="F140" s="71">
        <f t="shared" si="8"/>
        <v>62.853170342096057</v>
      </c>
      <c r="G140" s="84">
        <f t="shared" si="9"/>
        <v>642.98793259964259</v>
      </c>
      <c r="H140" s="43"/>
      <c r="I140" s="8">
        <f t="shared" si="14"/>
        <v>41190.82518369265</v>
      </c>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142">
        <f t="shared" si="13"/>
        <v>0.63617171645677539</v>
      </c>
      <c r="F141" s="71">
        <f t="shared" si="8"/>
        <v>63.617171645677537</v>
      </c>
      <c r="G141" s="84">
        <f t="shared" si="9"/>
        <v>650.80366593528117</v>
      </c>
      <c r="H141" s="43"/>
      <c r="I141" s="8">
        <f t="shared" si="14"/>
        <v>41691.513437994778</v>
      </c>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142">
        <f t="shared" si="13"/>
        <v>0.64381538396348159</v>
      </c>
      <c r="F142" s="71">
        <f t="shared" si="8"/>
        <v>64.381538396348162</v>
      </c>
      <c r="G142" s="84">
        <f t="shared" si="9"/>
        <v>658.62313779464171</v>
      </c>
      <c r="H142" s="43"/>
      <c r="I142" s="8">
        <f t="shared" si="14"/>
        <v>42192.441188046767</v>
      </c>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142">
        <f t="shared" si="13"/>
        <v>0.65146246436751376</v>
      </c>
      <c r="F143" s="71">
        <f t="shared" si="8"/>
        <v>65.146246436751369</v>
      </c>
      <c r="G143" s="84">
        <f t="shared" si="9"/>
        <v>666.44610104796652</v>
      </c>
      <c r="H143" s="43"/>
      <c r="I143" s="8">
        <f t="shared" si="14"/>
        <v>42693.592602325014</v>
      </c>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142">
        <f t="shared" si="13"/>
        <v>0.65911273186798602</v>
      </c>
      <c r="F144" s="71">
        <f t="shared" si="8"/>
        <v>65.911273186798596</v>
      </c>
      <c r="G144" s="84">
        <f t="shared" si="9"/>
        <v>674.27232470094975</v>
      </c>
      <c r="H144" s="43"/>
      <c r="I144" s="8">
        <f t="shared" si="14"/>
        <v>43194.952882968464</v>
      </c>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142">
        <f t="shared" si="13"/>
        <v>0.66676597543215921</v>
      </c>
      <c r="F145" s="71">
        <f t="shared" si="8"/>
        <v>66.676597543215919</v>
      </c>
      <c r="G145" s="84">
        <f t="shared" si="9"/>
        <v>682.10159286709882</v>
      </c>
      <c r="H145" s="43"/>
      <c r="I145" s="8">
        <f t="shared" si="14"/>
        <v>43696.508199946555</v>
      </c>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142">
        <f t="shared" si="13"/>
        <v>0.67442199785160062</v>
      </c>
      <c r="F146" s="71">
        <f t="shared" si="8"/>
        <v>67.442199785160057</v>
      </c>
      <c r="G146" s="84">
        <f t="shared" si="9"/>
        <v>689.93370380218744</v>
      </c>
      <c r="H146" s="43"/>
      <c r="I146" s="8">
        <f t="shared" si="14"/>
        <v>44198.245629204648</v>
      </c>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142">
        <f t="shared" si="13"/>
        <v>0.68208061485582061</v>
      </c>
      <c r="F147" s="71">
        <f t="shared" si="8"/>
        <v>68.208061485582064</v>
      </c>
      <c r="G147" s="84">
        <f t="shared" si="9"/>
        <v>697.76846899750444</v>
      </c>
      <c r="H147" s="43"/>
      <c r="I147" s="8">
        <f t="shared" si="14"/>
        <v>44700.153094576206</v>
      </c>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142">
        <f t="shared" si="13"/>
        <v>0.68974165428024303</v>
      </c>
      <c r="F148" s="71">
        <f t="shared" si="8"/>
        <v>68.974165428024307</v>
      </c>
      <c r="G148" s="84">
        <f t="shared" si="9"/>
        <v>705.60571232868858</v>
      </c>
      <c r="H148" s="43"/>
      <c r="I148" s="8">
        <f t="shared" si="14"/>
        <v>45202.21931325573</v>
      </c>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142">
        <f t="shared" si="13"/>
        <v>0.69740495528551771</v>
      </c>
      <c r="F149" s="71">
        <f t="shared" si="8"/>
        <v>69.740495528551776</v>
      </c>
      <c r="G149" s="84">
        <f t="shared" si="9"/>
        <v>713.44526925708465</v>
      </c>
      <c r="H149" s="43"/>
      <c r="I149" s="8">
        <f t="shared" si="14"/>
        <v>45704.433744636401</v>
      </c>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142">
        <f t="shared" si="13"/>
        <v>0.70507036762527875</v>
      </c>
      <c r="F150" s="71">
        <f t="shared" si="8"/>
        <v>70.507036762527875</v>
      </c>
      <c r="G150" s="84">
        <f t="shared" si="9"/>
        <v>721.2869860806602</v>
      </c>
      <c r="H150" s="43"/>
      <c r="I150" s="8">
        <f t="shared" si="14"/>
        <v>46206.786542322639</v>
      </c>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142">
        <f t="shared" si="13"/>
        <v>0.71273775095960168</v>
      </c>
      <c r="F151" s="71">
        <f t="shared" si="8"/>
        <v>71.273775095960161</v>
      </c>
      <c r="G151" s="84">
        <f t="shared" si="9"/>
        <v>729.13071923167251</v>
      </c>
      <c r="H151" s="43"/>
      <c r="I151" s="8">
        <f t="shared" si="14"/>
        <v>46709.268509137495</v>
      </c>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142">
        <f t="shared" si="13"/>
        <v>0.72040697421151245</v>
      </c>
      <c r="F152" s="71">
        <f t="shared" si="8"/>
        <v>72.040697421151251</v>
      </c>
      <c r="G152" s="84">
        <f t="shared" si="9"/>
        <v>736.97633461837722</v>
      </c>
      <c r="H152" s="43"/>
      <c r="I152" s="8">
        <f t="shared" si="14"/>
        <v>47211.871054951465</v>
      </c>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142">
        <f t="shared" si="13"/>
        <v>0.72807791496404695</v>
      </c>
      <c r="F153" s="71">
        <f t="shared" si="8"/>
        <v>72.80779149640469</v>
      </c>
      <c r="G153" s="84">
        <f t="shared" si="9"/>
        <v>744.82370700822003</v>
      </c>
      <c r="H153" s="43"/>
      <c r="I153" s="8">
        <f t="shared" si="14"/>
        <v>47714.586157168815</v>
      </c>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142">
        <f t="shared" si="13"/>
        <v>0.73575045889545831</v>
      </c>
      <c r="F154" s="71">
        <f t="shared" si="8"/>
        <v>73.575045889545834</v>
      </c>
      <c r="G154" s="84">
        <f t="shared" si="9"/>
        <v>752.67271945005382</v>
      </c>
      <c r="H154" s="43"/>
      <c r="I154" s="8">
        <f t="shared" si="14"/>
        <v>48217.406323713862</v>
      </c>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142">
        <f t="shared" si="13"/>
        <v>0.74342449925031096</v>
      </c>
      <c r="F155" s="71">
        <f t="shared" si="8"/>
        <v>74.34244992503109</v>
      </c>
      <c r="G155" s="84">
        <f t="shared" si="9"/>
        <v>760.52326273306812</v>
      </c>
      <c r="H155" s="43"/>
      <c r="I155" s="8">
        <f t="shared" si="14"/>
        <v>48720.324558369131</v>
      </c>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142">
        <f t="shared" si="13"/>
        <v>0.75109993634429639</v>
      </c>
      <c r="F156" s="71">
        <f t="shared" si="8"/>
        <v>75.109993634429642</v>
      </c>
      <c r="G156" s="84">
        <f t="shared" si="9"/>
        <v>768.3752348802152</v>
      </c>
      <c r="H156" s="43"/>
      <c r="I156" s="8">
        <f t="shared" si="14"/>
        <v>49223.334328323464</v>
      </c>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142">
        <f t="shared" si="13"/>
        <v>0.7587766771007376</v>
      </c>
      <c r="F157" s="71">
        <f t="shared" si="8"/>
        <v>75.877667710073766</v>
      </c>
      <c r="G157" s="84">
        <f t="shared" si="9"/>
        <v>776.22854067405456</v>
      </c>
      <c r="H157" s="43"/>
      <c r="I157" s="8">
        <f t="shared" si="14"/>
        <v>49726.429533796836</v>
      </c>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142">
        <f t="shared" si="13"/>
        <v>0.7664546346168416</v>
      </c>
      <c r="F158" s="71">
        <f t="shared" si="8"/>
        <v>76.645463461684159</v>
      </c>
      <c r="G158" s="84">
        <f t="shared" si="9"/>
        <v>784.08309121302898</v>
      </c>
      <c r="H158" s="43"/>
      <c r="I158" s="8">
        <f t="shared" si="14"/>
        <v>50229.604479614711</v>
      </c>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142">
        <f t="shared" ref="E159:E192" si="15">(420+LOG10((D159+0.01)/0.19)*261.5)/1023</f>
        <v>0.77413372775787537</v>
      </c>
      <c r="F159" s="71">
        <f t="shared" si="8"/>
        <v>77.413372775787536</v>
      </c>
      <c r="G159" s="84">
        <f t="shared" si="9"/>
        <v>791.93880349630649</v>
      </c>
      <c r="H159" s="43"/>
      <c r="I159" s="8">
        <f t="shared" si="14"/>
        <v>50732.853848612365</v>
      </c>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142">
        <f t="shared" si="15"/>
        <v>0.78181388077753999</v>
      </c>
      <c r="F160" s="71">
        <f t="shared" si="8"/>
        <v>78.181388077753994</v>
      </c>
      <c r="G160" s="84">
        <f t="shared" si="9"/>
        <v>799.79560003542338</v>
      </c>
      <c r="H160" s="43"/>
      <c r="I160" s="8">
        <f t="shared" ref="I160:I192" si="16">E160*(2^16-1)</f>
        <v>51236.172676756083</v>
      </c>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142">
        <f t="shared" si="15"/>
        <v>0.78949502296291207</v>
      </c>
      <c r="F161" s="71">
        <f t="shared" si="8"/>
        <v>78.9495022962912</v>
      </c>
      <c r="G161" s="84">
        <f t="shared" si="9"/>
        <v>807.65340849105905</v>
      </c>
      <c r="H161" s="43"/>
      <c r="I161" s="8">
        <f t="shared" si="16"/>
        <v>51739.556329874446</v>
      </c>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142">
        <f t="shared" si="15"/>
        <v>0.7971770883024184</v>
      </c>
      <c r="F162" s="71">
        <f t="shared" si="8"/>
        <v>79.717708830241847</v>
      </c>
      <c r="G162" s="84">
        <f t="shared" si="9"/>
        <v>815.51216133337402</v>
      </c>
      <c r="H162" s="43"/>
      <c r="I162" s="8">
        <f t="shared" si="16"/>
        <v>52243.000481898991</v>
      </c>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142">
        <f t="shared" si="15"/>
        <v>0.80486001517539651</v>
      </c>
      <c r="F163" s="71">
        <f t="shared" si="8"/>
        <v>80.486001517539648</v>
      </c>
      <c r="G163" s="84">
        <f t="shared" si="9"/>
        <v>823.37179552443058</v>
      </c>
      <c r="H163" s="43"/>
      <c r="I163" s="8">
        <f t="shared" si="16"/>
        <v>52746.501094519612</v>
      </c>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142">
        <f t="shared" si="15"/>
        <v>0.81254374606187629</v>
      </c>
      <c r="F164" s="71">
        <f t="shared" si="8"/>
        <v>81.254374606187625</v>
      </c>
      <c r="G164" s="84">
        <f t="shared" si="9"/>
        <v>831.2322522212994</v>
      </c>
      <c r="H164" s="43"/>
      <c r="I164" s="8">
        <f t="shared" si="16"/>
        <v>53250.054398165063</v>
      </c>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142">
        <f t="shared" si="15"/>
        <v>0.82022822727130718</v>
      </c>
      <c r="F165" s="71">
        <f t="shared" si="8"/>
        <v>82.022822727130716</v>
      </c>
      <c r="G165" s="84">
        <f t="shared" si="9"/>
        <v>839.09347649854726</v>
      </c>
      <c r="H165" s="43"/>
      <c r="I165" s="8">
        <f t="shared" si="16"/>
        <v>53753.656874225118</v>
      </c>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142">
        <f t="shared" si="15"/>
        <v>0.82791340868901853</v>
      </c>
      <c r="F166" s="71">
        <f t="shared" si="8"/>
        <v>82.791340868901855</v>
      </c>
      <c r="G166" s="84">
        <f t="shared" si="9"/>
        <v>846.95541708886594</v>
      </c>
      <c r="H166" s="43"/>
      <c r="I166" s="8">
        <f t="shared" si="16"/>
        <v>54257.305238434827</v>
      </c>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142">
        <f t="shared" si="15"/>
        <v>0.83559924353928583</v>
      </c>
      <c r="F167" s="71">
        <f t="shared" si="8"/>
        <v>83.559924353928579</v>
      </c>
      <c r="G167" s="84">
        <f t="shared" si="9"/>
        <v>854.81802614068943</v>
      </c>
      <c r="H167" s="43"/>
      <c r="I167" s="8">
        <f t="shared" si="16"/>
        <v>54760.996425347097</v>
      </c>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142">
        <f t="shared" si="15"/>
        <v>0.84328568816393745</v>
      </c>
      <c r="F168" s="71">
        <f t="shared" si="8"/>
        <v>84.328568816393741</v>
      </c>
      <c r="G168" s="84">
        <f t="shared" si="9"/>
        <v>862.68125899170798</v>
      </c>
      <c r="H168" s="43"/>
      <c r="I168" s="8">
        <f t="shared" si="16"/>
        <v>55264.727573823642</v>
      </c>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142">
        <f t="shared" si="15"/>
        <v>0.85097270181550133</v>
      </c>
      <c r="F169" s="71">
        <f t="shared" si="8"/>
        <v>85.09727018155013</v>
      </c>
      <c r="G169" s="84">
        <f t="shared" si="9"/>
        <v>870.54507395725784</v>
      </c>
      <c r="H169" s="43"/>
      <c r="I169" s="8">
        <f t="shared" si="16"/>
        <v>55768.496013478878</v>
      </c>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142">
        <f t="shared" si="15"/>
        <v>0.85866024646396033</v>
      </c>
      <c r="F170" s="71">
        <f t="shared" si="8"/>
        <v>85.866024646396028</v>
      </c>
      <c r="G170" s="84">
        <f t="shared" si="9"/>
        <v>878.40943213263142</v>
      </c>
      <c r="H170" s="43"/>
      <c r="I170" s="8">
        <f t="shared" si="16"/>
        <v>56272.29925201564</v>
      </c>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142">
        <f t="shared" si="15"/>
        <v>0.86634828661622587</v>
      </c>
      <c r="F171" s="71">
        <f t="shared" si="8"/>
        <v>86.634828661622592</v>
      </c>
      <c r="G171" s="84">
        <f t="shared" si="9"/>
        <v>886.27429720839905</v>
      </c>
      <c r="H171" s="43"/>
      <c r="I171" s="8">
        <f t="shared" si="16"/>
        <v>56776.134963394361</v>
      </c>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142">
        <f t="shared" si="15"/>
        <v>0.87403678914751826</v>
      </c>
      <c r="F172" s="71">
        <f t="shared" si="8"/>
        <v>87.403678914751822</v>
      </c>
      <c r="G172" s="84">
        <f t="shared" si="9"/>
        <v>894.13963529791113</v>
      </c>
      <c r="H172" s="43"/>
      <c r="I172" s="8">
        <f t="shared" si="16"/>
        <v>57280.000976782612</v>
      </c>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142">
        <f t="shared" si="15"/>
        <v>0.88172572314387798</v>
      </c>
      <c r="F173" s="71">
        <f t="shared" si="8"/>
        <v>88.172572314387793</v>
      </c>
      <c r="G173" s="84">
        <f t="shared" si="9"/>
        <v>902.00541477618719</v>
      </c>
      <c r="H173" s="43"/>
      <c r="I173" s="8">
        <f t="shared" si="16"/>
        <v>57783.895266234045</v>
      </c>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142">
        <f t="shared" si="15"/>
        <v>0.88941505975506852</v>
      </c>
      <c r="F174" s="71">
        <f t="shared" si="8"/>
        <v>88.941505975506857</v>
      </c>
      <c r="G174" s="84">
        <f t="shared" si="9"/>
        <v>909.87160612943512</v>
      </c>
      <c r="H174" s="43"/>
      <c r="I174" s="8">
        <f t="shared" si="16"/>
        <v>58287.815941048415</v>
      </c>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142">
        <f t="shared" si="15"/>
        <v>0.89710477205721972</v>
      </c>
      <c r="F175" s="71">
        <f t="shared" si="8"/>
        <v>89.710477205721972</v>
      </c>
      <c r="G175" s="84">
        <f t="shared" si="9"/>
        <v>917.73818181453578</v>
      </c>
      <c r="H175" s="43"/>
      <c r="I175" s="8">
        <f t="shared" si="16"/>
        <v>58791.761236769897</v>
      </c>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43" t="s">
        <v>372</v>
      </c>
      <c r="D176" s="69">
        <v>16.291740238538001</v>
      </c>
      <c r="E176" s="142">
        <f t="shared" si="15"/>
        <v>0.90479483492455293</v>
      </c>
      <c r="F176" s="71">
        <f t="shared" si="8"/>
        <v>90.479483492455287</v>
      </c>
      <c r="G176" s="84">
        <f t="shared" si="9"/>
        <v>925.60511612781761</v>
      </c>
      <c r="H176" s="43"/>
      <c r="I176" s="8">
        <f t="shared" si="16"/>
        <v>59295.729506780575</v>
      </c>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t="s">
        <v>373</v>
      </c>
      <c r="D177" s="69">
        <v>17.461054846199701</v>
      </c>
      <c r="E177" s="142">
        <f t="shared" si="15"/>
        <v>0.9124852249096036</v>
      </c>
      <c r="F177" s="71">
        <f t="shared" si="8"/>
        <v>91.248522490960355</v>
      </c>
      <c r="G177" s="84">
        <f t="shared" si="9"/>
        <v>933.47238508252451</v>
      </c>
      <c r="H177" s="43"/>
      <c r="I177" s="8">
        <f t="shared" si="16"/>
        <v>59799.719214450874</v>
      </c>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t="s">
        <v>374</v>
      </c>
      <c r="D178" s="69">
        <v>18.714295212047599</v>
      </c>
      <c r="E178" s="142">
        <f t="shared" si="15"/>
        <v>0.92017592013138516</v>
      </c>
      <c r="F178" s="71">
        <f t="shared" si="8"/>
        <v>92.017592013138511</v>
      </c>
      <c r="G178" s="84">
        <f t="shared" si="9"/>
        <v>941.33996629440696</v>
      </c>
      <c r="H178" s="43"/>
      <c r="I178" s="8">
        <f t="shared" si="16"/>
        <v>60303.728925810326</v>
      </c>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t="s">
        <v>375</v>
      </c>
      <c r="D179" s="69">
        <v>20.0574849783426</v>
      </c>
      <c r="E179" s="142">
        <f t="shared" si="15"/>
        <v>0.92786690017096629</v>
      </c>
      <c r="F179" s="71">
        <f t="shared" si="8"/>
        <v>92.786690017096632</v>
      </c>
      <c r="G179" s="84">
        <f t="shared" si="9"/>
        <v>949.20783887489847</v>
      </c>
      <c r="H179" s="43"/>
      <c r="I179" s="8">
        <f t="shared" si="16"/>
        <v>60807.757302704274</v>
      </c>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t="s">
        <v>376</v>
      </c>
      <c r="D180" s="69">
        <v>21.497080125008001</v>
      </c>
      <c r="E180" s="142">
        <f t="shared" si="15"/>
        <v>0.93555814597398401</v>
      </c>
      <c r="F180" s="71">
        <f t="shared" si="8"/>
        <v>93.555814597398395</v>
      </c>
      <c r="G180" s="84">
        <f t="shared" si="9"/>
        <v>957.0759833313856</v>
      </c>
      <c r="H180" s="43"/>
      <c r="I180" s="8">
        <f t="shared" si="16"/>
        <v>61311.803096405041</v>
      </c>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t="s">
        <v>377</v>
      </c>
      <c r="D181" s="69">
        <v>23.04</v>
      </c>
      <c r="E181" s="142">
        <f t="shared" si="15"/>
        <v>0.94324963975962572</v>
      </c>
      <c r="F181" s="71">
        <f t="shared" si="8"/>
        <v>94.324963975962575</v>
      </c>
      <c r="G181" s="84">
        <f t="shared" si="9"/>
        <v>964.9443814740971</v>
      </c>
      <c r="H181" s="43"/>
      <c r="I181" s="8">
        <f t="shared" si="16"/>
        <v>61815.865141647075</v>
      </c>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t="s">
        <v>378</v>
      </c>
      <c r="D182" s="69">
        <v>24.693660576836098</v>
      </c>
      <c r="E182" s="142">
        <f t="shared" si="15"/>
        <v>0.95094136493566361</v>
      </c>
      <c r="F182" s="71">
        <f t="shared" si="8"/>
        <v>95.094136493566367</v>
      </c>
      <c r="G182" s="84">
        <f t="shared" si="9"/>
        <v>972.81301632918382</v>
      </c>
      <c r="H182" s="43"/>
      <c r="I182" s="8">
        <f t="shared" si="16"/>
        <v>62319.942351058715</v>
      </c>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t="s">
        <v>379</v>
      </c>
      <c r="D183" s="69">
        <v>26.466010099131601</v>
      </c>
      <c r="E183" s="142">
        <f t="shared" si="15"/>
        <v>0.95863330601913599</v>
      </c>
      <c r="F183" s="71">
        <f t="shared" si="8"/>
        <v>95.863330601913603</v>
      </c>
      <c r="G183" s="84">
        <f t="shared" si="9"/>
        <v>980.68187205757613</v>
      </c>
      <c r="H183" s="43"/>
      <c r="I183" s="8">
        <f t="shared" si="16"/>
        <v>62824.033709964075</v>
      </c>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t="s">
        <v>380</v>
      </c>
      <c r="D184" s="69">
        <v>28.365567283466799</v>
      </c>
      <c r="E184" s="142">
        <f t="shared" si="15"/>
        <v>0.96632544856230329</v>
      </c>
      <c r="F184" s="71">
        <f t="shared" si="8"/>
        <v>96.632544856230325</v>
      </c>
      <c r="G184" s="84">
        <f t="shared" si="9"/>
        <v>988.55093387923625</v>
      </c>
      <c r="H184" s="43"/>
      <c r="I184" s="8">
        <f t="shared" si="16"/>
        <v>63328.138271530544</v>
      </c>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t="s">
        <v>381</v>
      </c>
      <c r="D185" s="69">
        <v>30.401462264207399</v>
      </c>
      <c r="E185" s="142">
        <f t="shared" si="15"/>
        <v>0.97401777908353238</v>
      </c>
      <c r="F185" s="71">
        <f t="shared" si="8"/>
        <v>97.401777908353239</v>
      </c>
      <c r="G185" s="84">
        <f t="shared" si="9"/>
        <v>996.42018800245364</v>
      </c>
      <c r="H185" s="43"/>
      <c r="I185" s="8">
        <f t="shared" si="16"/>
        <v>63832.255152239297</v>
      </c>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t="s">
        <v>382</v>
      </c>
      <c r="D186" s="69">
        <v>32.583480477076101</v>
      </c>
      <c r="E186" s="142">
        <f t="shared" si="15"/>
        <v>0.98171028500278423</v>
      </c>
      <c r="F186" s="71">
        <f t="shared" si="8"/>
        <v>98.171028500278425</v>
      </c>
      <c r="G186" s="84">
        <f t="shared" si="9"/>
        <v>1004.2896215578482</v>
      </c>
      <c r="H186" s="43"/>
      <c r="I186" s="8">
        <f t="shared" si="16"/>
        <v>64336.383527657468</v>
      </c>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t="s">
        <v>383</v>
      </c>
      <c r="D187" s="69">
        <v>34.922109692399502</v>
      </c>
      <c r="E187" s="142">
        <f t="shared" si="15"/>
        <v>0.98940295458139316</v>
      </c>
      <c r="F187" s="71">
        <f t="shared" si="8"/>
        <v>98.940295458139317</v>
      </c>
      <c r="G187" s="84">
        <f t="shared" si="9"/>
        <v>1012.1592225367652</v>
      </c>
      <c r="H187" s="43"/>
      <c r="I187" s="8">
        <f t="shared" si="16"/>
        <v>64840.522628491599</v>
      </c>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t="s">
        <v>384</v>
      </c>
      <c r="D188" s="69">
        <v>37.428590424095297</v>
      </c>
      <c r="E188" s="142">
        <f t="shared" si="15"/>
        <v>0.99709577686586526</v>
      </c>
      <c r="F188" s="71">
        <f t="shared" si="8"/>
        <v>99.709577686586528</v>
      </c>
      <c r="G188" s="84">
        <f t="shared" si="9"/>
        <v>1020.0289797337801</v>
      </c>
      <c r="H188" s="43" t="s">
        <v>500</v>
      </c>
      <c r="I188" s="8">
        <f t="shared" si="16"/>
        <v>65344.671736904478</v>
      </c>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t="s">
        <v>385</v>
      </c>
      <c r="D189" s="69">
        <v>40.1149699566853</v>
      </c>
      <c r="E189" s="142">
        <f t="shared" si="15"/>
        <v>1.0047887416354142</v>
      </c>
      <c r="F189" s="71">
        <f t="shared" si="8"/>
        <v>100.47887416354142</v>
      </c>
      <c r="G189" s="84">
        <f t="shared" si="9"/>
        <v>1027.8988826930288</v>
      </c>
      <c r="H189" s="43"/>
      <c r="I189" s="8">
        <f t="shared" si="16"/>
        <v>65848.830183076876</v>
      </c>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43" t="s">
        <v>386</v>
      </c>
      <c r="D190" s="69">
        <v>42.994160250016002</v>
      </c>
      <c r="E190" s="142">
        <f t="shared" si="15"/>
        <v>1.0124818393530035</v>
      </c>
      <c r="F190" s="71">
        <f t="shared" si="8"/>
        <v>101.24818393530035</v>
      </c>
      <c r="G190" s="84">
        <f t="shared" si="9"/>
        <v>1035.7689216581225</v>
      </c>
      <c r="H190" s="43"/>
      <c r="I190" s="8">
        <f t="shared" si="16"/>
        <v>66352.997341999086</v>
      </c>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43" t="s">
        <v>387</v>
      </c>
      <c r="D191" s="69">
        <v>46.08</v>
      </c>
      <c r="E191" s="142">
        <f t="shared" si="15"/>
        <v>1.0201750611196456</v>
      </c>
      <c r="F191" s="71">
        <f t="shared" si="8"/>
        <v>102.01750611196456</v>
      </c>
      <c r="G191" s="84">
        <f t="shared" si="9"/>
        <v>1043.6390875253974</v>
      </c>
      <c r="H191" s="43"/>
      <c r="I191" s="8">
        <f t="shared" si="16"/>
        <v>66857.17263047598</v>
      </c>
      <c r="J191" s="8"/>
      <c r="K191" s="8"/>
      <c r="L191" s="8"/>
      <c r="M191" s="8"/>
      <c r="N191" s="8"/>
      <c r="O191" s="8"/>
      <c r="P191" s="8"/>
      <c r="Q191" s="8"/>
      <c r="R191" s="8"/>
      <c r="S191" s="8"/>
      <c r="T191" s="8"/>
      <c r="U191" s="8"/>
      <c r="V191" s="8"/>
      <c r="W191" s="8"/>
      <c r="X191" s="8"/>
      <c r="Y191" s="8"/>
      <c r="Z191" s="8"/>
      <c r="AA191" s="8"/>
      <c r="AB191" s="8"/>
      <c r="AC191" s="8"/>
      <c r="AD191" s="8"/>
    </row>
    <row r="192" spans="1:30" ht="13">
      <c r="A192" s="8"/>
      <c r="B192" s="8"/>
      <c r="C192" s="133" t="s">
        <v>810</v>
      </c>
      <c r="D192" s="69">
        <f>0.18*2^7.7377519</f>
        <v>38.420934690248863</v>
      </c>
      <c r="E192" s="142">
        <f t="shared" si="15"/>
        <v>1.0000000010198378</v>
      </c>
      <c r="F192" s="8">
        <f>E192*100</f>
        <v>100.00000010198377</v>
      </c>
      <c r="G192" s="8">
        <f>E192*1023</f>
        <v>1023.000001043294</v>
      </c>
      <c r="H192" s="8"/>
      <c r="I192" s="8">
        <f t="shared" si="16"/>
        <v>65535.000066835069</v>
      </c>
      <c r="J192" s="8"/>
      <c r="K192" s="8"/>
      <c r="L192" s="8"/>
      <c r="M192" s="8"/>
      <c r="N192" s="8"/>
      <c r="O192" s="8"/>
      <c r="P192" s="8"/>
      <c r="Q192" s="8"/>
      <c r="R192" s="8"/>
      <c r="S192" s="8"/>
      <c r="T192" s="8"/>
      <c r="U192" s="8"/>
      <c r="V192" s="8"/>
      <c r="W192" s="8"/>
      <c r="X192" s="8"/>
      <c r="Y192" s="8"/>
      <c r="Z192" s="8"/>
      <c r="AA192" s="8"/>
      <c r="AB192" s="8"/>
      <c r="AC192" s="8"/>
      <c r="AD192" s="8"/>
    </row>
    <row r="193" spans="1:30"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spans="1:30"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spans="1:30"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spans="1:30"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spans="1:30"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spans="1:30"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spans="1:30"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spans="1:30"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row>
  </sheetData>
  <mergeCells count="2">
    <mergeCell ref="D2:G2"/>
    <mergeCell ref="D29:G2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C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3" t="s">
        <v>501</v>
      </c>
      <c r="D2" s="174" t="s">
        <v>142</v>
      </c>
      <c r="E2" s="170"/>
      <c r="F2" s="170"/>
      <c r="G2" s="171"/>
      <c r="H2" s="16"/>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43">
        <f t="shared" ref="E4:E8" si="0">5.6*D4+0.125</f>
        <v>0.12500797831999999</v>
      </c>
      <c r="F4" s="18">
        <f t="shared" ref="F4:F26" si="1">E4*100</f>
        <v>12.500797832</v>
      </c>
      <c r="G4" s="33">
        <f t="shared" ref="G4:G26" si="2">E4*1023</f>
        <v>127.88316182135999</v>
      </c>
      <c r="H4" s="16" t="s">
        <v>161</v>
      </c>
      <c r="I4" s="8"/>
      <c r="J4" s="64" t="s">
        <v>162</v>
      </c>
      <c r="K4" s="8"/>
      <c r="L4" s="8"/>
      <c r="M4" s="8"/>
      <c r="N4" s="8"/>
      <c r="O4" s="8"/>
      <c r="P4" s="8"/>
      <c r="Q4" s="8"/>
      <c r="R4" s="8"/>
      <c r="S4" s="8"/>
      <c r="T4" s="8"/>
      <c r="U4" s="8"/>
      <c r="V4" s="8"/>
      <c r="W4" s="8"/>
      <c r="X4" s="8"/>
      <c r="Y4" s="8"/>
      <c r="Z4" s="8"/>
      <c r="AA4" s="8"/>
      <c r="AB4" s="8"/>
      <c r="AC4" s="8"/>
    </row>
    <row r="5" spans="1:29" ht="13">
      <c r="A5" s="58"/>
      <c r="B5" s="50">
        <v>2</v>
      </c>
      <c r="C5" s="16" t="s">
        <v>76</v>
      </c>
      <c r="D5" s="17">
        <v>7.0312499999999997E-4</v>
      </c>
      <c r="E5" s="43">
        <f t="shared" si="0"/>
        <v>0.12893750000000001</v>
      </c>
      <c r="F5" s="18">
        <f t="shared" si="1"/>
        <v>12.893750000000001</v>
      </c>
      <c r="G5" s="33">
        <f t="shared" si="2"/>
        <v>131.9030625</v>
      </c>
      <c r="H5" s="16" t="s">
        <v>164</v>
      </c>
      <c r="I5" s="8"/>
      <c r="J5" s="56" t="s">
        <v>165</v>
      </c>
      <c r="K5" s="8"/>
      <c r="L5" s="8"/>
      <c r="M5" s="8"/>
      <c r="N5" s="8"/>
      <c r="O5" s="8"/>
      <c r="P5" s="8"/>
      <c r="Q5" s="8"/>
      <c r="R5" s="8"/>
      <c r="S5" s="8"/>
      <c r="T5" s="8"/>
      <c r="U5" s="8"/>
      <c r="V5" s="8"/>
      <c r="W5" s="8"/>
      <c r="X5" s="8"/>
      <c r="Y5" s="8"/>
      <c r="Z5" s="8"/>
      <c r="AA5" s="8"/>
      <c r="AB5" s="8"/>
      <c r="AC5" s="8"/>
    </row>
    <row r="6" spans="1:29" ht="13">
      <c r="A6" s="58"/>
      <c r="B6" s="50">
        <v>3</v>
      </c>
      <c r="C6" s="16" t="s">
        <v>77</v>
      </c>
      <c r="D6" s="17">
        <v>1.4062499999999999E-3</v>
      </c>
      <c r="E6" s="43">
        <f t="shared" si="0"/>
        <v>0.13287499999999999</v>
      </c>
      <c r="F6" s="18">
        <f t="shared" si="1"/>
        <v>13.2875</v>
      </c>
      <c r="G6" s="33">
        <f t="shared" si="2"/>
        <v>135.93112499999998</v>
      </c>
      <c r="H6" s="16" t="s">
        <v>502</v>
      </c>
      <c r="I6" s="8"/>
      <c r="J6" s="8" t="s">
        <v>503</v>
      </c>
      <c r="K6" s="8"/>
      <c r="L6" s="8"/>
      <c r="M6" s="8"/>
      <c r="N6" s="8"/>
      <c r="O6" s="8"/>
      <c r="P6" s="8"/>
      <c r="Q6" s="8"/>
      <c r="R6" s="8"/>
      <c r="S6" s="8"/>
      <c r="T6" s="8"/>
      <c r="U6" s="8"/>
      <c r="V6" s="8"/>
      <c r="W6" s="8"/>
      <c r="X6" s="8"/>
      <c r="Y6" s="8"/>
      <c r="Z6" s="8"/>
      <c r="AA6" s="8"/>
      <c r="AB6" s="8"/>
      <c r="AC6" s="8"/>
    </row>
    <row r="7" spans="1:29" ht="13">
      <c r="A7" s="58"/>
      <c r="B7" s="50">
        <v>4</v>
      </c>
      <c r="C7" s="16" t="s">
        <v>78</v>
      </c>
      <c r="D7" s="17">
        <v>2.8124999999999999E-3</v>
      </c>
      <c r="E7" s="43">
        <f t="shared" si="0"/>
        <v>0.14074999999999999</v>
      </c>
      <c r="F7" s="18">
        <f t="shared" si="1"/>
        <v>14.074999999999999</v>
      </c>
      <c r="G7" s="33">
        <f t="shared" si="2"/>
        <v>143.98724999999999</v>
      </c>
      <c r="H7" s="16"/>
      <c r="I7" s="8"/>
      <c r="J7" s="2" t="s">
        <v>482</v>
      </c>
      <c r="K7" s="8"/>
      <c r="L7" s="8"/>
      <c r="M7" s="8"/>
      <c r="N7" s="8"/>
      <c r="O7" s="8"/>
      <c r="P7" s="8"/>
      <c r="Q7" s="8"/>
      <c r="R7" s="8"/>
      <c r="S7" s="8"/>
      <c r="T7" s="8"/>
      <c r="U7" s="8"/>
      <c r="V7" s="8"/>
      <c r="W7" s="8"/>
      <c r="X7" s="8"/>
      <c r="Y7" s="8"/>
      <c r="Z7" s="8"/>
      <c r="AA7" s="8"/>
      <c r="AB7" s="8"/>
      <c r="AC7" s="8"/>
    </row>
    <row r="8" spans="1:29" ht="13">
      <c r="A8" s="58"/>
      <c r="B8" s="50">
        <v>5</v>
      </c>
      <c r="C8" s="16" t="s">
        <v>79</v>
      </c>
      <c r="D8" s="17">
        <v>5.6249999999999998E-3</v>
      </c>
      <c r="E8" s="43">
        <f t="shared" si="0"/>
        <v>0.1565</v>
      </c>
      <c r="F8" s="18">
        <f t="shared" si="1"/>
        <v>15.65</v>
      </c>
      <c r="G8" s="33">
        <f t="shared" si="2"/>
        <v>160.09950000000001</v>
      </c>
      <c r="H8" s="16"/>
      <c r="I8" s="8"/>
      <c r="J8" s="8" t="s">
        <v>504</v>
      </c>
      <c r="K8" s="8"/>
      <c r="L8" s="8"/>
      <c r="M8" s="8"/>
      <c r="N8" s="8"/>
      <c r="O8" s="8"/>
      <c r="P8" s="8"/>
      <c r="Q8" s="8"/>
      <c r="R8" s="8"/>
      <c r="S8" s="8"/>
      <c r="T8" s="8"/>
      <c r="U8" s="8"/>
      <c r="V8" s="8"/>
      <c r="W8" s="8"/>
      <c r="X8" s="8"/>
      <c r="Y8" s="8"/>
      <c r="Z8" s="8"/>
      <c r="AA8" s="8"/>
      <c r="AB8" s="8"/>
      <c r="AC8" s="8"/>
    </row>
    <row r="9" spans="1:29" ht="13">
      <c r="A9" s="58"/>
      <c r="B9" s="50">
        <v>6</v>
      </c>
      <c r="C9" s="16" t="s">
        <v>80</v>
      </c>
      <c r="D9" s="17">
        <v>1.125E-2</v>
      </c>
      <c r="E9" s="43">
        <f t="shared" ref="E9:E12" si="3">0.241514*LOG10(D9+0.00873)+0.598206</f>
        <v>0.18777601769620061</v>
      </c>
      <c r="F9" s="18">
        <f t="shared" si="1"/>
        <v>18.777601769620063</v>
      </c>
      <c r="G9" s="33">
        <f t="shared" si="2"/>
        <v>192.09486610321323</v>
      </c>
      <c r="H9" s="16"/>
      <c r="I9" s="8"/>
      <c r="J9" s="8" t="s">
        <v>505</v>
      </c>
      <c r="K9" s="8"/>
      <c r="L9" s="8"/>
      <c r="M9" s="8"/>
      <c r="N9" s="8"/>
      <c r="O9" s="8"/>
      <c r="P9" s="8"/>
      <c r="Q9" s="8"/>
      <c r="R9" s="8"/>
      <c r="S9" s="8"/>
      <c r="T9" s="8"/>
      <c r="U9" s="8"/>
      <c r="V9" s="8"/>
      <c r="W9" s="8"/>
      <c r="X9" s="8"/>
      <c r="Y9" s="8"/>
      <c r="Z9" s="8"/>
      <c r="AA9" s="8"/>
      <c r="AB9" s="8"/>
      <c r="AC9" s="8"/>
    </row>
    <row r="10" spans="1:29" ht="13">
      <c r="A10" s="58"/>
      <c r="B10" s="50">
        <v>7</v>
      </c>
      <c r="C10" s="16" t="s">
        <v>81</v>
      </c>
      <c r="D10" s="17">
        <v>2.2499999999999999E-2</v>
      </c>
      <c r="E10" s="43">
        <f t="shared" si="3"/>
        <v>0.23462405819937215</v>
      </c>
      <c r="F10" s="18">
        <f t="shared" si="1"/>
        <v>23.462405819937217</v>
      </c>
      <c r="G10" s="33">
        <f t="shared" si="2"/>
        <v>240.02041153795773</v>
      </c>
      <c r="H10" s="16"/>
      <c r="I10" s="8"/>
      <c r="J10" s="8" t="s">
        <v>506</v>
      </c>
      <c r="K10" s="8"/>
      <c r="L10" s="8"/>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43">
        <f t="shared" si="3"/>
        <v>0.29153559003310758</v>
      </c>
      <c r="F11" s="18">
        <f t="shared" si="1"/>
        <v>29.153559003310757</v>
      </c>
      <c r="G11" s="33">
        <f t="shared" si="2"/>
        <v>298.24090860386906</v>
      </c>
      <c r="H11" s="16"/>
      <c r="I11" s="8"/>
      <c r="J11" s="8" t="s">
        <v>507</v>
      </c>
      <c r="K11" s="8"/>
      <c r="L11" s="8"/>
      <c r="M11" s="8"/>
      <c r="N11" s="8"/>
      <c r="O11" s="8"/>
      <c r="P11" s="8"/>
      <c r="Q11" s="8"/>
      <c r="R11" s="8"/>
      <c r="S11" s="8"/>
      <c r="T11" s="8"/>
      <c r="U11" s="8"/>
      <c r="V11" s="8"/>
      <c r="W11" s="8"/>
      <c r="X11" s="8"/>
      <c r="Y11" s="8"/>
      <c r="Z11" s="8"/>
      <c r="AA11" s="8"/>
      <c r="AB11" s="8"/>
      <c r="AC11" s="8"/>
    </row>
    <row r="12" spans="1:29" ht="13">
      <c r="A12" s="58"/>
      <c r="B12" s="50">
        <v>9</v>
      </c>
      <c r="C12" s="16" t="s">
        <v>83</v>
      </c>
      <c r="D12" s="17">
        <v>0.09</v>
      </c>
      <c r="E12" s="43">
        <f t="shared" si="3"/>
        <v>0.35535138887680789</v>
      </c>
      <c r="F12" s="18">
        <f t="shared" si="1"/>
        <v>35.535138887680787</v>
      </c>
      <c r="G12" s="33">
        <f t="shared" si="2"/>
        <v>363.5244708209745</v>
      </c>
      <c r="H12" s="16"/>
      <c r="I12" s="8"/>
      <c r="J12" s="8" t="s">
        <v>508</v>
      </c>
      <c r="K12" s="8"/>
      <c r="L12" s="8"/>
      <c r="M12" s="8"/>
      <c r="N12" s="8"/>
      <c r="O12" s="8"/>
      <c r="P12" s="8"/>
      <c r="Q12" s="8"/>
      <c r="R12" s="8"/>
      <c r="S12" s="8"/>
      <c r="T12" s="8"/>
      <c r="U12" s="8"/>
      <c r="V12" s="8"/>
      <c r="W12" s="8"/>
      <c r="X12" s="8"/>
      <c r="Y12" s="8"/>
      <c r="Z12" s="8"/>
      <c r="AA12" s="8"/>
      <c r="AB12" s="8"/>
      <c r="AC12" s="8"/>
    </row>
    <row r="13" spans="1:29" ht="13">
      <c r="A13" s="58"/>
      <c r="B13" s="50">
        <v>10</v>
      </c>
      <c r="C13" s="16" t="s">
        <v>84</v>
      </c>
      <c r="D13" s="17">
        <v>0.12727922061357799</v>
      </c>
      <c r="E13" s="43">
        <v>0.3889506269510834</v>
      </c>
      <c r="F13" s="18">
        <f t="shared" si="1"/>
        <v>38.895062695108336</v>
      </c>
      <c r="G13" s="33">
        <f t="shared" si="2"/>
        <v>397.8964913709583</v>
      </c>
      <c r="H13" s="16"/>
      <c r="I13" s="8"/>
      <c r="J13" s="8" t="s">
        <v>509</v>
      </c>
      <c r="K13" s="8"/>
      <c r="L13" s="8"/>
      <c r="M13" s="8"/>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43">
        <f t="shared" ref="E14:E26" si="4">0.241514*LOG10(D14+0.00873)+0.598206</f>
        <v>0.41638880425037533</v>
      </c>
      <c r="F14" s="71">
        <f t="shared" si="1"/>
        <v>41.638880425037534</v>
      </c>
      <c r="G14" s="72">
        <f t="shared" si="2"/>
        <v>425.96574674813394</v>
      </c>
      <c r="H14" s="16"/>
      <c r="I14" s="8"/>
      <c r="J14" s="8" t="s">
        <v>510</v>
      </c>
      <c r="K14" s="8"/>
      <c r="L14" s="8"/>
      <c r="M14" s="8"/>
      <c r="N14" s="8"/>
      <c r="O14" s="8"/>
      <c r="P14" s="8"/>
      <c r="Q14" s="8"/>
      <c r="R14" s="8"/>
      <c r="S14" s="8"/>
      <c r="T14" s="8"/>
      <c r="U14" s="8"/>
      <c r="V14" s="8"/>
      <c r="W14" s="8"/>
      <c r="X14" s="8"/>
      <c r="Y14" s="8"/>
      <c r="Z14" s="8"/>
      <c r="AA14" s="8"/>
      <c r="AB14" s="8"/>
      <c r="AC14" s="8"/>
    </row>
    <row r="15" spans="1:29" ht="13">
      <c r="A15" s="58"/>
      <c r="B15" s="50">
        <v>12</v>
      </c>
      <c r="C15" s="16" t="s">
        <v>86</v>
      </c>
      <c r="D15" s="17">
        <v>0.18</v>
      </c>
      <c r="E15" s="43">
        <f t="shared" si="4"/>
        <v>0.42331144876013616</v>
      </c>
      <c r="F15" s="18">
        <f t="shared" si="1"/>
        <v>42.331144876013617</v>
      </c>
      <c r="G15" s="33">
        <f t="shared" si="2"/>
        <v>433.04761208161926</v>
      </c>
      <c r="H15" s="16"/>
      <c r="I15" s="8"/>
      <c r="J15" s="2" t="s">
        <v>511</v>
      </c>
      <c r="K15" s="8"/>
      <c r="L15" s="8"/>
      <c r="M15" s="8"/>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43">
        <f t="shared" si="4"/>
        <v>0.43722209403316581</v>
      </c>
      <c r="F16" s="71">
        <f t="shared" si="1"/>
        <v>43.722209403316583</v>
      </c>
      <c r="G16" s="72">
        <f t="shared" si="2"/>
        <v>447.2782021959286</v>
      </c>
      <c r="H16" s="16"/>
      <c r="I16" s="8"/>
      <c r="J16" s="8" t="s">
        <v>512</v>
      </c>
      <c r="K16" s="8"/>
      <c r="L16" s="8"/>
      <c r="M16" s="8"/>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43">
        <f t="shared" si="4"/>
        <v>0.45823216413190404</v>
      </c>
      <c r="F17" s="18">
        <f t="shared" si="1"/>
        <v>45.823216413190401</v>
      </c>
      <c r="G17" s="33">
        <f t="shared" si="2"/>
        <v>468.77150390693782</v>
      </c>
      <c r="H17" s="16"/>
      <c r="I17" s="8"/>
      <c r="J17" s="8"/>
      <c r="K17" s="8"/>
      <c r="L17" s="8"/>
      <c r="M17" s="8"/>
      <c r="N17" s="8"/>
      <c r="O17" s="8"/>
      <c r="P17" s="8"/>
      <c r="Q17" s="8"/>
      <c r="R17" s="8"/>
      <c r="S17" s="8"/>
      <c r="T17" s="8"/>
      <c r="U17" s="8"/>
      <c r="V17" s="8"/>
      <c r="W17" s="8"/>
      <c r="X17" s="8"/>
      <c r="Y17" s="8"/>
      <c r="Z17" s="8"/>
      <c r="AA17" s="8"/>
      <c r="AB17" s="8"/>
      <c r="AC17" s="8"/>
    </row>
    <row r="18" spans="1:29" ht="13">
      <c r="A18" s="58"/>
      <c r="B18" s="50">
        <v>15</v>
      </c>
      <c r="C18" s="16" t="s">
        <v>89</v>
      </c>
      <c r="D18" s="17">
        <v>0.36</v>
      </c>
      <c r="E18" s="43">
        <f t="shared" si="4"/>
        <v>0.49356003024290834</v>
      </c>
      <c r="F18" s="18">
        <f t="shared" si="1"/>
        <v>49.356003024290835</v>
      </c>
      <c r="G18" s="33">
        <f t="shared" si="2"/>
        <v>504.91191093849523</v>
      </c>
      <c r="H18" s="16"/>
      <c r="I18" s="8"/>
      <c r="J18" s="8" t="s">
        <v>513</v>
      </c>
      <c r="K18" s="8"/>
      <c r="L18" s="8" t="s">
        <v>514</v>
      </c>
      <c r="M18" s="8"/>
      <c r="N18" s="8"/>
      <c r="O18" s="8"/>
      <c r="P18" s="8"/>
      <c r="Q18" s="8"/>
      <c r="R18" s="8"/>
      <c r="S18" s="8"/>
      <c r="T18" s="8"/>
      <c r="U18" s="8"/>
      <c r="V18" s="8"/>
      <c r="W18" s="8"/>
      <c r="X18" s="8"/>
      <c r="Y18" s="8"/>
      <c r="Z18" s="8"/>
      <c r="AA18" s="8"/>
      <c r="AB18" s="8"/>
      <c r="AC18" s="8"/>
    </row>
    <row r="19" spans="1:29" ht="13">
      <c r="A19" s="58"/>
      <c r="B19" s="50">
        <v>16</v>
      </c>
      <c r="C19" s="16" t="s">
        <v>90</v>
      </c>
      <c r="D19" s="17">
        <v>0.72</v>
      </c>
      <c r="E19" s="43">
        <f t="shared" si="4"/>
        <v>0.56501392159787622</v>
      </c>
      <c r="F19" s="18">
        <f t="shared" si="1"/>
        <v>56.501392159787621</v>
      </c>
      <c r="G19" s="33">
        <f t="shared" si="2"/>
        <v>578.00924179462743</v>
      </c>
      <c r="H19" s="16"/>
      <c r="I19" s="8"/>
      <c r="J19" s="8" t="s">
        <v>515</v>
      </c>
      <c r="K19" s="8"/>
      <c r="L19" s="8" t="s">
        <v>516</v>
      </c>
      <c r="M19" s="8"/>
      <c r="N19" s="8"/>
      <c r="O19" s="8"/>
      <c r="P19" s="8"/>
      <c r="Q19" s="8"/>
      <c r="R19" s="8"/>
      <c r="S19" s="8"/>
      <c r="T19" s="8"/>
      <c r="U19" s="8"/>
      <c r="V19" s="8"/>
      <c r="W19" s="8"/>
      <c r="X19" s="8"/>
      <c r="Y19" s="8"/>
      <c r="Z19" s="8"/>
      <c r="AA19" s="8"/>
      <c r="AB19" s="8"/>
      <c r="AC19" s="8"/>
    </row>
    <row r="20" spans="1:29" ht="13">
      <c r="A20" s="58"/>
      <c r="B20" s="82">
        <v>17</v>
      </c>
      <c r="C20" s="73" t="s">
        <v>91</v>
      </c>
      <c r="D20" s="74">
        <v>0.9</v>
      </c>
      <c r="E20" s="98">
        <f t="shared" si="4"/>
        <v>0.58816743815443773</v>
      </c>
      <c r="F20" s="76">
        <f t="shared" si="1"/>
        <v>58.816743815443772</v>
      </c>
      <c r="G20" s="77">
        <f t="shared" si="2"/>
        <v>601.69528923198982</v>
      </c>
      <c r="H20" s="73" t="s">
        <v>205</v>
      </c>
      <c r="I20" s="8"/>
      <c r="J20" s="2" t="s">
        <v>517</v>
      </c>
      <c r="K20" s="8"/>
      <c r="L20" s="8" t="s">
        <v>515</v>
      </c>
      <c r="M20" s="8"/>
      <c r="N20" s="8"/>
      <c r="O20" s="8"/>
      <c r="P20" s="8"/>
      <c r="Q20" s="8"/>
      <c r="R20" s="8"/>
      <c r="S20" s="8"/>
      <c r="T20" s="8"/>
      <c r="U20" s="8"/>
      <c r="V20" s="8"/>
      <c r="W20" s="8"/>
      <c r="X20" s="8"/>
      <c r="Y20" s="8"/>
      <c r="Z20" s="8"/>
      <c r="AA20" s="8"/>
      <c r="AB20" s="8"/>
      <c r="AC20" s="8"/>
    </row>
    <row r="21" spans="1:29" ht="13">
      <c r="A21" s="58"/>
      <c r="B21" s="50">
        <v>18</v>
      </c>
      <c r="C21" s="16" t="s">
        <v>92</v>
      </c>
      <c r="D21" s="17">
        <v>1.44</v>
      </c>
      <c r="E21" s="43">
        <f t="shared" si="4"/>
        <v>0.63708672384292586</v>
      </c>
      <c r="F21" s="18">
        <f t="shared" si="1"/>
        <v>63.708672384292584</v>
      </c>
      <c r="G21" s="33">
        <f t="shared" si="2"/>
        <v>651.73971849131317</v>
      </c>
      <c r="H21" s="16"/>
      <c r="I21" s="8"/>
      <c r="J21" s="2" t="s">
        <v>518</v>
      </c>
      <c r="K21" s="8"/>
      <c r="L21" s="8" t="s">
        <v>517</v>
      </c>
      <c r="M21" s="8"/>
      <c r="N21" s="8"/>
      <c r="O21" s="8"/>
      <c r="P21" s="8"/>
      <c r="Q21" s="8"/>
      <c r="R21" s="8"/>
      <c r="S21" s="8"/>
      <c r="T21" s="8"/>
      <c r="U21" s="8"/>
      <c r="V21" s="8"/>
      <c r="W21" s="8"/>
      <c r="X21" s="8"/>
      <c r="Y21" s="8"/>
      <c r="Z21" s="8"/>
      <c r="AA21" s="8"/>
      <c r="AB21" s="8"/>
      <c r="AC21" s="8"/>
    </row>
    <row r="22" spans="1:29" ht="13">
      <c r="A22" s="58"/>
      <c r="B22" s="50">
        <v>19</v>
      </c>
      <c r="C22" s="16" t="s">
        <v>93</v>
      </c>
      <c r="D22" s="17">
        <v>2.88</v>
      </c>
      <c r="E22" s="43">
        <f t="shared" si="4"/>
        <v>0.7094731787275832</v>
      </c>
      <c r="F22" s="18">
        <f t="shared" si="1"/>
        <v>70.947317872758319</v>
      </c>
      <c r="G22" s="33">
        <f t="shared" si="2"/>
        <v>725.79106183831766</v>
      </c>
      <c r="H22" s="16"/>
      <c r="I22" s="8"/>
      <c r="J22" s="8" t="s">
        <v>519</v>
      </c>
      <c r="K22" s="8"/>
      <c r="L22" s="8" t="s">
        <v>520</v>
      </c>
      <c r="M22" s="8"/>
      <c r="N22" s="8"/>
      <c r="O22" s="8"/>
      <c r="P22" s="8"/>
      <c r="Q22" s="8"/>
      <c r="R22" s="8"/>
      <c r="S22" s="8"/>
      <c r="T22" s="8"/>
      <c r="U22" s="8"/>
      <c r="V22" s="8"/>
      <c r="W22" s="8"/>
      <c r="X22" s="8"/>
      <c r="Y22" s="8"/>
      <c r="Z22" s="8"/>
      <c r="AA22" s="8"/>
      <c r="AB22" s="8"/>
      <c r="AC22" s="8"/>
    </row>
    <row r="23" spans="1:29" ht="13">
      <c r="A23" s="58"/>
      <c r="B23" s="50">
        <v>20</v>
      </c>
      <c r="C23" s="16" t="s">
        <v>94</v>
      </c>
      <c r="D23" s="17">
        <v>5.76</v>
      </c>
      <c r="E23" s="43">
        <f t="shared" si="4"/>
        <v>0.78201752648705725</v>
      </c>
      <c r="F23" s="18">
        <f t="shared" si="1"/>
        <v>78.201752648705721</v>
      </c>
      <c r="G23" s="33">
        <f t="shared" si="2"/>
        <v>800.00392959625958</v>
      </c>
      <c r="H23" s="16"/>
      <c r="I23" s="8"/>
      <c r="J23" s="8" t="s">
        <v>521</v>
      </c>
      <c r="K23" s="8"/>
      <c r="L23" s="8" t="s">
        <v>519</v>
      </c>
      <c r="M23" s="8"/>
      <c r="N23" s="8"/>
      <c r="O23" s="8"/>
      <c r="P23" s="8"/>
      <c r="Q23" s="8"/>
      <c r="R23" s="8"/>
      <c r="S23" s="8"/>
      <c r="T23" s="8"/>
      <c r="U23" s="8"/>
      <c r="V23" s="8"/>
      <c r="W23" s="8"/>
      <c r="X23" s="8"/>
      <c r="Y23" s="8"/>
      <c r="Z23" s="8"/>
      <c r="AA23" s="8"/>
      <c r="AB23" s="8"/>
      <c r="AC23" s="8"/>
    </row>
    <row r="24" spans="1:29" ht="13">
      <c r="A24" s="58"/>
      <c r="B24" s="50">
        <v>21</v>
      </c>
      <c r="C24" s="16" t="s">
        <v>95</v>
      </c>
      <c r="D24" s="17">
        <v>11.52</v>
      </c>
      <c r="E24" s="43">
        <f t="shared" si="4"/>
        <v>0.85464108951905549</v>
      </c>
      <c r="F24" s="18">
        <f t="shared" si="1"/>
        <v>85.464108951905544</v>
      </c>
      <c r="G24" s="33">
        <f t="shared" si="2"/>
        <v>874.29783457799374</v>
      </c>
      <c r="H24" s="5" t="s">
        <v>522</v>
      </c>
      <c r="I24" s="8"/>
      <c r="J24" s="8" t="s">
        <v>523</v>
      </c>
      <c r="K24" s="8"/>
      <c r="L24" s="8" t="s">
        <v>521</v>
      </c>
      <c r="M24" s="8"/>
      <c r="N24" s="8"/>
      <c r="O24" s="8"/>
      <c r="P24" s="8"/>
      <c r="Q24" s="8"/>
      <c r="R24" s="8"/>
      <c r="S24" s="8"/>
      <c r="T24" s="8"/>
      <c r="U24" s="8"/>
      <c r="V24" s="8"/>
      <c r="W24" s="8"/>
      <c r="X24" s="8"/>
      <c r="Y24" s="8"/>
      <c r="Z24" s="8"/>
      <c r="AA24" s="8"/>
      <c r="AB24" s="8"/>
      <c r="AC24" s="8"/>
    </row>
    <row r="25" spans="1:29" ht="13">
      <c r="A25" s="58"/>
      <c r="B25" s="50">
        <v>22</v>
      </c>
      <c r="C25" s="16" t="s">
        <v>96</v>
      </c>
      <c r="D25" s="17">
        <v>23.04</v>
      </c>
      <c r="E25" s="43">
        <f t="shared" si="4"/>
        <v>0.92730432767314497</v>
      </c>
      <c r="F25" s="18">
        <f t="shared" si="1"/>
        <v>92.730432767314497</v>
      </c>
      <c r="G25" s="33">
        <f t="shared" si="2"/>
        <v>948.63232720962731</v>
      </c>
      <c r="H25" s="16"/>
      <c r="I25" s="8"/>
      <c r="J25" s="8" t="s">
        <v>493</v>
      </c>
      <c r="K25" s="8"/>
      <c r="L25" s="8"/>
      <c r="M25" s="8"/>
      <c r="N25" s="8"/>
      <c r="O25" s="8"/>
      <c r="P25" s="8"/>
      <c r="Q25" s="8"/>
      <c r="R25" s="8"/>
      <c r="S25" s="8"/>
      <c r="T25" s="8"/>
      <c r="U25" s="8"/>
      <c r="V25" s="8"/>
      <c r="W25" s="8"/>
      <c r="X25" s="8"/>
      <c r="Y25" s="8"/>
      <c r="Z25" s="8"/>
      <c r="AA25" s="8"/>
      <c r="AB25" s="8"/>
      <c r="AC25" s="8"/>
    </row>
    <row r="26" spans="1:29" ht="13">
      <c r="A26" s="58"/>
      <c r="B26" s="50">
        <v>23</v>
      </c>
      <c r="C26" s="16" t="s">
        <v>97</v>
      </c>
      <c r="D26" s="17">
        <v>46.08</v>
      </c>
      <c r="E26" s="43">
        <f t="shared" si="4"/>
        <v>0.99998742029452692</v>
      </c>
      <c r="F26" s="18">
        <f t="shared" si="1"/>
        <v>99.998742029452686</v>
      </c>
      <c r="G26" s="33">
        <f t="shared" si="2"/>
        <v>1022.9871309613011</v>
      </c>
      <c r="H26" s="16"/>
      <c r="I26" s="8"/>
      <c r="K26" s="8"/>
      <c r="L26" s="8"/>
      <c r="M26" s="8"/>
      <c r="N26" s="8"/>
      <c r="O26" s="8"/>
      <c r="P26" s="8"/>
      <c r="Q26" s="8"/>
      <c r="R26" s="8"/>
      <c r="S26" s="8"/>
      <c r="T26" s="8"/>
      <c r="U26" s="8"/>
      <c r="V26" s="8"/>
      <c r="W26" s="8"/>
      <c r="X26" s="8"/>
      <c r="Y26" s="8"/>
      <c r="Z26" s="8"/>
      <c r="AA26" s="8"/>
      <c r="AB26" s="8"/>
      <c r="AC26" s="8"/>
    </row>
    <row r="27" spans="1:29" ht="13">
      <c r="A27" s="58"/>
      <c r="B27" s="50">
        <v>24</v>
      </c>
      <c r="C27" s="5"/>
      <c r="D27" s="5"/>
      <c r="E27" s="5"/>
      <c r="F27" s="5"/>
      <c r="G27" s="5"/>
      <c r="H27" s="43"/>
      <c r="I27" s="8"/>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row>
    <row r="29" spans="1:29" ht="28">
      <c r="A29" s="8"/>
      <c r="B29" s="43"/>
      <c r="C29" s="13" t="s">
        <v>501</v>
      </c>
      <c r="D29" s="173" t="s">
        <v>142</v>
      </c>
      <c r="E29" s="166"/>
      <c r="F29" s="166"/>
      <c r="G29" s="167"/>
      <c r="H29" s="41" t="s">
        <v>228</v>
      </c>
      <c r="I29" s="8"/>
      <c r="J29" s="8"/>
      <c r="K29" s="8"/>
      <c r="L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J30" s="8"/>
      <c r="K30" s="8"/>
      <c r="L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43">
        <f t="shared" ref="E31:E69" si="5">5.6*D31+0.125</f>
        <v>0.12893750000000001</v>
      </c>
      <c r="F31" s="71">
        <f t="shared" ref="F31:F191" si="6">E31*100</f>
        <v>12.893750000000001</v>
      </c>
      <c r="G31" s="84">
        <f t="shared" ref="G31:G191" si="7">E31*1023</f>
        <v>131.9030625</v>
      </c>
      <c r="H31" s="43"/>
      <c r="I31" s="8"/>
      <c r="J31" s="8"/>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43">
        <f t="shared" si="5"/>
        <v>0.12922010800873665</v>
      </c>
      <c r="F32" s="71">
        <f t="shared" si="6"/>
        <v>12.922010800873664</v>
      </c>
      <c r="G32" s="84">
        <f t="shared" si="7"/>
        <v>132.19217049293761</v>
      </c>
      <c r="H32" s="43"/>
      <c r="I32" s="8"/>
      <c r="J32" s="8"/>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43">
        <f t="shared" si="5"/>
        <v>0.12952299977280082</v>
      </c>
      <c r="F33" s="71">
        <f t="shared" si="6"/>
        <v>12.952299977280083</v>
      </c>
      <c r="G33" s="84">
        <f t="shared" si="7"/>
        <v>132.50202876757524</v>
      </c>
      <c r="H33" s="43"/>
      <c r="I33" s="8"/>
      <c r="J33" s="8"/>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43">
        <f t="shared" si="5"/>
        <v>0.1298476311275456</v>
      </c>
      <c r="F34" s="71">
        <f t="shared" si="6"/>
        <v>12.98476311275456</v>
      </c>
      <c r="G34" s="84">
        <f t="shared" si="7"/>
        <v>132.83412664347915</v>
      </c>
      <c r="H34" s="43"/>
      <c r="I34" s="8"/>
      <c r="J34" s="8"/>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43">
        <f t="shared" si="5"/>
        <v>0.13019556239866828</v>
      </c>
      <c r="F35" s="71">
        <f t="shared" si="6"/>
        <v>13.019556239866828</v>
      </c>
      <c r="G35" s="84">
        <f t="shared" si="7"/>
        <v>133.19006033383766</v>
      </c>
      <c r="H35" s="43"/>
      <c r="I35" s="8"/>
      <c r="J35" s="8"/>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43">
        <f t="shared" si="5"/>
        <v>0.13056846590184407</v>
      </c>
      <c r="F36" s="71">
        <f t="shared" si="6"/>
        <v>13.056846590184406</v>
      </c>
      <c r="G36" s="84">
        <f t="shared" si="7"/>
        <v>133.57154061758649</v>
      </c>
      <c r="H36" s="43"/>
      <c r="I36" s="8"/>
      <c r="J36" s="8"/>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43">
        <f t="shared" si="5"/>
        <v>0.13096813398063467</v>
      </c>
      <c r="F37" s="71">
        <f t="shared" si="6"/>
        <v>13.096813398063468</v>
      </c>
      <c r="G37" s="84">
        <f t="shared" si="7"/>
        <v>133.98040106218926</v>
      </c>
      <c r="H37" s="43"/>
      <c r="I37" s="8"/>
      <c r="J37" s="8"/>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43">
        <f t="shared" si="5"/>
        <v>0.13139648762130532</v>
      </c>
      <c r="F38" s="71">
        <f t="shared" si="6"/>
        <v>13.139648762130532</v>
      </c>
      <c r="G38" s="84">
        <f t="shared" si="7"/>
        <v>134.41860683659533</v>
      </c>
      <c r="H38" s="43"/>
      <c r="I38" s="8"/>
      <c r="J38" s="8"/>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43">
        <f t="shared" si="5"/>
        <v>0.13185558568595696</v>
      </c>
      <c r="F39" s="71">
        <f t="shared" si="6"/>
        <v>13.185558568595695</v>
      </c>
      <c r="G39" s="84">
        <f t="shared" si="7"/>
        <v>134.88826415673395</v>
      </c>
      <c r="H39" s="43"/>
      <c r="I39" s="8"/>
      <c r="J39" s="8"/>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43">
        <f t="shared" si="5"/>
        <v>0.13234763480835232</v>
      </c>
      <c r="F40" s="71">
        <f t="shared" si="6"/>
        <v>13.234763480835232</v>
      </c>
      <c r="G40" s="84">
        <f t="shared" si="7"/>
        <v>135.39163040894442</v>
      </c>
      <c r="H40" s="43"/>
      <c r="I40" s="8"/>
      <c r="J40" s="8"/>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43">
        <f t="shared" si="5"/>
        <v>0.13287499999999999</v>
      </c>
      <c r="F41" s="71">
        <f t="shared" si="6"/>
        <v>13.2875</v>
      </c>
      <c r="G41" s="84">
        <f t="shared" si="7"/>
        <v>135.93112499999998</v>
      </c>
      <c r="H41" s="43"/>
      <c r="I41" s="8"/>
      <c r="J41" s="8"/>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43">
        <f t="shared" si="5"/>
        <v>0.1334402160174733</v>
      </c>
      <c r="F42" s="71">
        <f t="shared" si="6"/>
        <v>13.344021601747331</v>
      </c>
      <c r="G42" s="84">
        <f t="shared" si="7"/>
        <v>136.50934098587518</v>
      </c>
      <c r="H42" s="43"/>
      <c r="I42" s="8"/>
      <c r="J42" s="8"/>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43">
        <f t="shared" si="5"/>
        <v>0.13404599954560165</v>
      </c>
      <c r="F43" s="71">
        <f t="shared" si="6"/>
        <v>13.404599954560165</v>
      </c>
      <c r="G43" s="84">
        <f t="shared" si="7"/>
        <v>137.12905753515048</v>
      </c>
      <c r="H43" s="43"/>
      <c r="I43" s="8"/>
      <c r="J43" s="8"/>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43">
        <f t="shared" si="5"/>
        <v>0.13469526225509115</v>
      </c>
      <c r="F44" s="71">
        <f t="shared" si="6"/>
        <v>13.469526225509115</v>
      </c>
      <c r="G44" s="84">
        <f t="shared" si="7"/>
        <v>137.79325328695825</v>
      </c>
      <c r="H44" s="43"/>
      <c r="I44" s="8"/>
      <c r="J44" s="8"/>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43">
        <f t="shared" si="5"/>
        <v>0.13539112479733653</v>
      </c>
      <c r="F45" s="71">
        <f t="shared" si="6"/>
        <v>13.539112479733653</v>
      </c>
      <c r="G45" s="84">
        <f t="shared" si="7"/>
        <v>138.50512066767527</v>
      </c>
      <c r="H45" s="43"/>
      <c r="I45" s="8"/>
      <c r="J45" s="8"/>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43">
        <f t="shared" si="5"/>
        <v>0.1361369318036881</v>
      </c>
      <c r="F46" s="71">
        <f t="shared" si="6"/>
        <v>13.613693180368811</v>
      </c>
      <c r="G46" s="84">
        <f t="shared" si="7"/>
        <v>139.26808123517293</v>
      </c>
      <c r="H46" s="43"/>
      <c r="I46" s="8"/>
      <c r="J46" s="8"/>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43">
        <f t="shared" si="5"/>
        <v>0.13693626796126934</v>
      </c>
      <c r="F47" s="71">
        <f t="shared" si="6"/>
        <v>13.693626796126935</v>
      </c>
      <c r="G47" s="84">
        <f t="shared" si="7"/>
        <v>140.08580212437855</v>
      </c>
      <c r="H47" s="43"/>
      <c r="I47" s="8"/>
      <c r="J47" s="8"/>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43">
        <f t="shared" si="5"/>
        <v>0.13779297524261069</v>
      </c>
      <c r="F48" s="71">
        <f t="shared" si="6"/>
        <v>13.77929752426107</v>
      </c>
      <c r="G48" s="84">
        <f t="shared" si="7"/>
        <v>140.96221367319075</v>
      </c>
      <c r="H48" s="43"/>
      <c r="I48" s="8"/>
      <c r="J48" s="8"/>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43">
        <f t="shared" si="5"/>
        <v>0.13871117137191391</v>
      </c>
      <c r="F49" s="71">
        <f t="shared" si="6"/>
        <v>13.871117137191391</v>
      </c>
      <c r="G49" s="84">
        <f t="shared" si="7"/>
        <v>141.90152831346794</v>
      </c>
      <c r="H49" s="43"/>
      <c r="I49" s="8"/>
      <c r="J49" s="8"/>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43">
        <f t="shared" si="5"/>
        <v>0.1396952696167047</v>
      </c>
      <c r="F50" s="71">
        <f t="shared" si="6"/>
        <v>13.96952696167047</v>
      </c>
      <c r="G50" s="84">
        <f t="shared" si="7"/>
        <v>142.9082608178889</v>
      </c>
      <c r="H50" s="43"/>
      <c r="I50" s="8"/>
      <c r="J50" s="8"/>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43">
        <f t="shared" si="5"/>
        <v>0.14074999999999999</v>
      </c>
      <c r="F51" s="71">
        <f t="shared" si="6"/>
        <v>14.074999999999999</v>
      </c>
      <c r="G51" s="84">
        <f t="shared" si="7"/>
        <v>143.98724999999999</v>
      </c>
      <c r="H51" s="43"/>
      <c r="I51" s="8"/>
      <c r="J51" s="8"/>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43">
        <f t="shared" si="5"/>
        <v>0.1418804320349466</v>
      </c>
      <c r="F52" s="71">
        <f t="shared" si="6"/>
        <v>14.18804320349466</v>
      </c>
      <c r="G52" s="84">
        <f t="shared" si="7"/>
        <v>145.14368197175037</v>
      </c>
      <c r="H52" s="43"/>
      <c r="I52" s="8"/>
      <c r="J52" s="8"/>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43">
        <f t="shared" si="5"/>
        <v>0.14309199909120329</v>
      </c>
      <c r="F53" s="71">
        <f t="shared" si="6"/>
        <v>14.309199909120329</v>
      </c>
      <c r="G53" s="84">
        <f t="shared" si="7"/>
        <v>146.38311507030096</v>
      </c>
      <c r="H53" s="43"/>
      <c r="I53" s="8"/>
      <c r="J53" s="8"/>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43">
        <f t="shared" si="5"/>
        <v>0.14439052451018239</v>
      </c>
      <c r="F54" s="71">
        <f t="shared" si="6"/>
        <v>14.439052451018238</v>
      </c>
      <c r="G54" s="84">
        <f t="shared" si="7"/>
        <v>147.71150657391658</v>
      </c>
      <c r="H54" s="43"/>
      <c r="I54" s="8"/>
      <c r="J54" s="8"/>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43">
        <f t="shared" si="5"/>
        <v>0.14578224959467306</v>
      </c>
      <c r="F55" s="71">
        <f t="shared" si="6"/>
        <v>14.578224959467306</v>
      </c>
      <c r="G55" s="84">
        <f t="shared" si="7"/>
        <v>149.13524133535054</v>
      </c>
      <c r="H55" s="43"/>
      <c r="I55" s="8"/>
      <c r="J55" s="8"/>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43">
        <f t="shared" si="5"/>
        <v>0.14727386360737624</v>
      </c>
      <c r="F56" s="71">
        <f t="shared" si="6"/>
        <v>14.727386360737624</v>
      </c>
      <c r="G56" s="84">
        <f t="shared" si="7"/>
        <v>150.66116247034589</v>
      </c>
      <c r="H56" s="43"/>
      <c r="I56" s="8"/>
      <c r="J56" s="8"/>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43">
        <f t="shared" si="5"/>
        <v>0.14887253592253874</v>
      </c>
      <c r="F57" s="71">
        <f t="shared" si="6"/>
        <v>14.887253592253874</v>
      </c>
      <c r="G57" s="84">
        <f t="shared" si="7"/>
        <v>152.29660424875712</v>
      </c>
      <c r="H57" s="43"/>
      <c r="I57" s="8"/>
      <c r="J57" s="8"/>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43">
        <f t="shared" si="5"/>
        <v>0.15058595048522139</v>
      </c>
      <c r="F58" s="71">
        <f t="shared" si="6"/>
        <v>15.05859504852214</v>
      </c>
      <c r="G58" s="84">
        <f t="shared" si="7"/>
        <v>154.04942734638149</v>
      </c>
      <c r="H58" s="43"/>
      <c r="I58" s="8"/>
      <c r="J58" s="8"/>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43">
        <f t="shared" si="5"/>
        <v>0.15242234274382788</v>
      </c>
      <c r="F59" s="71">
        <f t="shared" si="6"/>
        <v>15.242234274382788</v>
      </c>
      <c r="G59" s="84">
        <f t="shared" si="7"/>
        <v>155.92805662693593</v>
      </c>
      <c r="H59" s="43"/>
      <c r="I59" s="8"/>
      <c r="J59" s="8"/>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43">
        <f t="shared" si="5"/>
        <v>0.15439053923340942</v>
      </c>
      <c r="F60" s="71">
        <f t="shared" si="6"/>
        <v>15.439053923340943</v>
      </c>
      <c r="G60" s="84">
        <f t="shared" si="7"/>
        <v>157.94152163577783</v>
      </c>
      <c r="H60" s="43"/>
      <c r="I60" s="8"/>
      <c r="J60" s="8"/>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43">
        <f t="shared" si="5"/>
        <v>0.1565</v>
      </c>
      <c r="F61" s="71">
        <f t="shared" si="6"/>
        <v>15.65</v>
      </c>
      <c r="G61" s="84">
        <f t="shared" si="7"/>
        <v>160.09950000000001</v>
      </c>
      <c r="H61" s="43"/>
      <c r="I61" s="8"/>
      <c r="J61" s="8"/>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43">
        <f t="shared" si="5"/>
        <v>0.15876086406989318</v>
      </c>
      <c r="F62" s="71">
        <f t="shared" si="6"/>
        <v>15.876086406989318</v>
      </c>
      <c r="G62" s="84">
        <f t="shared" si="7"/>
        <v>162.41236394350071</v>
      </c>
      <c r="H62" s="43"/>
      <c r="I62" s="8"/>
      <c r="J62" s="8"/>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43">
        <f t="shared" si="5"/>
        <v>0.16118399818240658</v>
      </c>
      <c r="F63" s="71">
        <f t="shared" si="6"/>
        <v>16.118399818240658</v>
      </c>
      <c r="G63" s="84">
        <f t="shared" si="7"/>
        <v>164.89123014060195</v>
      </c>
      <c r="H63" s="43"/>
      <c r="I63" s="8"/>
      <c r="J63" s="8"/>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43">
        <f t="shared" si="5"/>
        <v>0.16378104902036483</v>
      </c>
      <c r="F64" s="71">
        <f t="shared" si="6"/>
        <v>16.378104902036483</v>
      </c>
      <c r="G64" s="84">
        <f t="shared" si="7"/>
        <v>167.54801314783322</v>
      </c>
      <c r="H64" s="43"/>
      <c r="I64" s="8"/>
      <c r="J64" s="8"/>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43">
        <f t="shared" si="5"/>
        <v>0.16656449918934615</v>
      </c>
      <c r="F65" s="71">
        <f t="shared" si="6"/>
        <v>16.656449918934616</v>
      </c>
      <c r="G65" s="84">
        <f t="shared" si="7"/>
        <v>170.39548267070111</v>
      </c>
      <c r="H65" s="43"/>
      <c r="I65" s="8"/>
      <c r="J65" s="8"/>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43">
        <f t="shared" si="5"/>
        <v>0.16954772721475247</v>
      </c>
      <c r="F66" s="71">
        <f t="shared" si="6"/>
        <v>16.954772721475248</v>
      </c>
      <c r="G66" s="84">
        <f t="shared" si="7"/>
        <v>173.44732494069177</v>
      </c>
      <c r="H66" s="43"/>
      <c r="I66" s="8"/>
      <c r="J66" s="8"/>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43">
        <f t="shared" si="5"/>
        <v>0.17274507184507748</v>
      </c>
      <c r="F67" s="71">
        <f t="shared" si="6"/>
        <v>17.274507184507748</v>
      </c>
      <c r="G67" s="84">
        <f t="shared" si="7"/>
        <v>176.71820849751427</v>
      </c>
      <c r="H67" s="43"/>
      <c r="I67" s="8"/>
      <c r="J67" s="8"/>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43">
        <f t="shared" si="5"/>
        <v>0.17617190097044283</v>
      </c>
      <c r="F68" s="71">
        <f t="shared" si="6"/>
        <v>17.617190097044283</v>
      </c>
      <c r="G68" s="84">
        <f t="shared" si="7"/>
        <v>180.22385469276301</v>
      </c>
      <c r="H68" s="43"/>
      <c r="I68" s="8"/>
      <c r="J68" s="8"/>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43">
        <f t="shared" si="5"/>
        <v>0.17984468548765578</v>
      </c>
      <c r="F69" s="71">
        <f t="shared" si="6"/>
        <v>17.984468548765577</v>
      </c>
      <c r="G69" s="84">
        <f t="shared" si="7"/>
        <v>183.98111325387185</v>
      </c>
      <c r="H69" s="43"/>
      <c r="I69" s="8"/>
      <c r="J69" s="8"/>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43">
        <f t="shared" ref="E70:E191" si="8">0.241514*LOG10(D70+0.00873)+0.598206</f>
        <v>0.18374454164593662</v>
      </c>
      <c r="F70" s="71">
        <f t="shared" si="6"/>
        <v>18.374454164593661</v>
      </c>
      <c r="G70" s="84">
        <f t="shared" si="7"/>
        <v>187.97066610379315</v>
      </c>
      <c r="H70" s="43"/>
      <c r="I70" s="8"/>
      <c r="J70" s="8"/>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43">
        <f t="shared" si="8"/>
        <v>0.18777601769620061</v>
      </c>
      <c r="F71" s="71">
        <f t="shared" si="6"/>
        <v>18.777601769620063</v>
      </c>
      <c r="G71" s="84">
        <f t="shared" si="7"/>
        <v>192.09486610321323</v>
      </c>
      <c r="H71" s="43"/>
      <c r="I71" s="8"/>
      <c r="J71" s="8"/>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43">
        <f t="shared" si="8"/>
        <v>0.19193145060678196</v>
      </c>
      <c r="F72" s="71">
        <f t="shared" si="6"/>
        <v>19.193145060678198</v>
      </c>
      <c r="G72" s="84">
        <f t="shared" si="7"/>
        <v>196.34587397073796</v>
      </c>
      <c r="H72" s="43"/>
      <c r="I72" s="8"/>
      <c r="J72" s="8"/>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43">
        <f t="shared" si="8"/>
        <v>0.19620961742771792</v>
      </c>
      <c r="F73" s="71">
        <f t="shared" si="6"/>
        <v>19.62096174277179</v>
      </c>
      <c r="G73" s="84">
        <f t="shared" si="7"/>
        <v>200.72243862855544</v>
      </c>
      <c r="H73" s="43"/>
      <c r="I73" s="8"/>
      <c r="J73" s="8"/>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43">
        <f t="shared" si="8"/>
        <v>0.20060902336626135</v>
      </c>
      <c r="F74" s="71">
        <f t="shared" si="6"/>
        <v>20.060902336626135</v>
      </c>
      <c r="G74" s="84">
        <f t="shared" si="7"/>
        <v>205.22303090368536</v>
      </c>
      <c r="H74" s="43"/>
      <c r="I74" s="8"/>
      <c r="J74" s="8"/>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43">
        <f t="shared" si="8"/>
        <v>0.20512791543742281</v>
      </c>
      <c r="F75" s="71">
        <f t="shared" si="6"/>
        <v>20.512791543742281</v>
      </c>
      <c r="G75" s="84">
        <f t="shared" si="7"/>
        <v>209.84585749248353</v>
      </c>
      <c r="H75" s="43"/>
      <c r="I75" s="8"/>
      <c r="J75" s="8"/>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43">
        <f t="shared" si="8"/>
        <v>0.2097642981483735</v>
      </c>
      <c r="F76" s="71">
        <f t="shared" si="6"/>
        <v>20.976429814837349</v>
      </c>
      <c r="G76" s="84">
        <f t="shared" si="7"/>
        <v>214.58887700578609</v>
      </c>
      <c r="H76" s="43"/>
      <c r="I76" s="8"/>
      <c r="J76" s="8"/>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43">
        <f t="shared" si="8"/>
        <v>0.21451595092693954</v>
      </c>
      <c r="F77" s="71">
        <f t="shared" si="6"/>
        <v>21.451595092693953</v>
      </c>
      <c r="G77" s="84">
        <f t="shared" si="7"/>
        <v>219.44981779825915</v>
      </c>
      <c r="H77" s="43"/>
      <c r="I77" s="8"/>
      <c r="J77" s="8"/>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43">
        <f t="shared" si="8"/>
        <v>0.21938044698307124</v>
      </c>
      <c r="F78" s="71">
        <f t="shared" si="6"/>
        <v>21.938044698307124</v>
      </c>
      <c r="G78" s="84">
        <f t="shared" si="7"/>
        <v>224.42619726368187</v>
      </c>
      <c r="H78" s="43"/>
      <c r="I78" s="8"/>
      <c r="J78" s="8"/>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43">
        <f t="shared" si="8"/>
        <v>0.22435517327990151</v>
      </c>
      <c r="F79" s="71">
        <f t="shared" si="6"/>
        <v>22.435517327990151</v>
      </c>
      <c r="G79" s="84">
        <f t="shared" si="7"/>
        <v>229.51534226533926</v>
      </c>
      <c r="H79" s="43"/>
      <c r="I79" s="8"/>
      <c r="J79" s="8"/>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43">
        <f t="shared" si="8"/>
        <v>0.22943735128773152</v>
      </c>
      <c r="F80" s="71">
        <f t="shared" si="6"/>
        <v>22.943735128773152</v>
      </c>
      <c r="G80" s="84">
        <f t="shared" si="7"/>
        <v>234.71441036734933</v>
      </c>
      <c r="H80" s="43"/>
      <c r="I80" s="8"/>
      <c r="J80" s="8"/>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43">
        <f t="shared" si="8"/>
        <v>0.23462405819937215</v>
      </c>
      <c r="F81" s="71">
        <f t="shared" si="6"/>
        <v>23.462405819937217</v>
      </c>
      <c r="G81" s="84">
        <f t="shared" si="7"/>
        <v>240.02041153795773</v>
      </c>
      <c r="H81" s="43"/>
      <c r="I81" s="8"/>
      <c r="J81" s="8"/>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43">
        <f t="shared" si="8"/>
        <v>0.23991224829802615</v>
      </c>
      <c r="F82" s="71">
        <f t="shared" si="6"/>
        <v>23.991224829802615</v>
      </c>
      <c r="G82" s="84">
        <f t="shared" si="7"/>
        <v>245.43023000888076</v>
      </c>
      <c r="H82" s="43"/>
      <c r="I82" s="8"/>
      <c r="J82" s="8"/>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43">
        <f t="shared" si="8"/>
        <v>0.24529877418818291</v>
      </c>
      <c r="F83" s="71">
        <f t="shared" si="6"/>
        <v>24.529877418818291</v>
      </c>
      <c r="G83" s="84">
        <f t="shared" si="7"/>
        <v>250.94064599451113</v>
      </c>
      <c r="H83" s="43"/>
      <c r="I83" s="8"/>
      <c r="J83" s="8"/>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43">
        <f t="shared" si="8"/>
        <v>0.25078040762467274</v>
      </c>
      <c r="F84" s="71">
        <f t="shared" si="6"/>
        <v>25.078040762467275</v>
      </c>
      <c r="G84" s="84">
        <f t="shared" si="7"/>
        <v>256.5483570000402</v>
      </c>
      <c r="H84" s="43"/>
      <c r="I84" s="8"/>
      <c r="J84" s="8"/>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43">
        <f t="shared" si="8"/>
        <v>0.25635385970381819</v>
      </c>
      <c r="F85" s="71">
        <f t="shared" si="6"/>
        <v>25.635385970381819</v>
      </c>
      <c r="G85" s="84">
        <f t="shared" si="7"/>
        <v>262.24999847700599</v>
      </c>
      <c r="H85" s="43"/>
      <c r="I85" s="8"/>
      <c r="J85" s="8"/>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43">
        <f t="shared" si="8"/>
        <v>0.26201580021218995</v>
      </c>
      <c r="F86" s="71">
        <f t="shared" si="6"/>
        <v>26.201580021218994</v>
      </c>
      <c r="G86" s="84">
        <f t="shared" si="7"/>
        <v>268.04216361707034</v>
      </c>
      <c r="H86" s="43"/>
      <c r="I86" s="8"/>
      <c r="J86" s="8"/>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43">
        <f t="shared" si="8"/>
        <v>0.26776287596162707</v>
      </c>
      <c r="F87" s="71">
        <f t="shared" si="6"/>
        <v>26.776287596162707</v>
      </c>
      <c r="G87" s="84">
        <f t="shared" si="7"/>
        <v>273.92142210874448</v>
      </c>
      <c r="H87" s="43"/>
      <c r="I87" s="8"/>
      <c r="J87" s="8"/>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43">
        <f t="shared" si="8"/>
        <v>0.27359172797274323</v>
      </c>
      <c r="F88" s="71">
        <f t="shared" si="6"/>
        <v>27.359172797274322</v>
      </c>
      <c r="G88" s="84">
        <f t="shared" si="7"/>
        <v>279.88433771611631</v>
      </c>
      <c r="H88" s="43"/>
      <c r="I88" s="8"/>
      <c r="J88" s="8"/>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43">
        <f t="shared" si="8"/>
        <v>0.27949900740210104</v>
      </c>
      <c r="F89" s="71">
        <f t="shared" si="6"/>
        <v>27.949900740210104</v>
      </c>
      <c r="G89" s="84">
        <f t="shared" si="7"/>
        <v>285.92748457234939</v>
      </c>
      <c r="H89" s="43"/>
      <c r="I89" s="8"/>
      <c r="J89" s="8"/>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43">
        <f t="shared" si="8"/>
        <v>0.28548139013974128</v>
      </c>
      <c r="F90" s="71">
        <f t="shared" si="6"/>
        <v>28.548139013974129</v>
      </c>
      <c r="G90" s="84">
        <f t="shared" si="7"/>
        <v>292.04746211295532</v>
      </c>
      <c r="H90" s="43"/>
      <c r="I90" s="8"/>
      <c r="J90" s="8"/>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43">
        <f t="shared" si="8"/>
        <v>0.29153559003310758</v>
      </c>
      <c r="F91" s="71">
        <f t="shared" si="6"/>
        <v>29.153559003310757</v>
      </c>
      <c r="G91" s="84">
        <f t="shared" si="7"/>
        <v>298.24090860386906</v>
      </c>
      <c r="H91" s="43"/>
      <c r="I91" s="8"/>
      <c r="J91" s="8"/>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43">
        <f t="shared" si="8"/>
        <v>0.29765837072011841</v>
      </c>
      <c r="F92" s="71">
        <f t="shared" si="6"/>
        <v>29.765837072011841</v>
      </c>
      <c r="G92" s="84">
        <f t="shared" si="7"/>
        <v>304.50451324668114</v>
      </c>
      <c r="H92" s="43"/>
      <c r="I92" s="8"/>
      <c r="J92" s="8"/>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43">
        <f t="shared" si="8"/>
        <v>0.30384655607782679</v>
      </c>
      <c r="F93" s="71">
        <f t="shared" si="6"/>
        <v>30.38465560778268</v>
      </c>
      <c r="G93" s="84">
        <f t="shared" si="7"/>
        <v>310.83502686761682</v>
      </c>
      <c r="H93" s="43"/>
      <c r="I93" s="8"/>
      <c r="J93" s="8"/>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43">
        <f t="shared" si="8"/>
        <v>0.31009703931360327</v>
      </c>
      <c r="F94" s="71">
        <f t="shared" si="6"/>
        <v>31.009703931360328</v>
      </c>
      <c r="G94" s="84">
        <f t="shared" si="7"/>
        <v>317.22927121781618</v>
      </c>
      <c r="H94" s="43"/>
      <c r="I94" s="8"/>
      <c r="J94" s="8"/>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43">
        <f t="shared" si="8"/>
        <v>0.31640679074302014</v>
      </c>
      <c r="F95" s="71">
        <f t="shared" si="6"/>
        <v>31.640679074302014</v>
      </c>
      <c r="G95" s="84">
        <f t="shared" si="7"/>
        <v>323.68414693010959</v>
      </c>
      <c r="H95" s="43"/>
      <c r="I95" s="8"/>
      <c r="J95" s="8"/>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43">
        <f t="shared" si="8"/>
        <v>0.32277286431262853</v>
      </c>
      <c r="F96" s="71">
        <f t="shared" si="6"/>
        <v>32.277286431262851</v>
      </c>
      <c r="G96" s="84">
        <f t="shared" si="7"/>
        <v>330.19664019181897</v>
      </c>
      <c r="H96" s="43"/>
      <c r="I96" s="8"/>
      <c r="J96" s="8"/>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43">
        <f t="shared" si="8"/>
        <v>0.32919240293678337</v>
      </c>
      <c r="F97" s="71">
        <f t="shared" si="6"/>
        <v>32.919240293678335</v>
      </c>
      <c r="G97" s="84">
        <f t="shared" si="7"/>
        <v>336.7638282043294</v>
      </c>
      <c r="H97" s="43"/>
      <c r="I97" s="8"/>
      <c r="J97" s="8"/>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43">
        <f t="shared" si="8"/>
        <v>0.33566264272576934</v>
      </c>
      <c r="F98" s="71">
        <f t="shared" si="6"/>
        <v>33.566264272576937</v>
      </c>
      <c r="G98" s="84">
        <f t="shared" si="7"/>
        <v>343.38288350846204</v>
      </c>
      <c r="H98" s="43"/>
      <c r="I98" s="8"/>
      <c r="J98" s="8"/>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43">
        <f t="shared" si="8"/>
        <v>0.34218091618799107</v>
      </c>
      <c r="F99" s="71">
        <f t="shared" si="6"/>
        <v>34.218091618799107</v>
      </c>
      <c r="G99" s="84">
        <f t="shared" si="7"/>
        <v>350.05107726031486</v>
      </c>
      <c r="H99" s="43"/>
      <c r="I99" s="8"/>
      <c r="J99" s="8"/>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43">
        <f t="shared" si="8"/>
        <v>0.34874465449218373</v>
      </c>
      <c r="F100" s="71">
        <f t="shared" si="6"/>
        <v>34.87446544921837</v>
      </c>
      <c r="G100" s="84">
        <f t="shared" si="7"/>
        <v>356.76578154550396</v>
      </c>
      <c r="H100" s="43"/>
      <c r="I100" s="8"/>
      <c r="J100" s="8"/>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43">
        <f t="shared" si="8"/>
        <v>0.35535138887680789</v>
      </c>
      <c r="F101" s="71">
        <f t="shared" si="6"/>
        <v>35.535138887680787</v>
      </c>
      <c r="G101" s="84">
        <f t="shared" si="7"/>
        <v>363.5244708209745</v>
      </c>
      <c r="H101" s="43"/>
      <c r="I101" s="8"/>
      <c r="J101" s="8"/>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43">
        <f t="shared" si="8"/>
        <v>0.36199875129328674</v>
      </c>
      <c r="F102" s="71">
        <f t="shared" si="6"/>
        <v>36.199875129328674</v>
      </c>
      <c r="G102" s="84">
        <f t="shared" si="7"/>
        <v>370.32472257303232</v>
      </c>
      <c r="H102" s="43"/>
      <c r="I102" s="8"/>
      <c r="J102" s="8"/>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43">
        <f t="shared" si="8"/>
        <v>0.3686844743678499</v>
      </c>
      <c r="F103" s="71">
        <f t="shared" si="6"/>
        <v>36.86844743678499</v>
      </c>
      <c r="G103" s="84">
        <f t="shared" si="7"/>
        <v>377.16421727831045</v>
      </c>
      <c r="H103" s="43"/>
      <c r="I103" s="8"/>
      <c r="J103" s="8"/>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43">
        <f t="shared" si="8"/>
        <v>0.37540639076372162</v>
      </c>
      <c r="F104" s="71">
        <f t="shared" si="6"/>
        <v>37.540639076372159</v>
      </c>
      <c r="G104" s="84">
        <f t="shared" si="7"/>
        <v>384.04073775128722</v>
      </c>
      <c r="H104" s="43"/>
      <c r="I104" s="8"/>
      <c r="J104" s="8"/>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43">
        <f t="shared" si="8"/>
        <v>0.38216243202150535</v>
      </c>
      <c r="F105" s="71">
        <f t="shared" si="6"/>
        <v>38.216243202150537</v>
      </c>
      <c r="G105" s="84">
        <f t="shared" si="7"/>
        <v>390.95216795799996</v>
      </c>
      <c r="H105" s="43"/>
      <c r="I105" s="8"/>
      <c r="J105" s="8"/>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43">
        <f t="shared" si="8"/>
        <v>0.3889506269510834</v>
      </c>
      <c r="F106" s="71">
        <f t="shared" si="6"/>
        <v>38.895062695108336</v>
      </c>
      <c r="G106" s="84">
        <f t="shared" si="7"/>
        <v>397.8964913709583</v>
      </c>
      <c r="H106" s="43"/>
      <c r="I106" s="8"/>
      <c r="J106" s="8"/>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43">
        <f t="shared" si="8"/>
        <v>0.39576909964339324</v>
      </c>
      <c r="F107" s="71">
        <f t="shared" si="6"/>
        <v>39.576909964339322</v>
      </c>
      <c r="G107" s="84">
        <f t="shared" si="7"/>
        <v>404.87178893519126</v>
      </c>
      <c r="H107" s="43"/>
      <c r="I107" s="8"/>
      <c r="J107" s="8"/>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43">
        <f t="shared" si="8"/>
        <v>0.40261606716521064</v>
      </c>
      <c r="F108" s="71">
        <f t="shared" si="6"/>
        <v>40.261606716521065</v>
      </c>
      <c r="G108" s="84">
        <f t="shared" si="7"/>
        <v>411.87623671001052</v>
      </c>
      <c r="H108" s="43"/>
      <c r="I108" s="8"/>
      <c r="J108" s="8"/>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43">
        <f t="shared" si="8"/>
        <v>0.40948983699472608</v>
      </c>
      <c r="F109" s="71">
        <f t="shared" si="6"/>
        <v>40.948983699472606</v>
      </c>
      <c r="G109" s="84">
        <f t="shared" si="7"/>
        <v>418.90810324560476</v>
      </c>
      <c r="H109" s="43"/>
      <c r="I109" s="8"/>
      <c r="J109" s="8"/>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43">
        <f t="shared" si="8"/>
        <v>0.41638880425037533</v>
      </c>
      <c r="F110" s="71">
        <f t="shared" si="6"/>
        <v>41.638880425037534</v>
      </c>
      <c r="G110" s="84">
        <f t="shared" si="7"/>
        <v>425.96574674813394</v>
      </c>
      <c r="H110" s="43"/>
      <c r="I110" s="8"/>
      <c r="J110" s="8"/>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43">
        <f t="shared" si="8"/>
        <v>0.42331144876013616</v>
      </c>
      <c r="F111" s="71">
        <f t="shared" si="6"/>
        <v>42.331144876013617</v>
      </c>
      <c r="G111" s="84">
        <f t="shared" si="7"/>
        <v>433.04761208161926</v>
      </c>
      <c r="H111" s="43"/>
      <c r="I111" s="8"/>
      <c r="J111" s="8"/>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43">
        <f t="shared" si="8"/>
        <v>0.43025633201345681</v>
      </c>
      <c r="F112" s="71">
        <f t="shared" si="6"/>
        <v>43.025633201345684</v>
      </c>
      <c r="G112" s="84">
        <f t="shared" si="7"/>
        <v>440.1522276497663</v>
      </c>
      <c r="H112" s="43"/>
      <c r="I112" s="8"/>
      <c r="J112" s="8"/>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43">
        <f t="shared" si="8"/>
        <v>0.43722209403316581</v>
      </c>
      <c r="F113" s="71">
        <f t="shared" si="6"/>
        <v>43.722209403316583</v>
      </c>
      <c r="G113" s="84">
        <f t="shared" si="7"/>
        <v>447.2782021959286</v>
      </c>
      <c r="H113" s="43"/>
      <c r="I113" s="8"/>
      <c r="J113" s="8"/>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43">
        <f t="shared" si="8"/>
        <v>0.4442074502001504</v>
      </c>
      <c r="F114" s="71">
        <f t="shared" si="6"/>
        <v>44.42074502001504</v>
      </c>
      <c r="G114" s="84">
        <f t="shared" si="7"/>
        <v>454.42422155475384</v>
      </c>
      <c r="H114" s="43"/>
      <c r="I114" s="8"/>
      <c r="J114" s="8"/>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43">
        <f t="shared" si="8"/>
        <v>0.4512111880593811</v>
      </c>
      <c r="F115" s="71">
        <f t="shared" si="6"/>
        <v>45.12111880593811</v>
      </c>
      <c r="G115" s="84">
        <f t="shared" si="7"/>
        <v>461.58904538474684</v>
      </c>
      <c r="H115" s="43"/>
      <c r="I115" s="8"/>
      <c r="J115" s="8"/>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43">
        <f t="shared" si="8"/>
        <v>0.45823216413190404</v>
      </c>
      <c r="F116" s="71">
        <f t="shared" si="6"/>
        <v>45.823216413190401</v>
      </c>
      <c r="G116" s="84">
        <f t="shared" si="7"/>
        <v>468.77150390693782</v>
      </c>
      <c r="H116" s="43"/>
      <c r="I116" s="8"/>
      <c r="J116" s="8"/>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43">
        <f t="shared" si="8"/>
        <v>0.46526930075385292</v>
      </c>
      <c r="F117" s="71">
        <f t="shared" si="6"/>
        <v>46.526930075385295</v>
      </c>
      <c r="G117" s="84">
        <f t="shared" si="7"/>
        <v>475.97049467119155</v>
      </c>
      <c r="H117" s="43"/>
      <c r="I117" s="8"/>
      <c r="J117" s="8"/>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43">
        <f t="shared" si="8"/>
        <v>0.47232158296024951</v>
      </c>
      <c r="F118" s="71">
        <f t="shared" si="6"/>
        <v>47.232158296024949</v>
      </c>
      <c r="G118" s="84">
        <f t="shared" si="7"/>
        <v>483.18497936833523</v>
      </c>
      <c r="H118" s="43"/>
      <c r="I118" s="8"/>
      <c r="J118" s="8"/>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43">
        <f t="shared" si="8"/>
        <v>0.47938805542839352</v>
      </c>
      <c r="F119" s="71">
        <f t="shared" si="6"/>
        <v>47.938805542839354</v>
      </c>
      <c r="G119" s="84">
        <f t="shared" si="7"/>
        <v>490.41398070324658</v>
      </c>
      <c r="H119" s="43"/>
      <c r="I119" s="8"/>
      <c r="J119" s="8"/>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43">
        <f t="shared" si="8"/>
        <v>0.48646781949300544</v>
      </c>
      <c r="F120" s="71">
        <f t="shared" si="6"/>
        <v>48.646781949300546</v>
      </c>
      <c r="G120" s="84">
        <f t="shared" si="7"/>
        <v>497.65657934134458</v>
      </c>
      <c r="H120" s="43"/>
      <c r="I120" s="8"/>
      <c r="J120" s="8"/>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43">
        <f t="shared" si="8"/>
        <v>0.49356003024290834</v>
      </c>
      <c r="F121" s="71">
        <f t="shared" si="6"/>
        <v>49.356003024290835</v>
      </c>
      <c r="G121" s="84">
        <f t="shared" si="7"/>
        <v>504.91191093849523</v>
      </c>
      <c r="H121" s="43"/>
      <c r="I121" s="8"/>
      <c r="J121" s="8"/>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43">
        <f t="shared" si="8"/>
        <v>0.50066389370693876</v>
      </c>
      <c r="F122" s="71">
        <f t="shared" si="6"/>
        <v>50.066389370693877</v>
      </c>
      <c r="G122" s="84">
        <f t="shared" si="7"/>
        <v>512.17916326219836</v>
      </c>
      <c r="H122" s="43"/>
      <c r="I122" s="8"/>
      <c r="J122" s="8"/>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43">
        <f t="shared" si="8"/>
        <v>0.50777866413494166</v>
      </c>
      <c r="F123" s="71">
        <f t="shared" si="6"/>
        <v>50.777866413494166</v>
      </c>
      <c r="G123" s="84">
        <f t="shared" si="7"/>
        <v>519.45757341004537</v>
      </c>
      <c r="H123" s="43"/>
      <c r="I123" s="8"/>
      <c r="J123" s="8"/>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43">
        <f t="shared" si="8"/>
        <v>0.51490364137808076</v>
      </c>
      <c r="F124" s="71">
        <f t="shared" si="6"/>
        <v>51.490364137808072</v>
      </c>
      <c r="G124" s="84">
        <f t="shared" si="7"/>
        <v>526.74642512977664</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43">
        <f t="shared" si="8"/>
        <v>0.5220381683713109</v>
      </c>
      <c r="F125" s="71">
        <f t="shared" si="6"/>
        <v>52.203816837131086</v>
      </c>
      <c r="G125" s="84">
        <f t="shared" si="7"/>
        <v>534.04504624385106</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43">
        <f t="shared" si="8"/>
        <v>0.52918162871964414</v>
      </c>
      <c r="F126" s="71">
        <f t="shared" si="6"/>
        <v>52.918162871964412</v>
      </c>
      <c r="G126" s="84">
        <f t="shared" si="7"/>
        <v>541.3528061801959</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43">
        <f t="shared" si="8"/>
        <v>0.53633344438881903</v>
      </c>
      <c r="F127" s="71">
        <f t="shared" si="6"/>
        <v>53.633344438881906</v>
      </c>
      <c r="G127" s="84">
        <f t="shared" si="7"/>
        <v>548.66911360976189</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43">
        <f t="shared" si="8"/>
        <v>0.54349307350010634</v>
      </c>
      <c r="F128" s="71">
        <f t="shared" si="6"/>
        <v>54.349307350010633</v>
      </c>
      <c r="G128" s="84">
        <f t="shared" si="7"/>
        <v>555.99341419060875</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43">
        <f t="shared" si="8"/>
        <v>0.55066000822825634</v>
      </c>
      <c r="F129" s="71">
        <f t="shared" si="6"/>
        <v>55.066000822825636</v>
      </c>
      <c r="G129" s="84">
        <f t="shared" si="7"/>
        <v>563.32518841750618</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43">
        <f t="shared" si="8"/>
        <v>0.55783377280098101</v>
      </c>
      <c r="F130" s="71">
        <f t="shared" si="6"/>
        <v>55.783377280098101</v>
      </c>
      <c r="G130" s="84">
        <f t="shared" si="7"/>
        <v>570.66394957540354</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43">
        <f t="shared" si="8"/>
        <v>0.56501392159787622</v>
      </c>
      <c r="F131" s="71">
        <f t="shared" si="6"/>
        <v>56.501392159787621</v>
      </c>
      <c r="G131" s="84">
        <f t="shared" si="7"/>
        <v>578.00924179462743</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43">
        <f t="shared" si="8"/>
        <v>0.57220003734627933</v>
      </c>
      <c r="F132" s="71">
        <f t="shared" si="6"/>
        <v>57.22000373462793</v>
      </c>
      <c r="G132" s="84">
        <f t="shared" si="7"/>
        <v>585.36063820524373</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43">
        <f t="shared" si="8"/>
        <v>0.57939172941125139</v>
      </c>
      <c r="F133" s="71">
        <f t="shared" si="6"/>
        <v>57.939172941125136</v>
      </c>
      <c r="G133" s="84">
        <f t="shared" si="7"/>
        <v>592.71773918771021</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43">
        <f t="shared" si="8"/>
        <v>0.58658863217662471</v>
      </c>
      <c r="F134" s="71">
        <f t="shared" si="6"/>
        <v>58.658863217662471</v>
      </c>
      <c r="G134" s="84">
        <f t="shared" si="7"/>
        <v>600.08017071668712</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43">
        <f t="shared" si="8"/>
        <v>0.59379040351388501</v>
      </c>
      <c r="F135" s="71">
        <f t="shared" si="6"/>
        <v>59.379040351388504</v>
      </c>
      <c r="G135" s="84">
        <f t="shared" si="7"/>
        <v>607.44758279470432</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43">
        <f t="shared" si="8"/>
        <v>0.60099672333552689</v>
      </c>
      <c r="F136" s="71">
        <f t="shared" si="6"/>
        <v>60.099672333552689</v>
      </c>
      <c r="G136" s="84">
        <f t="shared" si="7"/>
        <v>614.81964797224396</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43">
        <f t="shared" si="8"/>
        <v>0.60820729222945658</v>
      </c>
      <c r="F137" s="71">
        <f t="shared" si="6"/>
        <v>60.820729222945658</v>
      </c>
      <c r="G137" s="84">
        <f t="shared" si="7"/>
        <v>622.19605995073402</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43">
        <f t="shared" si="8"/>
        <v>0.61542183017095609</v>
      </c>
      <c r="F138" s="71">
        <f t="shared" si="6"/>
        <v>61.54218301709561</v>
      </c>
      <c r="G138" s="84">
        <f t="shared" si="7"/>
        <v>629.5765322648881</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43">
        <f t="shared" si="8"/>
        <v>0.62264007530875576</v>
      </c>
      <c r="F139" s="71">
        <f t="shared" si="6"/>
        <v>62.264007530875574</v>
      </c>
      <c r="G139" s="84">
        <f t="shared" si="7"/>
        <v>636.96079704085719</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43">
        <f t="shared" si="8"/>
        <v>0.62986178282174454</v>
      </c>
      <c r="F140" s="71">
        <f t="shared" si="6"/>
        <v>62.986178282174457</v>
      </c>
      <c r="G140" s="84">
        <f t="shared" si="7"/>
        <v>644.34860382664465</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43">
        <f t="shared" si="8"/>
        <v>0.63708672384292586</v>
      </c>
      <c r="F141" s="71">
        <f t="shared" si="6"/>
        <v>63.708672384292584</v>
      </c>
      <c r="G141" s="84">
        <f t="shared" si="7"/>
        <v>651.73971849131317</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43">
        <f t="shared" si="8"/>
        <v>0.64431468444727924</v>
      </c>
      <c r="F142" s="71">
        <f t="shared" si="6"/>
        <v>64.431468444727926</v>
      </c>
      <c r="G142" s="84">
        <f t="shared" si="7"/>
        <v>659.13392218956665</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43">
        <f t="shared" si="8"/>
        <v>0.6515454647002672</v>
      </c>
      <c r="F143" s="71">
        <f t="shared" si="6"/>
        <v>65.154546470026716</v>
      </c>
      <c r="G143" s="84">
        <f t="shared" si="7"/>
        <v>666.53101038837337</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43">
        <f t="shared" si="8"/>
        <v>0.65877887776382127</v>
      </c>
      <c r="F144" s="71">
        <f t="shared" si="6"/>
        <v>65.877887776382124</v>
      </c>
      <c r="G144" s="84">
        <f t="shared" si="7"/>
        <v>673.9307919523892</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43">
        <f t="shared" si="8"/>
        <v>0.66601474905675018</v>
      </c>
      <c r="F145" s="71">
        <f t="shared" si="6"/>
        <v>66.601474905675019</v>
      </c>
      <c r="G145" s="84">
        <f t="shared" si="7"/>
        <v>681.3330882850554</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43">
        <f t="shared" si="8"/>
        <v>0.67325291546660004</v>
      </c>
      <c r="F146" s="71">
        <f t="shared" si="6"/>
        <v>67.325291546659997</v>
      </c>
      <c r="G146" s="84">
        <f t="shared" si="7"/>
        <v>688.73773252233184</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43">
        <f t="shared" si="8"/>
        <v>0.68049322461013773</v>
      </c>
      <c r="F147" s="71">
        <f t="shared" si="6"/>
        <v>68.049322461013773</v>
      </c>
      <c r="G147" s="84">
        <f t="shared" si="7"/>
        <v>696.1445687761709</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43">
        <f t="shared" si="8"/>
        <v>0.687735534139716</v>
      </c>
      <c r="F148" s="71">
        <f t="shared" si="6"/>
        <v>68.773553413971598</v>
      </c>
      <c r="G148" s="84">
        <f t="shared" si="7"/>
        <v>703.55345142492945</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43">
        <f t="shared" si="8"/>
        <v>0.69497971109291712</v>
      </c>
      <c r="F149" s="71">
        <f t="shared" si="6"/>
        <v>69.497971109291711</v>
      </c>
      <c r="G149" s="84">
        <f t="shared" si="7"/>
        <v>710.96424444805416</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43">
        <f t="shared" si="8"/>
        <v>0.70222563128297188</v>
      </c>
      <c r="F150" s="71">
        <f t="shared" si="6"/>
        <v>70.222563128297182</v>
      </c>
      <c r="G150" s="84">
        <f t="shared" si="7"/>
        <v>718.37682080248021</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43">
        <f t="shared" si="8"/>
        <v>0.7094731787275832</v>
      </c>
      <c r="F151" s="71">
        <f t="shared" si="6"/>
        <v>70.947317872758319</v>
      </c>
      <c r="G151" s="84">
        <f t="shared" si="7"/>
        <v>725.79106183831766</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43">
        <f t="shared" si="8"/>
        <v>0.71672224511388505</v>
      </c>
      <c r="F152" s="71">
        <f t="shared" si="6"/>
        <v>71.672224511388507</v>
      </c>
      <c r="G152" s="84">
        <f t="shared" si="7"/>
        <v>733.20685675150446</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43">
        <f t="shared" si="8"/>
        <v>0.72397272929739065</v>
      </c>
      <c r="F153" s="71">
        <f t="shared" si="6"/>
        <v>72.39727292973906</v>
      </c>
      <c r="G153" s="84">
        <f t="shared" si="7"/>
        <v>740.6241020712306</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43">
        <f t="shared" si="8"/>
        <v>0.73122453683288202</v>
      </c>
      <c r="F154" s="71">
        <f t="shared" si="6"/>
        <v>73.122453683288199</v>
      </c>
      <c r="G154" s="84">
        <f t="shared" si="7"/>
        <v>748.04270118003831</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43">
        <f t="shared" si="8"/>
        <v>0.73847757953531623</v>
      </c>
      <c r="F155" s="71">
        <f t="shared" si="6"/>
        <v>73.847757953531627</v>
      </c>
      <c r="G155" s="84">
        <f t="shared" si="7"/>
        <v>755.46256386462846</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43">
        <f t="shared" si="8"/>
        <v>0.74573177506890787</v>
      </c>
      <c r="F156" s="71">
        <f t="shared" si="6"/>
        <v>74.573177506890787</v>
      </c>
      <c r="G156" s="84">
        <f t="shared" si="7"/>
        <v>762.88360589549279</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43">
        <f t="shared" si="8"/>
        <v>0.75298704656266546</v>
      </c>
      <c r="F157" s="71">
        <f t="shared" si="6"/>
        <v>75.298704656266551</v>
      </c>
      <c r="G157" s="84">
        <f t="shared" si="7"/>
        <v>770.30574863360675</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43">
        <f t="shared" si="8"/>
        <v>0.76024332225074254</v>
      </c>
      <c r="F158" s="71">
        <f t="shared" si="6"/>
        <v>76.024332225074261</v>
      </c>
      <c r="G158" s="84">
        <f t="shared" si="7"/>
        <v>777.72891866250961</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43">
        <f t="shared" si="8"/>
        <v>0.76750053513606087</v>
      </c>
      <c r="F159" s="71">
        <f t="shared" si="6"/>
        <v>76.75005351360609</v>
      </c>
      <c r="G159" s="84">
        <f t="shared" si="7"/>
        <v>785.15304744419029</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43">
        <f t="shared" si="8"/>
        <v>0.77475862267575402</v>
      </c>
      <c r="F160" s="71">
        <f t="shared" si="6"/>
        <v>77.475862267575408</v>
      </c>
      <c r="G160" s="84">
        <f t="shared" si="7"/>
        <v>792.57807099729632</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43">
        <f t="shared" si="8"/>
        <v>0.78201752648705725</v>
      </c>
      <c r="F161" s="71">
        <f t="shared" si="6"/>
        <v>78.201752648705721</v>
      </c>
      <c r="G161" s="84">
        <f t="shared" si="7"/>
        <v>800.00392959625958</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43">
        <f t="shared" si="8"/>
        <v>0.78927719207235658</v>
      </c>
      <c r="F162" s="71">
        <f t="shared" si="6"/>
        <v>78.927719207235654</v>
      </c>
      <c r="G162" s="84">
        <f t="shared" si="7"/>
        <v>807.43056749002074</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43">
        <f t="shared" si="8"/>
        <v>0.79653756856218294</v>
      </c>
      <c r="F163" s="71">
        <f t="shared" si="6"/>
        <v>79.653756856218294</v>
      </c>
      <c r="G163" s="84">
        <f t="shared" si="7"/>
        <v>814.85793263911319</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43">
        <f t="shared" si="8"/>
        <v>0.80379860847500506</v>
      </c>
      <c r="F164" s="71">
        <f t="shared" si="6"/>
        <v>80.37986084750051</v>
      </c>
      <c r="G164" s="84">
        <f t="shared" si="7"/>
        <v>822.28597646993023</v>
      </c>
      <c r="H164" s="43"/>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43">
        <f t="shared" si="8"/>
        <v>0.81106026749275795</v>
      </c>
      <c r="F165" s="71">
        <f t="shared" si="6"/>
        <v>81.106026749275799</v>
      </c>
      <c r="G165" s="84">
        <f t="shared" si="7"/>
        <v>829.7146536450914</v>
      </c>
      <c r="H165" s="43"/>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43">
        <f t="shared" si="8"/>
        <v>0.81832250425108788</v>
      </c>
      <c r="F166" s="71">
        <f t="shared" si="6"/>
        <v>81.832250425108782</v>
      </c>
      <c r="G166" s="84">
        <f t="shared" si="7"/>
        <v>837.14392184886287</v>
      </c>
      <c r="H166" s="43"/>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43">
        <f t="shared" si="8"/>
        <v>0.82558528014337873</v>
      </c>
      <c r="F167" s="71">
        <f t="shared" si="6"/>
        <v>82.558528014337867</v>
      </c>
      <c r="G167" s="84">
        <f t="shared" si="7"/>
        <v>844.57374158667642</v>
      </c>
      <c r="H167" s="43"/>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43">
        <f t="shared" si="8"/>
        <v>0.83284855913766254</v>
      </c>
      <c r="F168" s="71">
        <f t="shared" si="6"/>
        <v>83.284855913766251</v>
      </c>
      <c r="G168" s="84">
        <f t="shared" si="7"/>
        <v>852.00407599782875</v>
      </c>
      <c r="H168" s="43"/>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43">
        <f t="shared" si="8"/>
        <v>0.84011230760558853</v>
      </c>
      <c r="F169" s="71">
        <f t="shared" si="6"/>
        <v>84.011230760558846</v>
      </c>
      <c r="G169" s="84">
        <f t="shared" si="7"/>
        <v>859.43489068051701</v>
      </c>
      <c r="H169" s="43"/>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43">
        <f t="shared" si="8"/>
        <v>0.8473764941626678</v>
      </c>
      <c r="F170" s="71">
        <f t="shared" si="6"/>
        <v>84.737649416266777</v>
      </c>
      <c r="G170" s="84">
        <f t="shared" si="7"/>
        <v>866.8661535284092</v>
      </c>
      <c r="H170" s="43"/>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43">
        <f t="shared" si="8"/>
        <v>0.85464108951905549</v>
      </c>
      <c r="F171" s="71">
        <f t="shared" si="6"/>
        <v>85.464108951905544</v>
      </c>
      <c r="G171" s="84">
        <f t="shared" si="7"/>
        <v>874.29783457799374</v>
      </c>
      <c r="H171" s="43"/>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43">
        <f t="shared" si="8"/>
        <v>0.86190606634019484</v>
      </c>
      <c r="F172" s="71">
        <f t="shared" si="6"/>
        <v>86.190606634019488</v>
      </c>
      <c r="G172" s="84">
        <f t="shared" si="7"/>
        <v>881.72990586601929</v>
      </c>
      <c r="H172" s="43"/>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43">
        <f t="shared" si="8"/>
        <v>0.86917139911667851</v>
      </c>
      <c r="F173" s="71">
        <f t="shared" si="6"/>
        <v>86.917139911667846</v>
      </c>
      <c r="G173" s="84">
        <f t="shared" si="7"/>
        <v>889.16234129636211</v>
      </c>
      <c r="H173" s="43"/>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43">
        <f t="shared" si="8"/>
        <v>0.87643706404270949</v>
      </c>
      <c r="F174" s="71">
        <f t="shared" si="6"/>
        <v>87.643706404270944</v>
      </c>
      <c r="G174" s="84">
        <f t="shared" si="7"/>
        <v>896.59511651569176</v>
      </c>
      <c r="H174" s="43"/>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43">
        <f t="shared" si="8"/>
        <v>0.88370303890262591</v>
      </c>
      <c r="F175" s="71">
        <f t="shared" si="6"/>
        <v>88.370303890262591</v>
      </c>
      <c r="G175" s="84">
        <f t="shared" si="7"/>
        <v>904.02820879738636</v>
      </c>
      <c r="H175" s="43"/>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43">
        <f t="shared" si="8"/>
        <v>0.89096930296493826</v>
      </c>
      <c r="F176" s="71">
        <f t="shared" si="6"/>
        <v>89.096930296493824</v>
      </c>
      <c r="G176" s="84">
        <f t="shared" si="7"/>
        <v>911.46159693313189</v>
      </c>
      <c r="H176" s="43"/>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43">
        <f t="shared" si="8"/>
        <v>0.89823583688339714</v>
      </c>
      <c r="F177" s="71">
        <f t="shared" si="6"/>
        <v>89.82358368833971</v>
      </c>
      <c r="G177" s="84">
        <f t="shared" si="7"/>
        <v>918.8952611317153</v>
      </c>
      <c r="H177" s="43"/>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43">
        <f t="shared" si="8"/>
        <v>0.90550262260462733</v>
      </c>
      <c r="F178" s="71">
        <f t="shared" si="6"/>
        <v>90.550262260462731</v>
      </c>
      <c r="G178" s="84">
        <f t="shared" si="7"/>
        <v>926.32918292453371</v>
      </c>
      <c r="H178" s="43"/>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43">
        <f t="shared" si="8"/>
        <v>0.91276964328189414</v>
      </c>
      <c r="F179" s="71">
        <f t="shared" si="6"/>
        <v>91.276964328189408</v>
      </c>
      <c r="G179" s="84">
        <f t="shared" si="7"/>
        <v>933.76334507737772</v>
      </c>
      <c r="H179" s="43"/>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43">
        <f t="shared" si="8"/>
        <v>0.92003688319460275</v>
      </c>
      <c r="F180" s="71">
        <f t="shared" si="6"/>
        <v>92.003688319460281</v>
      </c>
      <c r="G180" s="84">
        <f t="shared" si="7"/>
        <v>941.19773150807862</v>
      </c>
      <c r="H180" s="43"/>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43">
        <f t="shared" si="8"/>
        <v>0.92730432767314497</v>
      </c>
      <c r="F181" s="71">
        <f t="shared" si="6"/>
        <v>92.730432767314497</v>
      </c>
      <c r="G181" s="84">
        <f t="shared" si="7"/>
        <v>948.63232720962731</v>
      </c>
      <c r="H181" s="43"/>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43">
        <f t="shared" si="8"/>
        <v>0.93457196302874856</v>
      </c>
      <c r="F182" s="71">
        <f t="shared" si="6"/>
        <v>93.457196302874863</v>
      </c>
      <c r="G182" s="84">
        <f t="shared" si="7"/>
        <v>956.06711817840983</v>
      </c>
      <c r="H182" s="43"/>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43">
        <f t="shared" si="8"/>
        <v>0.94183977648799433</v>
      </c>
      <c r="F183" s="71">
        <f t="shared" si="6"/>
        <v>94.183977648799427</v>
      </c>
      <c r="G183" s="84">
        <f t="shared" si="7"/>
        <v>963.5020913472182</v>
      </c>
      <c r="H183" s="43"/>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43">
        <f t="shared" si="8"/>
        <v>0.94910775613168918</v>
      </c>
      <c r="F184" s="71">
        <f t="shared" si="6"/>
        <v>94.910775613168923</v>
      </c>
      <c r="G184" s="84">
        <f t="shared" si="7"/>
        <v>970.93723452271809</v>
      </c>
      <c r="H184" s="43"/>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43">
        <f t="shared" si="8"/>
        <v>0.95637589083781416</v>
      </c>
      <c r="F185" s="71">
        <f t="shared" si="6"/>
        <v>95.637589083781421</v>
      </c>
      <c r="G185" s="84">
        <f t="shared" si="7"/>
        <v>978.37253632708394</v>
      </c>
      <c r="H185" s="43"/>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43">
        <f t="shared" si="8"/>
        <v>0.96364417022827176</v>
      </c>
      <c r="F186" s="71">
        <f t="shared" si="6"/>
        <v>96.364417022827169</v>
      </c>
      <c r="G186" s="84">
        <f t="shared" si="7"/>
        <v>985.80798614352204</v>
      </c>
      <c r="H186" s="43"/>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43">
        <f t="shared" si="8"/>
        <v>0.97091258461918106</v>
      </c>
      <c r="F187" s="71">
        <f t="shared" si="6"/>
        <v>97.091258461918102</v>
      </c>
      <c r="G187" s="84">
        <f t="shared" si="7"/>
        <v>993.24357406542219</v>
      </c>
      <c r="H187" s="43"/>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43">
        <f t="shared" si="8"/>
        <v>0.97818112497449083</v>
      </c>
      <c r="F188" s="71">
        <f t="shared" si="6"/>
        <v>97.818112497449079</v>
      </c>
      <c r="G188" s="84">
        <f t="shared" si="7"/>
        <v>1000.6792908489041</v>
      </c>
      <c r="H188" s="43"/>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43">
        <f t="shared" si="8"/>
        <v>0.98544978286268026</v>
      </c>
      <c r="F189" s="71">
        <f t="shared" si="6"/>
        <v>98.544978286268019</v>
      </c>
      <c r="G189" s="84">
        <f t="shared" si="7"/>
        <v>1008.1151278685219</v>
      </c>
      <c r="H189" s="43"/>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43">
        <f t="shared" si="8"/>
        <v>0.9927185504163536</v>
      </c>
      <c r="F190" s="71">
        <f t="shared" si="6"/>
        <v>99.271855041635362</v>
      </c>
      <c r="G190" s="84">
        <f t="shared" si="7"/>
        <v>1015.5510770759297</v>
      </c>
      <c r="H190" s="43"/>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43">
        <f t="shared" si="8"/>
        <v>0.99998742029452692</v>
      </c>
      <c r="F191" s="71">
        <f t="shared" si="6"/>
        <v>99.998742029452686</v>
      </c>
      <c r="G191" s="84">
        <f t="shared" si="7"/>
        <v>1022.9871309613011</v>
      </c>
      <c r="H191" s="43" t="s">
        <v>524</v>
      </c>
      <c r="I191" s="8"/>
      <c r="J191" s="8"/>
      <c r="K191" s="8"/>
      <c r="L191" s="8"/>
      <c r="M191" s="8"/>
      <c r="N191" s="8"/>
      <c r="O191" s="8"/>
      <c r="P191" s="8"/>
      <c r="Q191" s="8"/>
      <c r="R191" s="8"/>
      <c r="S191" s="8"/>
      <c r="T191" s="8"/>
      <c r="U191" s="8"/>
      <c r="V191" s="8"/>
      <c r="W191" s="8"/>
      <c r="X191" s="8"/>
      <c r="Y191" s="8"/>
      <c r="Z191" s="8"/>
      <c r="AA191" s="8"/>
      <c r="AB191" s="8"/>
      <c r="AC191" s="8"/>
    </row>
    <row r="192" spans="1:29"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00D58-DADC-1D4F-ABB8-2137B1D673AF}">
  <dimension ref="B1:J246"/>
  <sheetViews>
    <sheetView topLeftCell="A2" zoomScale="150" workbookViewId="0">
      <selection activeCell="I11" sqref="I11"/>
    </sheetView>
  </sheetViews>
  <sheetFormatPr baseColWidth="10" defaultRowHeight="16"/>
  <cols>
    <col min="1" max="1" width="10.83203125" style="146"/>
    <col min="2" max="2" width="4.6640625" style="146" bestFit="1" customWidth="1"/>
    <col min="3" max="3" width="14.33203125" style="146" customWidth="1"/>
    <col min="4" max="4" width="14.1640625" style="146" bestFit="1" customWidth="1"/>
    <col min="5" max="6" width="10.83203125" style="146"/>
    <col min="7" max="7" width="12.1640625" style="146" bestFit="1" customWidth="1"/>
    <col min="8" max="8" width="12.1640625" style="146" customWidth="1"/>
    <col min="9" max="16384" width="10.83203125" style="146"/>
  </cols>
  <sheetData>
    <row r="1" spans="2:10" ht="17">
      <c r="B1" s="147"/>
      <c r="C1" s="148" t="s">
        <v>525</v>
      </c>
      <c r="D1" s="177" t="s">
        <v>142</v>
      </c>
      <c r="E1" s="178"/>
      <c r="F1" s="178"/>
      <c r="G1" s="179"/>
    </row>
    <row r="2" spans="2:10" ht="68">
      <c r="B2" s="149" t="s">
        <v>58</v>
      </c>
      <c r="C2" s="150" t="s">
        <v>59</v>
      </c>
      <c r="D2" s="150" t="s">
        <v>143</v>
      </c>
      <c r="E2" s="148" t="s">
        <v>144</v>
      </c>
      <c r="F2" s="148" t="s">
        <v>145</v>
      </c>
      <c r="G2" s="148" t="s">
        <v>146</v>
      </c>
      <c r="H2" s="162" t="s">
        <v>756</v>
      </c>
    </row>
    <row r="3" spans="2:10">
      <c r="B3" s="151">
        <v>0</v>
      </c>
      <c r="C3" s="152" t="s">
        <v>75</v>
      </c>
      <c r="D3" s="153">
        <v>1.4247000000000001E-6</v>
      </c>
      <c r="E3" s="146">
        <f t="shared" ref="E3:E5" si="0">D3*10.44426855</f>
        <v>1.4879949403185002E-5</v>
      </c>
      <c r="F3" s="161">
        <f>E3*100</f>
        <v>1.4879949403185002E-3</v>
      </c>
      <c r="G3" s="161">
        <f>E3*1023</f>
        <v>1.5222188239458256E-2</v>
      </c>
      <c r="H3" s="164">
        <f>E3*2^16</f>
        <v>0.97517236408713226</v>
      </c>
    </row>
    <row r="4" spans="2:10">
      <c r="B4" s="151">
        <v>1</v>
      </c>
      <c r="C4" s="155" t="s">
        <v>788</v>
      </c>
      <c r="D4" s="155">
        <f>0.18*2^-9</f>
        <v>3.5156249999999999E-4</v>
      </c>
      <c r="E4" s="146">
        <f t="shared" ref="E4" si="1">D4*10.44426855</f>
        <v>3.6718131621093749E-3</v>
      </c>
      <c r="F4" s="163">
        <f t="shared" ref="F4" si="2">E4*100</f>
        <v>0.36718131621093747</v>
      </c>
      <c r="G4" s="163">
        <f t="shared" ref="G4" si="3">E4*1023</f>
        <v>3.7562648648378905</v>
      </c>
      <c r="H4" s="164">
        <f t="shared" ref="H4:H27" si="4">E4*2^16</f>
        <v>240.63594739199999</v>
      </c>
    </row>
    <row r="5" spans="2:10">
      <c r="B5" s="151">
        <v>2</v>
      </c>
      <c r="C5" s="152" t="s">
        <v>76</v>
      </c>
      <c r="D5" s="153">
        <v>7.0312499999999997E-4</v>
      </c>
      <c r="E5" s="146">
        <f t="shared" si="0"/>
        <v>7.3436263242187497E-3</v>
      </c>
      <c r="F5" s="163">
        <f>E5*100</f>
        <v>0.73436263242187494</v>
      </c>
      <c r="G5" s="163">
        <f t="shared" ref="G5:G6" si="5">E5*1023</f>
        <v>7.5125297296757809</v>
      </c>
      <c r="H5" s="164">
        <f t="shared" si="4"/>
        <v>481.27189478399998</v>
      </c>
      <c r="J5" s="146" t="s">
        <v>774</v>
      </c>
    </row>
    <row r="6" spans="2:10">
      <c r="B6" s="151">
        <v>3</v>
      </c>
      <c r="C6" s="152" t="s">
        <v>77</v>
      </c>
      <c r="D6" s="153">
        <v>1.4062499999999999E-3</v>
      </c>
      <c r="E6" s="146">
        <f>D6*10.44426855</f>
        <v>1.4687252648437499E-2</v>
      </c>
      <c r="F6" s="163">
        <f>E6*100</f>
        <v>1.4687252648437499</v>
      </c>
      <c r="G6" s="163">
        <f t="shared" si="5"/>
        <v>15.025059459351562</v>
      </c>
      <c r="H6" s="164">
        <f t="shared" si="4"/>
        <v>962.54378956799997</v>
      </c>
      <c r="J6" s="146" t="s">
        <v>768</v>
      </c>
    </row>
    <row r="7" spans="2:10">
      <c r="B7" s="151">
        <v>4</v>
      </c>
      <c r="C7" s="152" t="s">
        <v>78</v>
      </c>
      <c r="D7" s="153">
        <v>2.8124999999999999E-3</v>
      </c>
      <c r="E7" s="146">
        <f>(LOG((D7+0.0075),2)+7)*0.07329248</f>
        <v>2.9356418193256802E-2</v>
      </c>
      <c r="F7" s="163">
        <f t="shared" ref="F7:F27" si="6">E7*100</f>
        <v>2.9356418193256801</v>
      </c>
      <c r="G7" s="163">
        <f t="shared" ref="G7:G27" si="7">E7*1023</f>
        <v>30.031615811701709</v>
      </c>
      <c r="H7" s="164">
        <f t="shared" si="4"/>
        <v>1923.9022227132778</v>
      </c>
      <c r="J7" s="146" t="s">
        <v>769</v>
      </c>
    </row>
    <row r="8" spans="2:10">
      <c r="B8" s="151">
        <v>5</v>
      </c>
      <c r="C8" s="152" t="s">
        <v>79</v>
      </c>
      <c r="D8" s="153">
        <v>5.6249999999999998E-3</v>
      </c>
      <c r="E8" s="146">
        <f t="shared" ref="E8:E27" si="8">(LOG((D8+0.0075),2)+7)*0.07329248</f>
        <v>5.4856579950723537E-2</v>
      </c>
      <c r="F8" s="163">
        <f t="shared" si="6"/>
        <v>5.4856579950723541</v>
      </c>
      <c r="G8" s="163">
        <f t="shared" si="7"/>
        <v>56.118281289590179</v>
      </c>
      <c r="H8" s="164">
        <f t="shared" si="4"/>
        <v>3595.0808236506177</v>
      </c>
      <c r="J8" s="146" t="s">
        <v>770</v>
      </c>
    </row>
    <row r="9" spans="2:10">
      <c r="B9" s="151">
        <v>6</v>
      </c>
      <c r="C9" s="152" t="s">
        <v>80</v>
      </c>
      <c r="D9" s="153">
        <v>1.125E-2</v>
      </c>
      <c r="E9" s="146">
        <f t="shared" si="8"/>
        <v>9.2570923928885177E-2</v>
      </c>
      <c r="F9" s="163">
        <f t="shared" si="6"/>
        <v>9.2570923928885183</v>
      </c>
      <c r="G9" s="163">
        <f t="shared" si="7"/>
        <v>94.700055179249532</v>
      </c>
      <c r="H9" s="164">
        <f t="shared" si="4"/>
        <v>6066.7280706034189</v>
      </c>
      <c r="J9" s="146" t="s">
        <v>771</v>
      </c>
    </row>
    <row r="10" spans="2:10">
      <c r="B10" s="151">
        <v>7</v>
      </c>
      <c r="C10" s="152" t="s">
        <v>81</v>
      </c>
      <c r="D10" s="153">
        <v>2.2499999999999999E-2</v>
      </c>
      <c r="E10" s="146">
        <f t="shared" si="8"/>
        <v>0.14226849547291504</v>
      </c>
      <c r="F10" s="163">
        <f t="shared" si="6"/>
        <v>14.226849547291504</v>
      </c>
      <c r="G10" s="163">
        <f t="shared" si="7"/>
        <v>145.54067086879209</v>
      </c>
      <c r="H10" s="164">
        <f t="shared" si="4"/>
        <v>9323.7081193129598</v>
      </c>
      <c r="J10" s="146" t="s">
        <v>772</v>
      </c>
    </row>
    <row r="11" spans="2:10">
      <c r="B11" s="151">
        <v>8</v>
      </c>
      <c r="C11" s="152" t="s">
        <v>82</v>
      </c>
      <c r="D11" s="153">
        <v>4.4999999999999998E-2</v>
      </c>
      <c r="E11" s="146">
        <f t="shared" si="8"/>
        <v>0.20144153995072359</v>
      </c>
      <c r="F11" s="163">
        <f t="shared" si="6"/>
        <v>20.144153995072358</v>
      </c>
      <c r="G11" s="163">
        <f t="shared" si="7"/>
        <v>206.07469536959022</v>
      </c>
      <c r="H11" s="164">
        <f t="shared" si="4"/>
        <v>13201.672762210621</v>
      </c>
      <c r="J11" s="146" t="s">
        <v>773</v>
      </c>
    </row>
    <row r="12" spans="2:10">
      <c r="B12" s="151">
        <v>9</v>
      </c>
      <c r="C12" s="152" t="s">
        <v>83</v>
      </c>
      <c r="D12" s="153">
        <v>0.09</v>
      </c>
      <c r="E12" s="146">
        <f t="shared" si="8"/>
        <v>0.26689793950597673</v>
      </c>
      <c r="F12" s="163">
        <f t="shared" si="6"/>
        <v>26.689793950597675</v>
      </c>
      <c r="G12" s="163">
        <f t="shared" si="7"/>
        <v>273.03659211461422</v>
      </c>
      <c r="H12" s="164">
        <f t="shared" si="4"/>
        <v>17491.423363463691</v>
      </c>
    </row>
    <row r="13" spans="2:10">
      <c r="B13" s="151">
        <v>10</v>
      </c>
      <c r="C13" s="152" t="s">
        <v>84</v>
      </c>
      <c r="D13" s="154">
        <v>0.12727922061357799</v>
      </c>
      <c r="E13" s="146">
        <f t="shared" si="8"/>
        <v>0.30113461331850705</v>
      </c>
      <c r="F13" s="163">
        <f t="shared" si="6"/>
        <v>30.113461331850704</v>
      </c>
      <c r="G13" s="163">
        <f t="shared" si="7"/>
        <v>308.06070942483274</v>
      </c>
      <c r="H13" s="164">
        <f t="shared" si="4"/>
        <v>19735.158018441678</v>
      </c>
      <c r="J13" s="146" t="s">
        <v>767</v>
      </c>
    </row>
    <row r="14" spans="2:10">
      <c r="B14" s="151">
        <v>11</v>
      </c>
      <c r="C14" s="155" t="s">
        <v>85</v>
      </c>
      <c r="D14" s="154">
        <v>0.16794593847662501</v>
      </c>
      <c r="E14" s="146">
        <f t="shared" si="8"/>
        <v>0.32901715875025289</v>
      </c>
      <c r="F14" s="163">
        <f t="shared" si="6"/>
        <v>32.901715875025289</v>
      </c>
      <c r="G14" s="163">
        <f t="shared" si="7"/>
        <v>336.58455340150869</v>
      </c>
      <c r="H14" s="164"/>
      <c r="J14" s="146" t="s">
        <v>775</v>
      </c>
    </row>
    <row r="15" spans="2:10">
      <c r="B15" s="151">
        <v>12</v>
      </c>
      <c r="C15" s="152" t="s">
        <v>86</v>
      </c>
      <c r="D15" s="153">
        <v>0.18</v>
      </c>
      <c r="E15" s="146">
        <f t="shared" si="8"/>
        <v>0.33604327238485526</v>
      </c>
      <c r="F15" s="163">
        <f t="shared" si="6"/>
        <v>33.604327238485524</v>
      </c>
      <c r="G15" s="163">
        <f t="shared" si="7"/>
        <v>343.77226764970692</v>
      </c>
      <c r="H15" s="164">
        <f t="shared" si="4"/>
        <v>22022.931899013874</v>
      </c>
    </row>
    <row r="16" spans="2:10">
      <c r="B16" s="151">
        <v>13</v>
      </c>
      <c r="C16" s="155" t="s">
        <v>87</v>
      </c>
      <c r="D16" s="154">
        <v>0.206765703899466</v>
      </c>
      <c r="E16" s="146">
        <f t="shared" si="8"/>
        <v>0.35015283337582959</v>
      </c>
      <c r="F16" s="163">
        <f t="shared" si="6"/>
        <v>35.015283337582957</v>
      </c>
      <c r="G16" s="163">
        <f t="shared" si="7"/>
        <v>358.20634854347367</v>
      </c>
      <c r="H16" s="164"/>
      <c r="J16" s="146" t="s">
        <v>776</v>
      </c>
    </row>
    <row r="17" spans="2:10">
      <c r="B17" s="151">
        <v>14</v>
      </c>
      <c r="C17" s="152" t="s">
        <v>88</v>
      </c>
      <c r="D17" s="153">
        <f>0.18*2^0.5</f>
        <v>0.2545584412271571</v>
      </c>
      <c r="E17" s="146">
        <f t="shared" si="8"/>
        <v>0.37144339254863978</v>
      </c>
      <c r="F17" s="163">
        <f t="shared" si="6"/>
        <v>37.144339254863979</v>
      </c>
      <c r="G17" s="163">
        <f t="shared" si="7"/>
        <v>379.98659057725848</v>
      </c>
      <c r="H17" s="164">
        <f t="shared" si="4"/>
        <v>24342.914174067657</v>
      </c>
      <c r="J17" s="146" t="s">
        <v>777</v>
      </c>
    </row>
    <row r="18" spans="2:10">
      <c r="B18" s="151">
        <v>15</v>
      </c>
      <c r="C18" s="152" t="s">
        <v>89</v>
      </c>
      <c r="D18" s="153">
        <v>0.36</v>
      </c>
      <c r="E18" s="146">
        <f t="shared" si="8"/>
        <v>0.40719954442853212</v>
      </c>
      <c r="F18" s="163">
        <f t="shared" si="6"/>
        <v>40.719954442853215</v>
      </c>
      <c r="G18" s="163">
        <f t="shared" si="7"/>
        <v>416.56513395038837</v>
      </c>
      <c r="H18" s="164">
        <f t="shared" si="4"/>
        <v>26686.229343668281</v>
      </c>
    </row>
    <row r="19" spans="2:10">
      <c r="B19" s="151">
        <v>16</v>
      </c>
      <c r="C19" s="152" t="s">
        <v>90</v>
      </c>
      <c r="D19" s="153">
        <v>0.72</v>
      </c>
      <c r="E19" s="146">
        <f t="shared" si="8"/>
        <v>0.47940751546065824</v>
      </c>
      <c r="F19" s="163">
        <f t="shared" si="6"/>
        <v>47.940751546065826</v>
      </c>
      <c r="G19" s="163">
        <f t="shared" si="7"/>
        <v>490.43388831625339</v>
      </c>
      <c r="H19" s="164">
        <f t="shared" si="4"/>
        <v>31418.450933229698</v>
      </c>
    </row>
    <row r="20" spans="2:10">
      <c r="B20" s="156">
        <v>17</v>
      </c>
      <c r="C20" s="157" t="s">
        <v>91</v>
      </c>
      <c r="D20" s="158">
        <v>0.9</v>
      </c>
      <c r="E20" s="146">
        <f t="shared" si="8"/>
        <v>0.50278418091359856</v>
      </c>
      <c r="F20" s="163">
        <f t="shared" si="6"/>
        <v>50.278418091359853</v>
      </c>
      <c r="G20" s="163">
        <f t="shared" si="7"/>
        <v>514.34821707461128</v>
      </c>
      <c r="H20" s="164"/>
    </row>
    <row r="21" spans="2:10">
      <c r="B21" s="151">
        <v>18</v>
      </c>
      <c r="C21" s="152" t="s">
        <v>92</v>
      </c>
      <c r="D21" s="153">
        <v>1.44</v>
      </c>
      <c r="E21" s="146">
        <f t="shared" si="8"/>
        <v>0.55215354102774516</v>
      </c>
      <c r="F21" s="163">
        <f t="shared" si="6"/>
        <v>55.215354102774519</v>
      </c>
      <c r="G21" s="163">
        <f t="shared" si="7"/>
        <v>564.85307247138326</v>
      </c>
      <c r="H21" s="164">
        <f t="shared" si="4"/>
        <v>36185.934464794307</v>
      </c>
    </row>
    <row r="22" spans="2:10">
      <c r="B22" s="151">
        <v>19</v>
      </c>
      <c r="C22" s="152" t="s">
        <v>93</v>
      </c>
      <c r="D22" s="153">
        <v>2.88</v>
      </c>
      <c r="E22" s="146">
        <f t="shared" si="8"/>
        <v>0.62517173112703539</v>
      </c>
      <c r="F22" s="163">
        <f t="shared" si="6"/>
        <v>62.517173112703539</v>
      </c>
      <c r="G22" s="163">
        <f t="shared" si="7"/>
        <v>639.55068094295723</v>
      </c>
      <c r="H22" s="164">
        <f t="shared" si="4"/>
        <v>40971.254571141391</v>
      </c>
    </row>
    <row r="23" spans="2:10">
      <c r="B23" s="151">
        <v>20</v>
      </c>
      <c r="C23" s="152" t="s">
        <v>94</v>
      </c>
      <c r="D23" s="153">
        <v>5.76</v>
      </c>
      <c r="E23" s="146">
        <f t="shared" si="8"/>
        <v>0.69832679889531146</v>
      </c>
      <c r="F23" s="163">
        <f t="shared" si="6"/>
        <v>69.83267988953115</v>
      </c>
      <c r="G23" s="163">
        <f t="shared" si="7"/>
        <v>714.38831526990361</v>
      </c>
      <c r="H23" s="164">
        <f t="shared" si="4"/>
        <v>45765.545092403132</v>
      </c>
    </row>
    <row r="24" spans="2:10">
      <c r="B24" s="151">
        <v>21</v>
      </c>
      <c r="C24" s="152" t="s">
        <v>95</v>
      </c>
      <c r="D24" s="153">
        <v>11.52</v>
      </c>
      <c r="E24" s="146">
        <f t="shared" si="8"/>
        <v>0.77155050575634687</v>
      </c>
      <c r="F24" s="163">
        <f t="shared" si="6"/>
        <v>77.155050575634689</v>
      </c>
      <c r="G24" s="163">
        <f t="shared" si="7"/>
        <v>789.2961673887429</v>
      </c>
      <c r="H24" s="164">
        <f t="shared" si="4"/>
        <v>50564.333945247949</v>
      </c>
    </row>
    <row r="25" spans="2:10">
      <c r="B25" s="151">
        <v>22</v>
      </c>
      <c r="C25" s="152" t="s">
        <v>96</v>
      </c>
      <c r="D25" s="153">
        <v>23.04</v>
      </c>
      <c r="E25" s="146">
        <f t="shared" si="8"/>
        <v>0.84480858240565126</v>
      </c>
      <c r="F25" s="163">
        <f t="shared" si="6"/>
        <v>84.480858240565126</v>
      </c>
      <c r="G25" s="163">
        <f t="shared" si="7"/>
        <v>864.23917980098122</v>
      </c>
      <c r="H25" s="164">
        <f t="shared" si="4"/>
        <v>55365.375256536761</v>
      </c>
    </row>
    <row r="26" spans="2:10">
      <c r="B26" s="151">
        <v>23</v>
      </c>
      <c r="C26" s="152" t="s">
        <v>97</v>
      </c>
      <c r="D26" s="153">
        <v>46.08</v>
      </c>
      <c r="E26" s="146">
        <f t="shared" si="8"/>
        <v>0.91808385653181435</v>
      </c>
      <c r="F26" s="163">
        <f t="shared" si="6"/>
        <v>91.808385653181432</v>
      </c>
      <c r="G26" s="163">
        <f t="shared" si="7"/>
        <v>939.19978523204611</v>
      </c>
      <c r="H26" s="164">
        <f t="shared" si="4"/>
        <v>60167.543621668985</v>
      </c>
    </row>
    <row r="27" spans="2:10">
      <c r="B27" s="151">
        <v>24</v>
      </c>
      <c r="C27" s="152" t="s">
        <v>98</v>
      </c>
      <c r="D27" s="155">
        <f>0.18*2^9</f>
        <v>92.16</v>
      </c>
      <c r="E27" s="146">
        <f t="shared" si="8"/>
        <v>0.99136773254487531</v>
      </c>
      <c r="F27" s="163">
        <f t="shared" si="6"/>
        <v>99.136773254487537</v>
      </c>
      <c r="G27" s="163">
        <f t="shared" si="7"/>
        <v>1014.1691903934075</v>
      </c>
      <c r="H27" s="164">
        <f t="shared" si="4"/>
        <v>64970.275720060949</v>
      </c>
    </row>
    <row r="30" spans="2:10" ht="68">
      <c r="B30" s="159" t="s">
        <v>58</v>
      </c>
      <c r="C30" s="159" t="s">
        <v>59</v>
      </c>
      <c r="D30" s="159" t="s">
        <v>143</v>
      </c>
      <c r="E30" s="160" t="s">
        <v>144</v>
      </c>
      <c r="F30" s="160" t="s">
        <v>145</v>
      </c>
      <c r="G30" s="160" t="s">
        <v>146</v>
      </c>
      <c r="H30" s="162" t="s">
        <v>756</v>
      </c>
    </row>
    <row r="31" spans="2:10">
      <c r="B31" s="159"/>
      <c r="C31" s="155" t="s">
        <v>808</v>
      </c>
      <c r="D31" s="155">
        <f>0.18*2^-11</f>
        <v>8.7890624999999997E-5</v>
      </c>
      <c r="E31" s="146">
        <f t="shared" ref="E31:E57" si="9">D31*10.44426855</f>
        <v>9.1795329052734372E-4</v>
      </c>
      <c r="F31" s="146">
        <f t="shared" ref="F31:F57" si="10">E31*100</f>
        <v>9.1795329052734367E-2</v>
      </c>
      <c r="G31" s="146">
        <f t="shared" ref="G31:G57" si="11">E31*1023</f>
        <v>0.93906621620947262</v>
      </c>
      <c r="H31" s="146">
        <f>E31*2^16</f>
        <v>60.158986847999998</v>
      </c>
    </row>
    <row r="32" spans="2:10">
      <c r="B32" s="159"/>
      <c r="C32" s="155" t="s">
        <v>805</v>
      </c>
      <c r="D32" s="155">
        <f>0.18*2^-10.9</f>
        <v>9.4198839480728891E-5</v>
      </c>
      <c r="E32" s="146">
        <f t="shared" si="9"/>
        <v>9.838379766350751E-4</v>
      </c>
      <c r="F32" s="146">
        <f t="shared" si="10"/>
        <v>9.8383797663507508E-2</v>
      </c>
      <c r="G32" s="146">
        <f t="shared" si="11"/>
        <v>1.0064662500976818</v>
      </c>
      <c r="H32" s="146">
        <f t="shared" ref="H32:H95" si="12">E32*2^16</f>
        <v>64.476805636756282</v>
      </c>
    </row>
    <row r="33" spans="2:8">
      <c r="B33" s="159"/>
      <c r="C33" s="155" t="s">
        <v>806</v>
      </c>
      <c r="D33" s="155">
        <f>0.18*2^-10.8</f>
        <v>1.0095981635716127E-4</v>
      </c>
      <c r="E33" s="146">
        <f t="shared" si="9"/>
        <v>1.054451434792875E-3</v>
      </c>
      <c r="F33" s="146">
        <f t="shared" si="10"/>
        <v>0.10544514347928749</v>
      </c>
      <c r="G33" s="146">
        <f t="shared" si="11"/>
        <v>1.0787038177931112</v>
      </c>
      <c r="H33" s="146">
        <f t="shared" si="12"/>
        <v>69.104529230585854</v>
      </c>
    </row>
    <row r="34" spans="2:8">
      <c r="B34" s="159"/>
      <c r="C34" s="155" t="s">
        <v>807</v>
      </c>
      <c r="D34" s="155">
        <f>0.18*2^-10.7</f>
        <v>1.0820605195414312E-4</v>
      </c>
      <c r="E34" s="146">
        <f t="shared" si="9"/>
        <v>1.130133065344323E-3</v>
      </c>
      <c r="F34" s="146">
        <f t="shared" si="10"/>
        <v>0.1130133065344323</v>
      </c>
      <c r="G34" s="146">
        <f t="shared" si="11"/>
        <v>1.1561261258472424</v>
      </c>
      <c r="H34" s="146">
        <f t="shared" si="12"/>
        <v>74.064400570405553</v>
      </c>
    </row>
    <row r="35" spans="2:8">
      <c r="B35" s="159"/>
      <c r="C35" s="155" t="s">
        <v>804</v>
      </c>
      <c r="D35" s="155">
        <f>0.18*2^-10.6</f>
        <v>1.1597237497027399E-4</v>
      </c>
      <c r="E35" s="146">
        <f t="shared" si="9"/>
        <v>1.2112466285708399E-3</v>
      </c>
      <c r="F35" s="146">
        <f t="shared" si="10"/>
        <v>0.121124662857084</v>
      </c>
      <c r="G35" s="146">
        <f t="shared" si="11"/>
        <v>1.2391053010279693</v>
      </c>
      <c r="H35" s="146">
        <f t="shared" si="12"/>
        <v>79.380259050018566</v>
      </c>
    </row>
    <row r="36" spans="2:8">
      <c r="B36" s="159"/>
      <c r="C36" s="155" t="s">
        <v>803</v>
      </c>
      <c r="D36" s="155">
        <f>0.18*2^-10.5</f>
        <v>1.242961138804478E-4</v>
      </c>
      <c r="E36" s="146">
        <f t="shared" si="9"/>
        <v>1.2981819930887794E-3</v>
      </c>
      <c r="F36" s="146">
        <f t="shared" si="10"/>
        <v>0.12981819930887795</v>
      </c>
      <c r="G36" s="146">
        <f t="shared" si="11"/>
        <v>1.3280401789298213</v>
      </c>
      <c r="H36" s="146">
        <f t="shared" si="12"/>
        <v>85.077655099066249</v>
      </c>
    </row>
    <row r="37" spans="2:8">
      <c r="B37" s="159"/>
      <c r="C37" s="155" t="s">
        <v>802</v>
      </c>
      <c r="D37" s="155">
        <f>0.18*2^-10.4</f>
        <v>1.3321727635345296E-4</v>
      </c>
      <c r="E37" s="146">
        <f t="shared" si="9"/>
        <v>1.3913570097350274E-3</v>
      </c>
      <c r="F37" s="146">
        <f t="shared" si="10"/>
        <v>0.13913570097350275</v>
      </c>
      <c r="G37" s="146">
        <f t="shared" si="11"/>
        <v>1.4233582209589331</v>
      </c>
      <c r="H37" s="146">
        <f t="shared" si="12"/>
        <v>91.183972989994757</v>
      </c>
    </row>
    <row r="38" spans="2:8">
      <c r="B38" s="159"/>
      <c r="C38" s="155" t="s">
        <v>801</v>
      </c>
      <c r="D38" s="155">
        <f>0.18*2^-10.3</f>
        <v>1.427787415469945E-4</v>
      </c>
      <c r="E38" s="146">
        <f t="shared" si="9"/>
        <v>1.491219519947853E-3</v>
      </c>
      <c r="F38" s="146">
        <f t="shared" si="10"/>
        <v>0.14912195199478531</v>
      </c>
      <c r="G38" s="146">
        <f t="shared" si="11"/>
        <v>1.5255175689066536</v>
      </c>
      <c r="H38" s="146">
        <f t="shared" si="12"/>
        <v>97.728562459302495</v>
      </c>
    </row>
    <row r="39" spans="2:8">
      <c r="B39" s="159"/>
      <c r="C39" s="155" t="s">
        <v>800</v>
      </c>
      <c r="D39" s="155">
        <f>0.18*2^-10.2</f>
        <v>1.5302646620439695E-4</v>
      </c>
      <c r="E39" s="146">
        <f t="shared" si="9"/>
        <v>1.598249508296221E-3</v>
      </c>
      <c r="F39" s="146">
        <f t="shared" si="10"/>
        <v>0.15982495082962211</v>
      </c>
      <c r="G39" s="146">
        <f t="shared" si="11"/>
        <v>1.6350092469870341</v>
      </c>
      <c r="H39" s="146">
        <f t="shared" si="12"/>
        <v>104.74287977570114</v>
      </c>
    </row>
    <row r="40" spans="2:8">
      <c r="B40" s="159"/>
      <c r="C40" s="155" t="s">
        <v>799</v>
      </c>
      <c r="D40" s="155">
        <f>0.18*2^-10.1</f>
        <v>1.6400970554357957E-4</v>
      </c>
      <c r="E40" s="146">
        <f t="shared" si="9"/>
        <v>1.7129614095035689E-3</v>
      </c>
      <c r="F40" s="146">
        <f t="shared" si="10"/>
        <v>0.17129614095035689</v>
      </c>
      <c r="G40" s="146">
        <f t="shared" si="11"/>
        <v>1.7523595219221511</v>
      </c>
      <c r="H40" s="146">
        <f t="shared" si="12"/>
        <v>112.26063893322589</v>
      </c>
    </row>
    <row r="41" spans="2:8">
      <c r="B41" s="159"/>
      <c r="C41" s="155" t="s">
        <v>798</v>
      </c>
      <c r="D41" s="155">
        <f>0.18*2^-10</f>
        <v>1.7578124999999999E-4</v>
      </c>
      <c r="E41" s="146">
        <f t="shared" si="9"/>
        <v>1.8359065810546874E-3</v>
      </c>
      <c r="F41" s="146">
        <f t="shared" si="10"/>
        <v>0.18359065810546873</v>
      </c>
      <c r="G41" s="146">
        <f t="shared" si="11"/>
        <v>1.8781324324189452</v>
      </c>
      <c r="H41" s="146">
        <f t="shared" si="12"/>
        <v>120.317973696</v>
      </c>
    </row>
    <row r="42" spans="2:8">
      <c r="B42" s="159"/>
      <c r="C42" s="155" t="s">
        <v>797</v>
      </c>
      <c r="D42" s="155">
        <f>0.18*2^-9.9</f>
        <v>1.8839767896145778E-4</v>
      </c>
      <c r="E42" s="146">
        <f t="shared" si="9"/>
        <v>1.9676759532701502E-3</v>
      </c>
      <c r="F42" s="146">
        <f t="shared" si="10"/>
        <v>0.19676759532701502</v>
      </c>
      <c r="G42" s="146">
        <f t="shared" si="11"/>
        <v>2.0129325001953635</v>
      </c>
      <c r="H42" s="146">
        <f t="shared" si="12"/>
        <v>128.95361127351256</v>
      </c>
    </row>
    <row r="43" spans="2:8">
      <c r="B43" s="159"/>
      <c r="C43" s="155" t="s">
        <v>796</v>
      </c>
      <c r="D43" s="155">
        <f>0.18*2^-9.8</f>
        <v>2.0191963271432256E-4</v>
      </c>
      <c r="E43" s="146">
        <f t="shared" si="9"/>
        <v>2.1089028695857504E-3</v>
      </c>
      <c r="F43" s="146">
        <f t="shared" si="10"/>
        <v>0.21089028695857504</v>
      </c>
      <c r="G43" s="146">
        <f t="shared" si="11"/>
        <v>2.1574076355862228</v>
      </c>
      <c r="H43" s="146">
        <f t="shared" si="12"/>
        <v>138.20905846117174</v>
      </c>
    </row>
    <row r="44" spans="2:8">
      <c r="B44" s="159"/>
      <c r="C44" s="155" t="s">
        <v>795</v>
      </c>
      <c r="D44" s="155">
        <f>0.18*2^-9.7</f>
        <v>2.1641210390828625E-4</v>
      </c>
      <c r="E44" s="146">
        <f t="shared" si="9"/>
        <v>2.260266130688646E-3</v>
      </c>
      <c r="F44" s="146">
        <f t="shared" si="10"/>
        <v>0.2260266130688646</v>
      </c>
      <c r="G44" s="146">
        <f t="shared" si="11"/>
        <v>2.3122522516944848</v>
      </c>
      <c r="H44" s="146">
        <f t="shared" si="12"/>
        <v>148.12880114081111</v>
      </c>
    </row>
    <row r="45" spans="2:8">
      <c r="B45" s="159"/>
      <c r="C45" s="155" t="s">
        <v>794</v>
      </c>
      <c r="D45" s="155">
        <f>0.18*2^-9.6</f>
        <v>2.3194474994054783E-4</v>
      </c>
      <c r="E45" s="146">
        <f t="shared" si="9"/>
        <v>2.4224932571416781E-3</v>
      </c>
      <c r="F45" s="146">
        <f t="shared" si="10"/>
        <v>0.24224932571416782</v>
      </c>
      <c r="G45" s="146">
        <f t="shared" si="11"/>
        <v>2.4782106020559369</v>
      </c>
      <c r="H45" s="146">
        <f t="shared" si="12"/>
        <v>158.76051810003702</v>
      </c>
    </row>
    <row r="46" spans="2:8">
      <c r="B46" s="159"/>
      <c r="C46" s="155" t="s">
        <v>793</v>
      </c>
      <c r="D46" s="155">
        <f>0.18*2^-9.5</f>
        <v>2.485922277608956E-4</v>
      </c>
      <c r="E46" s="146">
        <f t="shared" si="9"/>
        <v>2.5963639861775589E-3</v>
      </c>
      <c r="F46" s="146">
        <f t="shared" si="10"/>
        <v>0.25963639861775589</v>
      </c>
      <c r="G46" s="146">
        <f t="shared" si="11"/>
        <v>2.6560803578596426</v>
      </c>
      <c r="H46" s="146">
        <f t="shared" si="12"/>
        <v>170.1553101981325</v>
      </c>
    </row>
    <row r="47" spans="2:8">
      <c r="B47" s="159"/>
      <c r="C47" s="155" t="s">
        <v>792</v>
      </c>
      <c r="D47" s="155">
        <f>0.18*2^-9.4</f>
        <v>2.6643455270690592E-4</v>
      </c>
      <c r="E47" s="146">
        <f t="shared" si="9"/>
        <v>2.7827140194700548E-3</v>
      </c>
      <c r="F47" s="146">
        <f t="shared" si="10"/>
        <v>0.2782714019470055</v>
      </c>
      <c r="G47" s="146">
        <f t="shared" si="11"/>
        <v>2.8467164419178661</v>
      </c>
      <c r="H47" s="146">
        <f t="shared" si="12"/>
        <v>182.36794597998951</v>
      </c>
    </row>
    <row r="48" spans="2:8">
      <c r="B48" s="159"/>
      <c r="C48" s="155" t="s">
        <v>791</v>
      </c>
      <c r="D48" s="155">
        <f>0.18*2^-9.3</f>
        <v>2.8555748309398911E-4</v>
      </c>
      <c r="E48" s="146">
        <f t="shared" si="9"/>
        <v>2.9824390398957073E-3</v>
      </c>
      <c r="F48" s="146">
        <f t="shared" si="10"/>
        <v>0.29824390398957074</v>
      </c>
      <c r="G48" s="146">
        <f t="shared" si="11"/>
        <v>3.0510351378133085</v>
      </c>
      <c r="H48" s="146">
        <f t="shared" si="12"/>
        <v>195.45712491860507</v>
      </c>
    </row>
    <row r="49" spans="2:8">
      <c r="B49" s="159"/>
      <c r="C49" s="155" t="s">
        <v>790</v>
      </c>
      <c r="D49" s="155">
        <f>0.18*2^-9.2</f>
        <v>3.0605293240879391E-4</v>
      </c>
      <c r="E49" s="146">
        <f t="shared" si="9"/>
        <v>3.196499016592442E-3</v>
      </c>
      <c r="F49" s="146">
        <f t="shared" si="10"/>
        <v>0.31964990165924423</v>
      </c>
      <c r="G49" s="146">
        <f t="shared" si="11"/>
        <v>3.2700184939740682</v>
      </c>
      <c r="H49" s="146">
        <f t="shared" si="12"/>
        <v>209.48575955140228</v>
      </c>
    </row>
    <row r="50" spans="2:8">
      <c r="B50" s="159"/>
      <c r="C50" s="155" t="s">
        <v>789</v>
      </c>
      <c r="D50" s="155">
        <f>0.18*2^-9.1</f>
        <v>3.2801941108715887E-4</v>
      </c>
      <c r="E50" s="146">
        <f t="shared" si="9"/>
        <v>3.4259228190071348E-3</v>
      </c>
      <c r="F50" s="146">
        <f t="shared" si="10"/>
        <v>0.3425922819007135</v>
      </c>
      <c r="G50" s="146">
        <f t="shared" si="11"/>
        <v>3.504719043844299</v>
      </c>
      <c r="H50" s="146">
        <f t="shared" si="12"/>
        <v>224.52127786645158</v>
      </c>
    </row>
    <row r="51" spans="2:8">
      <c r="B51" s="159"/>
      <c r="C51" s="155" t="s">
        <v>788</v>
      </c>
      <c r="D51" s="155">
        <f>0.18*2^-9</f>
        <v>3.5156249999999999E-4</v>
      </c>
      <c r="E51" s="146">
        <f t="shared" si="9"/>
        <v>3.6718131621093749E-3</v>
      </c>
      <c r="F51" s="146">
        <f t="shared" si="10"/>
        <v>0.36718131621093747</v>
      </c>
      <c r="G51" s="146">
        <f t="shared" si="11"/>
        <v>3.7562648648378905</v>
      </c>
      <c r="H51" s="146">
        <f t="shared" si="12"/>
        <v>240.63594739199999</v>
      </c>
    </row>
    <row r="52" spans="2:8">
      <c r="B52" s="159"/>
      <c r="C52" s="155" t="s">
        <v>787</v>
      </c>
      <c r="D52" s="155">
        <f>0.18*2^-8.9</f>
        <v>3.7679535792291562E-4</v>
      </c>
      <c r="E52" s="146">
        <f t="shared" si="9"/>
        <v>3.9353519065403013E-3</v>
      </c>
      <c r="F52" s="146">
        <f t="shared" si="10"/>
        <v>0.39353519065403014</v>
      </c>
      <c r="G52" s="146">
        <f t="shared" si="11"/>
        <v>4.0258650003907279</v>
      </c>
      <c r="H52" s="146">
        <f t="shared" si="12"/>
        <v>257.90722254702519</v>
      </c>
    </row>
    <row r="53" spans="2:8">
      <c r="B53" s="159"/>
      <c r="C53" s="155" t="s">
        <v>786</v>
      </c>
      <c r="D53" s="155">
        <f>0.18*2^-8.8</f>
        <v>4.0383926542864512E-4</v>
      </c>
      <c r="E53" s="146">
        <f t="shared" si="9"/>
        <v>4.2178057391715007E-3</v>
      </c>
      <c r="F53" s="146">
        <f t="shared" si="10"/>
        <v>0.42178057391715007</v>
      </c>
      <c r="G53" s="146">
        <f t="shared" si="11"/>
        <v>4.3148152711724457</v>
      </c>
      <c r="H53" s="146">
        <f t="shared" si="12"/>
        <v>276.41811692234347</v>
      </c>
    </row>
    <row r="54" spans="2:8">
      <c r="B54" s="159"/>
      <c r="C54" s="155" t="s">
        <v>785</v>
      </c>
      <c r="D54" s="155">
        <f>0.18*2^-8.7</f>
        <v>4.328242078165726E-4</v>
      </c>
      <c r="E54" s="146">
        <f t="shared" si="9"/>
        <v>4.5205322613772938E-3</v>
      </c>
      <c r="F54" s="146">
        <f t="shared" si="10"/>
        <v>0.45205322613772936</v>
      </c>
      <c r="G54" s="146">
        <f t="shared" si="11"/>
        <v>4.6245045033889713</v>
      </c>
      <c r="H54" s="146">
        <f t="shared" si="12"/>
        <v>296.25760228162233</v>
      </c>
    </row>
    <row r="55" spans="2:8">
      <c r="B55" s="159"/>
      <c r="C55" s="155" t="s">
        <v>784</v>
      </c>
      <c r="D55" s="155">
        <f>0.18*2^-8.6</f>
        <v>4.6388949988109565E-4</v>
      </c>
      <c r="E55" s="146">
        <f t="shared" si="9"/>
        <v>4.8449865142833563E-3</v>
      </c>
      <c r="F55" s="146">
        <f t="shared" si="10"/>
        <v>0.48449865142833565</v>
      </c>
      <c r="G55" s="146">
        <f t="shared" si="11"/>
        <v>4.9564212041118738</v>
      </c>
      <c r="H55" s="146">
        <f t="shared" si="12"/>
        <v>317.52103620007404</v>
      </c>
    </row>
    <row r="56" spans="2:8">
      <c r="B56" s="159"/>
      <c r="C56" s="155" t="s">
        <v>783</v>
      </c>
      <c r="D56" s="155">
        <f>0.18*2^-8.5</f>
        <v>4.971844555217912E-4</v>
      </c>
      <c r="E56" s="146">
        <f t="shared" si="9"/>
        <v>5.1927279723551177E-3</v>
      </c>
      <c r="F56" s="146">
        <f t="shared" si="10"/>
        <v>0.51927279723551178</v>
      </c>
      <c r="G56" s="146">
        <f t="shared" si="11"/>
        <v>5.3121607157192852</v>
      </c>
      <c r="H56" s="146">
        <f t="shared" si="12"/>
        <v>340.31062039626499</v>
      </c>
    </row>
    <row r="57" spans="2:8">
      <c r="B57" s="159"/>
      <c r="C57" s="155" t="s">
        <v>782</v>
      </c>
      <c r="D57" s="155">
        <f>0.18*2^-8.4</f>
        <v>5.3286910541381195E-4</v>
      </c>
      <c r="E57" s="146">
        <f t="shared" si="9"/>
        <v>5.5654280389401114E-3</v>
      </c>
      <c r="F57" s="146">
        <f t="shared" si="10"/>
        <v>0.55654280389401112</v>
      </c>
      <c r="G57" s="146">
        <f t="shared" si="11"/>
        <v>5.693432883835734</v>
      </c>
      <c r="H57" s="146">
        <f t="shared" si="12"/>
        <v>364.73589195997914</v>
      </c>
    </row>
    <row r="58" spans="2:8">
      <c r="B58" s="159"/>
      <c r="C58" s="155" t="s">
        <v>781</v>
      </c>
      <c r="D58" s="155">
        <f>0.18*2^-8.3</f>
        <v>5.7111496618797767E-4</v>
      </c>
      <c r="E58" s="146">
        <f t="shared" ref="E58:E60" si="13">D58*10.44426855</f>
        <v>5.9648780797914086E-3</v>
      </c>
      <c r="F58" s="146">
        <f t="shared" ref="F58:F60" si="14">E58*100</f>
        <v>0.5964878079791408</v>
      </c>
      <c r="G58" s="146">
        <f t="shared" ref="G58:G60" si="15">E58*1023</f>
        <v>6.1020702756266108</v>
      </c>
      <c r="H58" s="146">
        <f t="shared" si="12"/>
        <v>390.91424983720975</v>
      </c>
    </row>
    <row r="59" spans="2:8">
      <c r="B59" s="159"/>
      <c r="C59" s="155" t="s">
        <v>780</v>
      </c>
      <c r="D59" s="155">
        <f>0.18*2^-8.2</f>
        <v>6.1210586481758793E-4</v>
      </c>
      <c r="E59" s="146">
        <f t="shared" si="13"/>
        <v>6.392998033184885E-3</v>
      </c>
      <c r="F59" s="146">
        <f t="shared" si="14"/>
        <v>0.63929980331848846</v>
      </c>
      <c r="G59" s="146">
        <f t="shared" si="15"/>
        <v>6.5400369879481373</v>
      </c>
      <c r="H59" s="146">
        <f t="shared" si="12"/>
        <v>418.97151910280462</v>
      </c>
    </row>
    <row r="60" spans="2:8">
      <c r="B60" s="159"/>
      <c r="C60" s="155" t="s">
        <v>779</v>
      </c>
      <c r="D60" s="155">
        <f>0.18*2^-8.1</f>
        <v>6.5603882217431784E-4</v>
      </c>
      <c r="E60" s="146">
        <f t="shared" si="13"/>
        <v>6.8518456380142704E-3</v>
      </c>
      <c r="F60" s="146">
        <f t="shared" si="14"/>
        <v>0.685184563801427</v>
      </c>
      <c r="G60" s="146">
        <f t="shared" si="15"/>
        <v>7.0094380876885989</v>
      </c>
      <c r="H60" s="146">
        <f t="shared" si="12"/>
        <v>449.04255573290322</v>
      </c>
    </row>
    <row r="61" spans="2:8">
      <c r="B61" s="154">
        <v>1</v>
      </c>
      <c r="C61" s="155" t="s">
        <v>229</v>
      </c>
      <c r="D61" s="154">
        <v>7.0312499999999997E-4</v>
      </c>
      <c r="E61" s="146">
        <f t="shared" ref="E61:E79" si="16">D61*10.44426855</f>
        <v>7.3436263242187497E-3</v>
      </c>
      <c r="F61" s="146">
        <f>E61*100</f>
        <v>0.73436263242187494</v>
      </c>
      <c r="G61" s="146">
        <f>E61*1023</f>
        <v>7.5125297296757809</v>
      </c>
      <c r="H61" s="146">
        <f t="shared" si="12"/>
        <v>481.27189478399998</v>
      </c>
    </row>
    <row r="62" spans="2:8">
      <c r="B62" s="154">
        <v>2</v>
      </c>
      <c r="C62" s="155" t="s">
        <v>230</v>
      </c>
      <c r="D62" s="154">
        <v>7.5359071584583004E-4</v>
      </c>
      <c r="E62" s="146">
        <f t="shared" si="16"/>
        <v>7.8707038130805904E-3</v>
      </c>
      <c r="F62" s="146">
        <f t="shared" ref="F62:F79" si="17">E62*100</f>
        <v>0.78707038130805906</v>
      </c>
      <c r="G62" s="146">
        <f t="shared" ref="G62:G65" si="18">E62*1023</f>
        <v>8.0517300007814434</v>
      </c>
      <c r="H62" s="146">
        <f t="shared" si="12"/>
        <v>515.81444509404957</v>
      </c>
    </row>
    <row r="63" spans="2:8">
      <c r="B63" s="154">
        <v>3</v>
      </c>
      <c r="C63" s="155" t="s">
        <v>231</v>
      </c>
      <c r="D63" s="154">
        <v>8.0767853085729003E-4</v>
      </c>
      <c r="E63" s="146">
        <f t="shared" si="16"/>
        <v>8.4356114783429997E-3</v>
      </c>
      <c r="F63" s="146">
        <f t="shared" si="17"/>
        <v>0.84356114783429992</v>
      </c>
      <c r="G63" s="146">
        <f t="shared" si="18"/>
        <v>8.6296305423448896</v>
      </c>
      <c r="H63" s="146">
        <f t="shared" si="12"/>
        <v>552.83623384468683</v>
      </c>
    </row>
    <row r="64" spans="2:8">
      <c r="B64" s="154">
        <v>4</v>
      </c>
      <c r="C64" s="155" t="s">
        <v>232</v>
      </c>
      <c r="D64" s="154">
        <v>8.6564841563314401E-4</v>
      </c>
      <c r="E64" s="146">
        <f t="shared" si="16"/>
        <v>9.0410645227545754E-3</v>
      </c>
      <c r="F64" s="146">
        <f t="shared" si="17"/>
        <v>0.9041064522754575</v>
      </c>
      <c r="G64" s="146">
        <f t="shared" si="18"/>
        <v>9.2490090067779303</v>
      </c>
      <c r="H64" s="146">
        <f t="shared" si="12"/>
        <v>592.51520456324386</v>
      </c>
    </row>
    <row r="65" spans="2:8">
      <c r="B65" s="154">
        <v>5</v>
      </c>
      <c r="C65" s="155" t="s">
        <v>233</v>
      </c>
      <c r="D65" s="154">
        <v>9.2777899976219098E-4</v>
      </c>
      <c r="E65" s="146">
        <f t="shared" si="16"/>
        <v>9.6899730285667091E-3</v>
      </c>
      <c r="F65" s="146">
        <f t="shared" si="17"/>
        <v>0.96899730285667096</v>
      </c>
      <c r="G65" s="146">
        <f t="shared" si="18"/>
        <v>9.9128424082237441</v>
      </c>
      <c r="H65" s="146">
        <f t="shared" si="12"/>
        <v>635.04207240014784</v>
      </c>
    </row>
    <row r="66" spans="2:8">
      <c r="B66" s="154">
        <v>6</v>
      </c>
      <c r="C66" s="155" t="s">
        <v>234</v>
      </c>
      <c r="D66" s="154">
        <v>9.9436891104358197E-4</v>
      </c>
      <c r="E66" s="146">
        <f t="shared" si="16"/>
        <v>1.0385455944710232E-2</v>
      </c>
      <c r="F66" s="146">
        <f t="shared" si="17"/>
        <v>1.0385455944710231</v>
      </c>
      <c r="G66" s="146">
        <f t="shared" ref="G66:G79" si="19">E66*1023</f>
        <v>10.624321431438567</v>
      </c>
      <c r="H66" s="146">
        <f t="shared" si="12"/>
        <v>680.62124079252976</v>
      </c>
    </row>
    <row r="67" spans="2:8">
      <c r="B67" s="154">
        <v>7</v>
      </c>
      <c r="C67" s="155" t="s">
        <v>235</v>
      </c>
      <c r="D67" s="154">
        <v>1.06573821082762E-3</v>
      </c>
      <c r="E67" s="146">
        <f t="shared" si="16"/>
        <v>1.1130856077880181E-2</v>
      </c>
      <c r="F67" s="146">
        <f t="shared" si="17"/>
        <v>1.113085607788018</v>
      </c>
      <c r="G67" s="146">
        <f t="shared" si="19"/>
        <v>11.386865767671425</v>
      </c>
      <c r="H67" s="146">
        <f t="shared" si="12"/>
        <v>729.47178391995556</v>
      </c>
    </row>
    <row r="68" spans="2:8">
      <c r="B68" s="154">
        <v>8</v>
      </c>
      <c r="C68" s="155" t="s">
        <v>236</v>
      </c>
      <c r="D68" s="154">
        <v>1.1422299323759499E-3</v>
      </c>
      <c r="E68" s="146">
        <f t="shared" si="16"/>
        <v>1.1929756159582762E-2</v>
      </c>
      <c r="F68" s="146">
        <f t="shared" si="17"/>
        <v>1.1929756159582761</v>
      </c>
      <c r="G68" s="146">
        <f t="shared" si="19"/>
        <v>12.204140551253165</v>
      </c>
      <c r="H68" s="146">
        <f t="shared" si="12"/>
        <v>781.82849967441587</v>
      </c>
    </row>
    <row r="69" spans="2:8">
      <c r="B69" s="154">
        <v>9</v>
      </c>
      <c r="C69" s="155" t="s">
        <v>237</v>
      </c>
      <c r="D69" s="154">
        <v>1.22421172963517E-3</v>
      </c>
      <c r="E69" s="146">
        <f t="shared" si="16"/>
        <v>1.2785996066369709E-2</v>
      </c>
      <c r="F69" s="146">
        <f t="shared" si="17"/>
        <v>1.2785996066369709</v>
      </c>
      <c r="G69" s="146">
        <f t="shared" si="19"/>
        <v>13.080073975896212</v>
      </c>
      <c r="H69" s="146">
        <f t="shared" si="12"/>
        <v>837.94303820560526</v>
      </c>
    </row>
    <row r="70" spans="2:8">
      <c r="B70" s="154">
        <v>10</v>
      </c>
      <c r="C70" s="155" t="s">
        <v>238</v>
      </c>
      <c r="D70" s="154">
        <v>1.31207764434863E-3</v>
      </c>
      <c r="E70" s="146">
        <f t="shared" si="16"/>
        <v>1.3703691276028482E-2</v>
      </c>
      <c r="F70" s="146">
        <f t="shared" si="17"/>
        <v>1.3703691276028482</v>
      </c>
      <c r="G70" s="146">
        <f t="shared" si="19"/>
        <v>14.018876175377137</v>
      </c>
      <c r="H70" s="146">
        <f t="shared" si="12"/>
        <v>898.08511146580258</v>
      </c>
    </row>
    <row r="71" spans="2:8">
      <c r="B71" s="154">
        <v>11</v>
      </c>
      <c r="C71" s="155" t="s">
        <v>239</v>
      </c>
      <c r="D71" s="154">
        <v>1.4062499999999999E-3</v>
      </c>
      <c r="E71" s="146">
        <f t="shared" si="16"/>
        <v>1.4687252648437499E-2</v>
      </c>
      <c r="F71" s="146">
        <f t="shared" si="17"/>
        <v>1.4687252648437499</v>
      </c>
      <c r="G71" s="146">
        <f t="shared" si="19"/>
        <v>15.025059459351562</v>
      </c>
      <c r="H71" s="146">
        <f t="shared" si="12"/>
        <v>962.54378956799997</v>
      </c>
    </row>
    <row r="72" spans="2:8">
      <c r="B72" s="154">
        <v>12</v>
      </c>
      <c r="C72" s="155" t="s">
        <v>240</v>
      </c>
      <c r="D72" s="154">
        <v>1.5071814316916601E-3</v>
      </c>
      <c r="E72" s="146">
        <f t="shared" si="16"/>
        <v>1.5741407626161181E-2</v>
      </c>
      <c r="F72" s="146">
        <f t="shared" si="17"/>
        <v>1.5741407626161181</v>
      </c>
      <c r="G72" s="146">
        <f t="shared" si="19"/>
        <v>16.103460001562887</v>
      </c>
      <c r="H72" s="146">
        <f t="shared" si="12"/>
        <v>1031.6288901880991</v>
      </c>
    </row>
    <row r="73" spans="2:8">
      <c r="B73" s="154">
        <v>13</v>
      </c>
      <c r="C73" s="155" t="s">
        <v>241</v>
      </c>
      <c r="D73" s="154">
        <v>1.6153570617145801E-3</v>
      </c>
      <c r="E73" s="146">
        <f t="shared" si="16"/>
        <v>1.6871222956685999E-2</v>
      </c>
      <c r="F73" s="146">
        <f t="shared" si="17"/>
        <v>1.6871222956685998</v>
      </c>
      <c r="G73" s="146">
        <f t="shared" si="19"/>
        <v>17.259261084689779</v>
      </c>
      <c r="H73" s="146">
        <f t="shared" si="12"/>
        <v>1105.6724676893737</v>
      </c>
    </row>
    <row r="74" spans="2:8">
      <c r="B74" s="154">
        <v>14</v>
      </c>
      <c r="C74" s="155" t="s">
        <v>242</v>
      </c>
      <c r="D74" s="154">
        <v>1.73129683126628E-3</v>
      </c>
      <c r="E74" s="146">
        <f t="shared" si="16"/>
        <v>1.8082129045509064E-2</v>
      </c>
      <c r="F74" s="146">
        <f t="shared" si="17"/>
        <v>1.8082129045509063</v>
      </c>
      <c r="G74" s="146">
        <f t="shared" si="19"/>
        <v>18.498018013555772</v>
      </c>
      <c r="H74" s="146">
        <f t="shared" si="12"/>
        <v>1185.030409126482</v>
      </c>
    </row>
    <row r="75" spans="2:8">
      <c r="B75" s="154">
        <v>15</v>
      </c>
      <c r="C75" s="155" t="s">
        <v>243</v>
      </c>
      <c r="D75" s="154">
        <v>1.85555799952438E-3</v>
      </c>
      <c r="E75" s="146">
        <f t="shared" si="16"/>
        <v>1.9379946057133397E-2</v>
      </c>
      <c r="F75" s="146">
        <f t="shared" si="17"/>
        <v>1.9379946057133397</v>
      </c>
      <c r="G75" s="146">
        <f t="shared" si="19"/>
        <v>19.825684816447467</v>
      </c>
      <c r="H75" s="146">
        <f t="shared" si="12"/>
        <v>1270.0841448002943</v>
      </c>
    </row>
    <row r="76" spans="2:8">
      <c r="B76" s="154">
        <v>16</v>
      </c>
      <c r="C76" s="155" t="s">
        <v>244</v>
      </c>
      <c r="D76" s="154">
        <v>1.98873782208716E-3</v>
      </c>
      <c r="E76" s="146">
        <f t="shared" si="16"/>
        <v>2.0770911889420422E-2</v>
      </c>
      <c r="F76" s="146">
        <f t="shared" si="17"/>
        <v>2.0770911889420423</v>
      </c>
      <c r="G76" s="146">
        <f t="shared" si="19"/>
        <v>21.248642862877091</v>
      </c>
      <c r="H76" s="146">
        <f t="shared" si="12"/>
        <v>1361.2424815850568</v>
      </c>
    </row>
    <row r="77" spans="2:8">
      <c r="B77" s="154">
        <v>17</v>
      </c>
      <c r="C77" s="155" t="s">
        <v>245</v>
      </c>
      <c r="D77" s="154">
        <v>2.13147642165524E-3</v>
      </c>
      <c r="E77" s="146">
        <f t="shared" si="16"/>
        <v>2.2261712155760362E-2</v>
      </c>
      <c r="F77" s="146">
        <f t="shared" si="17"/>
        <v>2.226171215576036</v>
      </c>
      <c r="G77" s="146">
        <f t="shared" si="19"/>
        <v>22.773731535342851</v>
      </c>
      <c r="H77" s="146">
        <f t="shared" si="12"/>
        <v>1458.9435678399111</v>
      </c>
    </row>
    <row r="78" spans="2:8">
      <c r="B78" s="154">
        <v>18</v>
      </c>
      <c r="C78" s="155" t="s">
        <v>246</v>
      </c>
      <c r="D78" s="154">
        <v>2.2844598647519098E-3</v>
      </c>
      <c r="E78" s="146">
        <f t="shared" si="16"/>
        <v>2.3859512319165627E-2</v>
      </c>
      <c r="F78" s="146">
        <f t="shared" si="17"/>
        <v>2.3859512319165628</v>
      </c>
      <c r="G78" s="146">
        <f t="shared" si="19"/>
        <v>24.408281102506436</v>
      </c>
      <c r="H78" s="146">
        <f t="shared" si="12"/>
        <v>1563.6569993488386</v>
      </c>
    </row>
    <row r="79" spans="2:8">
      <c r="B79" s="154">
        <v>19</v>
      </c>
      <c r="C79" s="155" t="s">
        <v>247</v>
      </c>
      <c r="D79" s="154">
        <v>2.44842345927034E-3</v>
      </c>
      <c r="E79" s="146">
        <f t="shared" si="16"/>
        <v>2.5571992132739418E-2</v>
      </c>
      <c r="F79" s="146">
        <f t="shared" si="17"/>
        <v>2.5571992132739418</v>
      </c>
      <c r="G79" s="146">
        <f t="shared" si="19"/>
        <v>26.160147951792425</v>
      </c>
      <c r="H79" s="146">
        <f t="shared" si="12"/>
        <v>1675.8860764112105</v>
      </c>
    </row>
    <row r="80" spans="2:8">
      <c r="B80" s="154">
        <v>20</v>
      </c>
      <c r="C80" s="155" t="s">
        <v>248</v>
      </c>
      <c r="D80" s="154">
        <v>2.6241552886972701E-3</v>
      </c>
      <c r="E80" s="146">
        <f t="shared" ref="E80:E143" si="20">(LOG((D80+0.0075),2)+7)*0.07329248</f>
        <v>2.7407382206186069E-2</v>
      </c>
      <c r="F80" s="146">
        <f t="shared" ref="F80:F143" si="21">E80*100</f>
        <v>2.7407382206186068</v>
      </c>
      <c r="G80" s="146">
        <f t="shared" ref="G80" si="22">E80*1023</f>
        <v>28.03775199692835</v>
      </c>
      <c r="H80" s="146">
        <f t="shared" si="12"/>
        <v>1796.1702002646102</v>
      </c>
    </row>
    <row r="81" spans="2:8">
      <c r="B81" s="154">
        <v>21</v>
      </c>
      <c r="C81" s="155" t="s">
        <v>249</v>
      </c>
      <c r="D81" s="154">
        <v>2.8124999999999999E-3</v>
      </c>
      <c r="E81" s="146">
        <f t="shared" si="20"/>
        <v>2.9356418193256802E-2</v>
      </c>
      <c r="F81" s="146">
        <f t="shared" si="21"/>
        <v>2.9356418193256801</v>
      </c>
      <c r="G81" s="146">
        <f t="shared" ref="G81:G82" si="23">E81*1023</f>
        <v>30.031615811701709</v>
      </c>
      <c r="H81" s="146">
        <f t="shared" si="12"/>
        <v>1923.9022227132778</v>
      </c>
    </row>
    <row r="82" spans="2:8">
      <c r="B82" s="154">
        <v>22</v>
      </c>
      <c r="C82" s="155" t="s">
        <v>250</v>
      </c>
      <c r="D82" s="154">
        <v>3.0143628633833202E-3</v>
      </c>
      <c r="E82" s="146">
        <f t="shared" si="20"/>
        <v>3.1406211751518108E-2</v>
      </c>
      <c r="F82" s="146">
        <f t="shared" si="21"/>
        <v>3.1406211751518107</v>
      </c>
      <c r="G82" s="146">
        <f t="shared" si="23"/>
        <v>32.128554621803026</v>
      </c>
      <c r="H82" s="146">
        <f t="shared" si="12"/>
        <v>2058.2374933474907</v>
      </c>
    </row>
    <row r="83" spans="2:8">
      <c r="B83" s="154">
        <v>23</v>
      </c>
      <c r="C83" s="155" t="s">
        <v>251</v>
      </c>
      <c r="D83" s="154">
        <v>3.2307141234291601E-3</v>
      </c>
      <c r="E83" s="146">
        <f t="shared" si="20"/>
        <v>3.3559886346543902E-2</v>
      </c>
      <c r="F83" s="146">
        <f t="shared" si="21"/>
        <v>3.3559886346543903</v>
      </c>
      <c r="G83" s="146">
        <f t="shared" ref="G83:G146" si="24">E83*1023</f>
        <v>34.33176373251441</v>
      </c>
      <c r="H83" s="146">
        <f t="shared" si="12"/>
        <v>2199.3807116071011</v>
      </c>
    </row>
    <row r="84" spans="2:8">
      <c r="B84" s="154">
        <v>24</v>
      </c>
      <c r="C84" s="155" t="s">
        <v>252</v>
      </c>
      <c r="D84" s="154">
        <v>3.46259366253257E-3</v>
      </c>
      <c r="E84" s="146">
        <f t="shared" si="20"/>
        <v>3.5820452095190081E-2</v>
      </c>
      <c r="F84" s="146">
        <f t="shared" si="21"/>
        <v>3.5820452095190083</v>
      </c>
      <c r="G84" s="146">
        <f t="shared" si="24"/>
        <v>36.644322493379455</v>
      </c>
      <c r="H84" s="146">
        <f t="shared" si="12"/>
        <v>2347.5291485103771</v>
      </c>
    </row>
    <row r="85" spans="2:8">
      <c r="B85" s="154">
        <v>25</v>
      </c>
      <c r="C85" s="155" t="s">
        <v>253</v>
      </c>
      <c r="D85" s="154">
        <v>3.71111599904876E-3</v>
      </c>
      <c r="E85" s="146">
        <f t="shared" si="20"/>
        <v>3.8190784257307181E-2</v>
      </c>
      <c r="F85" s="146">
        <f t="shared" si="21"/>
        <v>3.819078425730718</v>
      </c>
      <c r="G85" s="146">
        <f t="shared" si="24"/>
        <v>39.069172295225243</v>
      </c>
      <c r="H85" s="146">
        <f t="shared" si="12"/>
        <v>2502.8712370868834</v>
      </c>
    </row>
    <row r="86" spans="2:8">
      <c r="B86" s="154">
        <v>26</v>
      </c>
      <c r="C86" s="155" t="s">
        <v>254</v>
      </c>
      <c r="D86" s="154">
        <v>3.9774756441743296E-3</v>
      </c>
      <c r="E86" s="146">
        <f t="shared" si="20"/>
        <v>4.0673601734924812E-2</v>
      </c>
      <c r="F86" s="146">
        <f t="shared" si="21"/>
        <v>4.0673601734924816</v>
      </c>
      <c r="G86" s="146">
        <f t="shared" si="24"/>
        <v>41.609094574828084</v>
      </c>
      <c r="H86" s="146">
        <f t="shared" si="12"/>
        <v>2665.5851633000325</v>
      </c>
    </row>
    <row r="87" spans="2:8">
      <c r="B87" s="154">
        <v>27</v>
      </c>
      <c r="C87" s="155" t="s">
        <v>255</v>
      </c>
      <c r="D87" s="154">
        <v>4.2629528433104904E-3</v>
      </c>
      <c r="E87" s="146">
        <f t="shared" si="20"/>
        <v>4.3271445881430171E-2</v>
      </c>
      <c r="F87" s="146">
        <f t="shared" si="21"/>
        <v>4.3271445881430175</v>
      </c>
      <c r="G87" s="146">
        <f t="shared" si="24"/>
        <v>44.266689136703064</v>
      </c>
      <c r="H87" s="146">
        <f t="shared" si="12"/>
        <v>2835.8374772854077</v>
      </c>
    </row>
    <row r="88" spans="2:8">
      <c r="B88" s="154">
        <v>28</v>
      </c>
      <c r="C88" s="155" t="s">
        <v>256</v>
      </c>
      <c r="D88" s="154">
        <v>4.5689197295038196E-3</v>
      </c>
      <c r="E88" s="146">
        <f t="shared" si="20"/>
        <v>4.5986659939492219E-2</v>
      </c>
      <c r="F88" s="146">
        <f t="shared" si="21"/>
        <v>4.598665993949222</v>
      </c>
      <c r="G88" s="146">
        <f t="shared" si="24"/>
        <v>47.044353118100538</v>
      </c>
      <c r="H88" s="146">
        <f t="shared" si="12"/>
        <v>3013.7817457945621</v>
      </c>
    </row>
    <row r="89" spans="2:8">
      <c r="B89" s="154">
        <v>29</v>
      </c>
      <c r="C89" s="155" t="s">
        <v>257</v>
      </c>
      <c r="D89" s="154">
        <v>4.8968469185406904E-3</v>
      </c>
      <c r="E89" s="146">
        <f t="shared" si="20"/>
        <v>4.8821369435534945E-2</v>
      </c>
      <c r="F89" s="146">
        <f t="shared" si="21"/>
        <v>4.882136943553494</v>
      </c>
      <c r="G89" s="146">
        <f t="shared" si="24"/>
        <v>49.944260932552247</v>
      </c>
      <c r="H89" s="146">
        <f t="shared" si="12"/>
        <v>3199.5572673272181</v>
      </c>
    </row>
    <row r="90" spans="2:8">
      <c r="B90" s="154">
        <v>30</v>
      </c>
      <c r="C90" s="155" t="s">
        <v>258</v>
      </c>
      <c r="D90" s="154">
        <v>5.2483105773945401E-3</v>
      </c>
      <c r="E90" s="146">
        <f t="shared" si="20"/>
        <v>5.1777463859494215E-2</v>
      </c>
      <c r="F90" s="146">
        <f t="shared" si="21"/>
        <v>5.1777463859494217</v>
      </c>
      <c r="G90" s="146">
        <f t="shared" si="24"/>
        <v>52.968345528262581</v>
      </c>
      <c r="H90" s="146">
        <f t="shared" si="12"/>
        <v>3393.2878714958129</v>
      </c>
    </row>
    <row r="91" spans="2:8">
      <c r="B91" s="154">
        <v>31</v>
      </c>
      <c r="C91" s="155" t="s">
        <v>259</v>
      </c>
      <c r="D91" s="154">
        <v>5.6249999999999998E-3</v>
      </c>
      <c r="E91" s="146">
        <f t="shared" si="20"/>
        <v>5.4856579950723537E-2</v>
      </c>
      <c r="F91" s="146">
        <f t="shared" si="21"/>
        <v>5.4856579950723541</v>
      </c>
      <c r="G91" s="146">
        <f t="shared" si="24"/>
        <v>56.118281289590179</v>
      </c>
      <c r="H91" s="146">
        <f t="shared" si="12"/>
        <v>3595.0808236506177</v>
      </c>
    </row>
    <row r="92" spans="2:8">
      <c r="B92" s="154">
        <v>32</v>
      </c>
      <c r="C92" s="155" t="s">
        <v>260</v>
      </c>
      <c r="D92" s="154">
        <v>6.0287257267666403E-3</v>
      </c>
      <c r="E92" s="146">
        <f t="shared" si="20"/>
        <v>5.8060086893896315E-2</v>
      </c>
      <c r="F92" s="146">
        <f t="shared" si="21"/>
        <v>5.8060086893896319</v>
      </c>
      <c r="G92" s="146">
        <f t="shared" si="24"/>
        <v>59.395468892455931</v>
      </c>
      <c r="H92" s="146">
        <f t="shared" si="12"/>
        <v>3805.0258546783889</v>
      </c>
    </row>
    <row r="93" spans="2:8">
      <c r="B93" s="154">
        <v>33</v>
      </c>
      <c r="C93" s="155" t="s">
        <v>261</v>
      </c>
      <c r="D93" s="154">
        <v>6.4614282468583202E-3</v>
      </c>
      <c r="E93" s="146">
        <f t="shared" si="20"/>
        <v>6.1389073702609251E-2</v>
      </c>
      <c r="F93" s="146">
        <f t="shared" si="21"/>
        <v>6.1389073702609247</v>
      </c>
      <c r="G93" s="146">
        <f t="shared" si="24"/>
        <v>62.801022397769266</v>
      </c>
      <c r="H93" s="146">
        <f t="shared" si="12"/>
        <v>4023.1943341741999</v>
      </c>
    </row>
    <row r="94" spans="2:8">
      <c r="B94" s="154">
        <v>34</v>
      </c>
      <c r="C94" s="155" t="s">
        <v>262</v>
      </c>
      <c r="D94" s="154">
        <v>6.9251873250651503E-3</v>
      </c>
      <c r="E94" s="146">
        <f t="shared" si="20"/>
        <v>6.4844339033548998E-2</v>
      </c>
      <c r="F94" s="146">
        <f t="shared" si="21"/>
        <v>6.4844339033548994</v>
      </c>
      <c r="G94" s="146">
        <f t="shared" si="24"/>
        <v>66.335758831320618</v>
      </c>
      <c r="H94" s="146">
        <f t="shared" si="12"/>
        <v>4249.6386029026671</v>
      </c>
    </row>
    <row r="95" spans="2:8">
      <c r="B95" s="154">
        <v>35</v>
      </c>
      <c r="C95" s="155" t="s">
        <v>263</v>
      </c>
      <c r="D95" s="154">
        <v>7.4222319980975296E-3</v>
      </c>
      <c r="E95" s="146">
        <f t="shared" si="20"/>
        <v>6.842638363136673E-2</v>
      </c>
      <c r="F95" s="146">
        <f t="shared" si="21"/>
        <v>6.8426383631366727</v>
      </c>
      <c r="G95" s="146">
        <f t="shared" si="24"/>
        <v>70.00019045488817</v>
      </c>
      <c r="H95" s="146">
        <f t="shared" si="12"/>
        <v>4484.39147766525</v>
      </c>
    </row>
    <row r="96" spans="2:8">
      <c r="B96" s="154">
        <v>36</v>
      </c>
      <c r="C96" s="155" t="s">
        <v>264</v>
      </c>
      <c r="D96" s="154">
        <v>7.9549512883486592E-3</v>
      </c>
      <c r="E96" s="146">
        <f t="shared" si="20"/>
        <v>7.2135405555020987E-2</v>
      </c>
      <c r="F96" s="146">
        <f t="shared" si="21"/>
        <v>7.2135405555020986</v>
      </c>
      <c r="G96" s="146">
        <f t="shared" si="24"/>
        <v>73.794519882786474</v>
      </c>
      <c r="H96" s="146">
        <f t="shared" ref="H96:H159" si="25">E96*2^16</f>
        <v>4727.4659384538554</v>
      </c>
    </row>
    <row r="97" spans="2:8">
      <c r="B97" s="154">
        <v>37</v>
      </c>
      <c r="C97" s="155" t="s">
        <v>265</v>
      </c>
      <c r="D97" s="154">
        <v>8.5259056866209808E-3</v>
      </c>
      <c r="E97" s="146">
        <f t="shared" si="20"/>
        <v>7.5971298281848038E-2</v>
      </c>
      <c r="F97" s="146">
        <f t="shared" si="21"/>
        <v>7.5971298281848041</v>
      </c>
      <c r="G97" s="146">
        <f t="shared" si="24"/>
        <v>77.718638142330548</v>
      </c>
      <c r="H97" s="146">
        <f t="shared" si="25"/>
        <v>4978.855004199193</v>
      </c>
    </row>
    <row r="98" spans="2:8">
      <c r="B98" s="154">
        <v>38</v>
      </c>
      <c r="C98" s="155" t="s">
        <v>266</v>
      </c>
      <c r="D98" s="154">
        <v>9.1378394590076496E-3</v>
      </c>
      <c r="E98" s="146">
        <f t="shared" si="20"/>
        <v>7.9933651727806074E-2</v>
      </c>
      <c r="F98" s="146">
        <f t="shared" si="21"/>
        <v>7.9933651727806074</v>
      </c>
      <c r="G98" s="146">
        <f t="shared" si="24"/>
        <v>81.77212571754562</v>
      </c>
      <c r="H98" s="146">
        <f t="shared" si="25"/>
        <v>5238.5317996334988</v>
      </c>
    </row>
    <row r="99" spans="2:8">
      <c r="B99" s="154">
        <v>39</v>
      </c>
      <c r="C99" s="155" t="s">
        <v>267</v>
      </c>
      <c r="D99" s="154">
        <v>9.7936938370813895E-3</v>
      </c>
      <c r="E99" s="146">
        <f t="shared" si="20"/>
        <v>8.4021756163188202E-2</v>
      </c>
      <c r="F99" s="146">
        <f t="shared" si="21"/>
        <v>8.4021756163188197</v>
      </c>
      <c r="G99" s="146">
        <f t="shared" si="24"/>
        <v>85.954256554941537</v>
      </c>
      <c r="H99" s="146">
        <f t="shared" si="25"/>
        <v>5506.449811910702</v>
      </c>
    </row>
    <row r="100" spans="2:8">
      <c r="B100" s="154">
        <v>40</v>
      </c>
      <c r="C100" s="155" t="s">
        <v>268</v>
      </c>
      <c r="D100" s="154">
        <v>1.0496621154789E-2</v>
      </c>
      <c r="E100" s="146">
        <f t="shared" si="20"/>
        <v>8.8234608944673054E-2</v>
      </c>
      <c r="F100" s="146">
        <f t="shared" si="21"/>
        <v>8.8234608944673063</v>
      </c>
      <c r="G100" s="146">
        <f t="shared" si="24"/>
        <v>90.264004950400533</v>
      </c>
      <c r="H100" s="146">
        <f t="shared" si="25"/>
        <v>5782.5433317980933</v>
      </c>
    </row>
    <row r="101" spans="2:8">
      <c r="B101" s="154">
        <v>41</v>
      </c>
      <c r="C101" s="155" t="s">
        <v>269</v>
      </c>
      <c r="D101" s="154">
        <v>1.125E-2</v>
      </c>
      <c r="E101" s="146">
        <f t="shared" si="20"/>
        <v>9.2570923928885177E-2</v>
      </c>
      <c r="F101" s="146">
        <f t="shared" si="21"/>
        <v>9.2570923928885183</v>
      </c>
      <c r="G101" s="146">
        <f t="shared" si="24"/>
        <v>94.700055179249532</v>
      </c>
      <c r="H101" s="146">
        <f t="shared" si="25"/>
        <v>6066.7280706034189</v>
      </c>
    </row>
    <row r="102" spans="2:8">
      <c r="B102" s="154">
        <v>42</v>
      </c>
      <c r="C102" s="155" t="s">
        <v>270</v>
      </c>
      <c r="D102" s="154">
        <v>1.2057451453533201E-2</v>
      </c>
      <c r="E102" s="146">
        <f t="shared" si="20"/>
        <v>9.7029143381526795E-2</v>
      </c>
      <c r="F102" s="146">
        <f t="shared" si="21"/>
        <v>9.702914338152679</v>
      </c>
      <c r="G102" s="146">
        <f t="shared" si="24"/>
        <v>99.260813679301904</v>
      </c>
      <c r="H102" s="146">
        <f t="shared" si="25"/>
        <v>6358.90194065174</v>
      </c>
    </row>
    <row r="103" spans="2:8">
      <c r="B103" s="154">
        <v>43</v>
      </c>
      <c r="C103" s="155" t="s">
        <v>271</v>
      </c>
      <c r="D103" s="154">
        <v>1.2922856493716601E-2</v>
      </c>
      <c r="E103" s="146">
        <f t="shared" si="20"/>
        <v>0.1016074521513063</v>
      </c>
      <c r="F103" s="146">
        <f t="shared" si="21"/>
        <v>10.16074521513063</v>
      </c>
      <c r="G103" s="146">
        <f t="shared" si="24"/>
        <v>103.94442355078634</v>
      </c>
      <c r="H103" s="146">
        <f t="shared" si="25"/>
        <v>6658.9459841880098</v>
      </c>
    </row>
    <row r="104" spans="2:8">
      <c r="B104" s="154">
        <v>44</v>
      </c>
      <c r="C104" s="155" t="s">
        <v>272</v>
      </c>
      <c r="D104" s="154">
        <v>1.3850374650130301E-2</v>
      </c>
      <c r="E104" s="146">
        <f t="shared" si="20"/>
        <v>0.1063037938405275</v>
      </c>
      <c r="F104" s="146">
        <f t="shared" si="21"/>
        <v>10.63037938405275</v>
      </c>
      <c r="G104" s="146">
        <f t="shared" si="24"/>
        <v>108.74878109885964</v>
      </c>
      <c r="H104" s="146">
        <f t="shared" si="25"/>
        <v>6966.7254331328104</v>
      </c>
    </row>
    <row r="105" spans="2:8">
      <c r="B105" s="154">
        <v>45</v>
      </c>
      <c r="C105" s="155" t="s">
        <v>273</v>
      </c>
      <c r="D105" s="154">
        <v>1.4844463996195E-2</v>
      </c>
      <c r="E105" s="146">
        <f t="shared" si="20"/>
        <v>0.11111588867542783</v>
      </c>
      <c r="F105" s="146">
        <f t="shared" si="21"/>
        <v>11.111588867542784</v>
      </c>
      <c r="G105" s="146">
        <f t="shared" si="24"/>
        <v>113.67155411496267</v>
      </c>
      <c r="H105" s="146">
        <f t="shared" si="25"/>
        <v>7282.0908802328386</v>
      </c>
    </row>
    <row r="106" spans="2:8">
      <c r="B106" s="154">
        <v>46</v>
      </c>
      <c r="C106" s="155" t="s">
        <v>274</v>
      </c>
      <c r="D106" s="154">
        <v>1.5909902576697301E-2</v>
      </c>
      <c r="E106" s="146">
        <f t="shared" si="20"/>
        <v>0.11604125275953904</v>
      </c>
      <c r="F106" s="146">
        <f t="shared" si="21"/>
        <v>11.604125275953905</v>
      </c>
      <c r="G106" s="146">
        <f t="shared" si="24"/>
        <v>118.71020157300843</v>
      </c>
      <c r="H106" s="146">
        <f t="shared" si="25"/>
        <v>7604.8795408491505</v>
      </c>
    </row>
    <row r="107" spans="2:8">
      <c r="B107" s="154">
        <v>47</v>
      </c>
      <c r="C107" s="155" t="s">
        <v>275</v>
      </c>
      <c r="D107" s="154">
        <v>1.7051811373241899E-2</v>
      </c>
      <c r="E107" s="146">
        <f t="shared" si="20"/>
        <v>0.12107721838275362</v>
      </c>
      <c r="F107" s="146">
        <f t="shared" si="21"/>
        <v>12.107721838275362</v>
      </c>
      <c r="G107" s="146">
        <f t="shared" si="24"/>
        <v>123.86199440555696</v>
      </c>
      <c r="H107" s="146">
        <f t="shared" si="25"/>
        <v>7934.9165839321413</v>
      </c>
    </row>
    <row r="108" spans="2:8">
      <c r="B108" s="154">
        <v>48</v>
      </c>
      <c r="C108" s="155" t="s">
        <v>276</v>
      </c>
      <c r="D108" s="154">
        <v>1.8275678918015299E-2</v>
      </c>
      <c r="E108" s="146">
        <f t="shared" si="20"/>
        <v>0.12622095505713268</v>
      </c>
      <c r="F108" s="146">
        <f t="shared" si="21"/>
        <v>12.622095505713268</v>
      </c>
      <c r="G108" s="146">
        <f t="shared" si="24"/>
        <v>129.12403702344673</v>
      </c>
      <c r="H108" s="146">
        <f t="shared" si="25"/>
        <v>8272.0165106242475</v>
      </c>
    </row>
    <row r="109" spans="2:8">
      <c r="B109" s="154">
        <v>49</v>
      </c>
      <c r="C109" s="155" t="s">
        <v>277</v>
      </c>
      <c r="D109" s="154">
        <v>1.9587387674162699E-2</v>
      </c>
      <c r="E109" s="146">
        <f t="shared" si="20"/>
        <v>0.13146949095716395</v>
      </c>
      <c r="F109" s="146">
        <f t="shared" si="21"/>
        <v>13.146949095716396</v>
      </c>
      <c r="G109" s="146">
        <f t="shared" si="24"/>
        <v>134.49328924917873</v>
      </c>
      <c r="H109" s="146">
        <f t="shared" si="25"/>
        <v>8615.9845593686969</v>
      </c>
    </row>
    <row r="110" spans="2:8">
      <c r="B110" s="154">
        <v>50</v>
      </c>
      <c r="C110" s="155" t="s">
        <v>278</v>
      </c>
      <c r="D110" s="154">
        <v>2.0993242309578102E-2</v>
      </c>
      <c r="E110" s="146">
        <f t="shared" si="20"/>
        <v>0.13681973445639409</v>
      </c>
      <c r="F110" s="146">
        <f t="shared" si="21"/>
        <v>13.681973445639409</v>
      </c>
      <c r="G110" s="146">
        <f t="shared" si="24"/>
        <v>139.96658834889115</v>
      </c>
      <c r="H110" s="146">
        <f t="shared" si="25"/>
        <v>8966.6181173342429</v>
      </c>
    </row>
    <row r="111" spans="2:8">
      <c r="B111" s="154">
        <v>51</v>
      </c>
      <c r="C111" s="155" t="s">
        <v>279</v>
      </c>
      <c r="D111" s="154">
        <v>2.2499999999999999E-2</v>
      </c>
      <c r="E111" s="146">
        <f t="shared" si="20"/>
        <v>0.14226849547291504</v>
      </c>
      <c r="F111" s="146">
        <f t="shared" si="21"/>
        <v>14.226849547291504</v>
      </c>
      <c r="G111" s="146">
        <f t="shared" si="24"/>
        <v>145.54067086879209</v>
      </c>
      <c r="H111" s="146">
        <f t="shared" si="25"/>
        <v>9323.7081193129598</v>
      </c>
    </row>
    <row r="112" spans="2:8">
      <c r="B112" s="154">
        <v>52</v>
      </c>
      <c r="C112" s="155" t="s">
        <v>280</v>
      </c>
      <c r="D112" s="154">
        <v>2.4114902907066499E-2</v>
      </c>
      <c r="E112" s="146">
        <f t="shared" si="20"/>
        <v>0.14781250636198176</v>
      </c>
      <c r="F112" s="146">
        <f t="shared" si="21"/>
        <v>14.781250636198177</v>
      </c>
      <c r="G112" s="146">
        <f t="shared" si="24"/>
        <v>151.21219400830734</v>
      </c>
      <c r="H112" s="146">
        <f t="shared" si="25"/>
        <v>9687.0404169388366</v>
      </c>
    </row>
    <row r="113" spans="2:8">
      <c r="B113" s="154">
        <v>53</v>
      </c>
      <c r="C113" s="155" t="s">
        <v>281</v>
      </c>
      <c r="D113" s="154">
        <v>2.5845712987433201E-2</v>
      </c>
      <c r="E113" s="146">
        <f t="shared" si="20"/>
        <v>0.15344844212367176</v>
      </c>
      <c r="F113" s="146">
        <f t="shared" si="21"/>
        <v>15.344844212367176</v>
      </c>
      <c r="G113" s="146">
        <f t="shared" si="24"/>
        <v>156.9777562925162</v>
      </c>
      <c r="H113" s="146">
        <f t="shared" si="25"/>
        <v>10056.397103016952</v>
      </c>
    </row>
    <row r="114" spans="2:8">
      <c r="B114" s="154">
        <v>54</v>
      </c>
      <c r="C114" s="155" t="s">
        <v>282</v>
      </c>
      <c r="D114" s="154">
        <v>2.7700749300260601E-2</v>
      </c>
      <c r="E114" s="146">
        <f t="shared" si="20"/>
        <v>0.15917293972573035</v>
      </c>
      <c r="F114" s="146">
        <f t="shared" si="21"/>
        <v>15.917293972573034</v>
      </c>
      <c r="G114" s="146">
        <f t="shared" si="24"/>
        <v>162.83391733942216</v>
      </c>
      <c r="H114" s="146">
        <f t="shared" si="25"/>
        <v>10431.557777865464</v>
      </c>
    </row>
    <row r="115" spans="2:8">
      <c r="B115" s="154">
        <v>55</v>
      </c>
      <c r="C115" s="155" t="s">
        <v>283</v>
      </c>
      <c r="D115" s="154">
        <v>2.9688927992390101E-2</v>
      </c>
      <c r="E115" s="146">
        <f t="shared" si="20"/>
        <v>0.16498261637533912</v>
      </c>
      <c r="F115" s="146">
        <f t="shared" si="21"/>
        <v>16.498261637533911</v>
      </c>
      <c r="G115" s="146">
        <f t="shared" si="24"/>
        <v>168.77721655197192</v>
      </c>
      <c r="H115" s="146">
        <f t="shared" si="25"/>
        <v>10812.300746774225</v>
      </c>
    </row>
    <row r="116" spans="2:8">
      <c r="B116" s="154">
        <v>56</v>
      </c>
      <c r="C116" s="155" t="s">
        <v>284</v>
      </c>
      <c r="D116" s="154">
        <v>3.1819805153394602E-2</v>
      </c>
      <c r="E116" s="146">
        <f t="shared" si="20"/>
        <v>0.17087408660732883</v>
      </c>
      <c r="F116" s="146">
        <f t="shared" si="21"/>
        <v>17.087408660732883</v>
      </c>
      <c r="G116" s="146">
        <f t="shared" si="24"/>
        <v>174.80419059929739</v>
      </c>
      <c r="H116" s="146">
        <f t="shared" si="25"/>
        <v>11198.404139897902</v>
      </c>
    </row>
    <row r="117" spans="2:8">
      <c r="B117" s="154">
        <v>57</v>
      </c>
      <c r="C117" s="155" t="s">
        <v>285</v>
      </c>
      <c r="D117" s="154">
        <v>3.4103622746483903E-2</v>
      </c>
      <c r="E117" s="146">
        <f t="shared" si="20"/>
        <v>0.17684397808936539</v>
      </c>
      <c r="F117" s="146">
        <f t="shared" si="21"/>
        <v>17.684397808936538</v>
      </c>
      <c r="G117" s="146">
        <f t="shared" si="24"/>
        <v>180.91138958542081</v>
      </c>
      <c r="H117" s="146">
        <f t="shared" si="25"/>
        <v>11589.64694806465</v>
      </c>
    </row>
    <row r="118" spans="2:8">
      <c r="B118" s="154">
        <v>58</v>
      </c>
      <c r="C118" s="155" t="s">
        <v>286</v>
      </c>
      <c r="D118" s="154">
        <v>3.6551357836030599E-2</v>
      </c>
      <c r="E118" s="146">
        <f t="shared" si="20"/>
        <v>0.18288894607604028</v>
      </c>
      <c r="F118" s="146">
        <f t="shared" si="21"/>
        <v>18.288894607604028</v>
      </c>
      <c r="G118" s="146">
        <f t="shared" si="24"/>
        <v>187.0953918357892</v>
      </c>
      <c r="H118" s="146">
        <f t="shared" si="25"/>
        <v>11985.809970039376</v>
      </c>
    </row>
    <row r="119" spans="2:8">
      <c r="B119" s="154">
        <v>59</v>
      </c>
      <c r="C119" s="155" t="s">
        <v>287</v>
      </c>
      <c r="D119" s="154">
        <v>3.9174775348325502E-2</v>
      </c>
      <c r="E119" s="146">
        <f t="shared" si="20"/>
        <v>0.18900568647290922</v>
      </c>
      <c r="F119" s="146">
        <f t="shared" si="21"/>
        <v>18.900568647290921</v>
      </c>
      <c r="G119" s="146">
        <f t="shared" si="24"/>
        <v>193.35281726178613</v>
      </c>
      <c r="H119" s="146">
        <f t="shared" si="25"/>
        <v>12386.676668688579</v>
      </c>
    </row>
    <row r="120" spans="2:8">
      <c r="B120" s="154">
        <v>60</v>
      </c>
      <c r="C120" s="155" t="s">
        <v>288</v>
      </c>
      <c r="D120" s="154">
        <v>4.19864846191563E-2</v>
      </c>
      <c r="E120" s="146">
        <f t="shared" si="20"/>
        <v>0.19519094749789273</v>
      </c>
      <c r="F120" s="146">
        <f t="shared" si="21"/>
        <v>19.519094749789272</v>
      </c>
      <c r="G120" s="146">
        <f t="shared" si="24"/>
        <v>199.68033929034425</v>
      </c>
      <c r="H120" s="146">
        <f t="shared" si="25"/>
        <v>12792.033935221898</v>
      </c>
    </row>
    <row r="121" spans="2:8">
      <c r="B121" s="154">
        <v>61</v>
      </c>
      <c r="C121" s="155" t="s">
        <v>289</v>
      </c>
      <c r="D121" s="154">
        <v>4.4999999999999998E-2</v>
      </c>
      <c r="E121" s="146">
        <f t="shared" si="20"/>
        <v>0.20144153995072359</v>
      </c>
      <c r="F121" s="146">
        <f t="shared" si="21"/>
        <v>20.144153995072358</v>
      </c>
      <c r="G121" s="146">
        <f t="shared" si="24"/>
        <v>206.07469536959022</v>
      </c>
      <c r="H121" s="146">
        <f t="shared" si="25"/>
        <v>13201.672762210621</v>
      </c>
    </row>
    <row r="122" spans="2:8">
      <c r="B122" s="154">
        <v>62</v>
      </c>
      <c r="C122" s="155" t="s">
        <v>290</v>
      </c>
      <c r="D122" s="154">
        <v>4.8229805814133102E-2</v>
      </c>
      <c r="E122" s="146">
        <f t="shared" si="20"/>
        <v>0.20775434612117738</v>
      </c>
      <c r="F122" s="146">
        <f t="shared" si="21"/>
        <v>20.775434612117738</v>
      </c>
      <c r="G122" s="146">
        <f t="shared" si="24"/>
        <v>212.53269608196447</v>
      </c>
      <c r="H122" s="146">
        <f t="shared" si="25"/>
        <v>13615.388827397481</v>
      </c>
    </row>
    <row r="123" spans="2:8">
      <c r="B123" s="154">
        <v>63</v>
      </c>
      <c r="C123" s="155" t="s">
        <v>291</v>
      </c>
      <c r="D123" s="154">
        <v>5.1691425974866499E-2</v>
      </c>
      <c r="E123" s="146">
        <f t="shared" si="20"/>
        <v>0.21412632738355616</v>
      </c>
      <c r="F123" s="146">
        <f t="shared" si="21"/>
        <v>21.412632738355615</v>
      </c>
      <c r="G123" s="146">
        <f t="shared" si="24"/>
        <v>219.05123291337796</v>
      </c>
      <c r="H123" s="146">
        <f t="shared" si="25"/>
        <v>14032.982991408737</v>
      </c>
    </row>
    <row r="124" spans="2:8">
      <c r="B124" s="154">
        <v>64</v>
      </c>
      <c r="C124" s="155" t="s">
        <v>292</v>
      </c>
      <c r="D124" s="154">
        <v>5.5401498600521203E-2</v>
      </c>
      <c r="E124" s="146">
        <f t="shared" si="20"/>
        <v>0.22055453053843604</v>
      </c>
      <c r="F124" s="146">
        <f t="shared" si="21"/>
        <v>22.055453053843603</v>
      </c>
      <c r="G124" s="146">
        <f t="shared" si="24"/>
        <v>225.62728474082007</v>
      </c>
      <c r="H124" s="146">
        <f t="shared" si="25"/>
        <v>14454.261713366945</v>
      </c>
    </row>
    <row r="125" spans="2:8">
      <c r="B125" s="154">
        <v>65</v>
      </c>
      <c r="C125" s="155" t="s">
        <v>293</v>
      </c>
      <c r="D125" s="154">
        <v>5.9377855984780202E-2</v>
      </c>
      <c r="E125" s="146">
        <f t="shared" si="20"/>
        <v>0.22703609297316829</v>
      </c>
      <c r="F125" s="146">
        <f t="shared" si="21"/>
        <v>22.703609297316831</v>
      </c>
      <c r="G125" s="146">
        <f t="shared" si="24"/>
        <v>232.25792311155115</v>
      </c>
      <c r="H125" s="146">
        <f t="shared" si="25"/>
        <v>14879.037389089557</v>
      </c>
    </row>
    <row r="126" spans="2:8">
      <c r="B126" s="154">
        <v>66</v>
      </c>
      <c r="C126" s="155" t="s">
        <v>294</v>
      </c>
      <c r="D126" s="154">
        <v>6.3639610306789204E-2</v>
      </c>
      <c r="E126" s="146">
        <f t="shared" si="20"/>
        <v>0.23356824672026785</v>
      </c>
      <c r="F126" s="146">
        <f t="shared" si="21"/>
        <v>23.356824672026786</v>
      </c>
      <c r="G126" s="146">
        <f t="shared" si="24"/>
        <v>238.94031639483401</v>
      </c>
      <c r="H126" s="146">
        <f t="shared" si="25"/>
        <v>15307.128617059474</v>
      </c>
    </row>
    <row r="127" spans="2:8">
      <c r="B127" s="154">
        <v>67</v>
      </c>
      <c r="C127" s="155" t="s">
        <v>295</v>
      </c>
      <c r="D127" s="154">
        <v>6.8207245492967902E-2</v>
      </c>
      <c r="E127" s="146">
        <f t="shared" si="20"/>
        <v>0.24014832149790447</v>
      </c>
      <c r="F127" s="146">
        <f t="shared" si="21"/>
        <v>24.014832149790447</v>
      </c>
      <c r="G127" s="146">
        <f t="shared" si="24"/>
        <v>245.67173289235626</v>
      </c>
      <c r="H127" s="146">
        <f t="shared" si="25"/>
        <v>15738.360397686667</v>
      </c>
    </row>
    <row r="128" spans="2:8">
      <c r="B128" s="154">
        <v>68</v>
      </c>
      <c r="C128" s="155" t="s">
        <v>296</v>
      </c>
      <c r="D128" s="154">
        <v>7.31027156720611E-2</v>
      </c>
      <c r="E128" s="146">
        <f t="shared" si="20"/>
        <v>0.24677374681953276</v>
      </c>
      <c r="F128" s="146">
        <f t="shared" si="21"/>
        <v>24.677374681953275</v>
      </c>
      <c r="G128" s="146">
        <f t="shared" si="24"/>
        <v>252.44954299638201</v>
      </c>
      <c r="H128" s="146">
        <f t="shared" si="25"/>
        <v>16172.564271564899</v>
      </c>
    </row>
    <row r="129" spans="2:8">
      <c r="B129" s="154">
        <v>69</v>
      </c>
      <c r="C129" s="155" t="s">
        <v>297</v>
      </c>
      <c r="D129" s="154">
        <v>7.8349550696651102E-2</v>
      </c>
      <c r="E129" s="146">
        <f t="shared" si="20"/>
        <v>0.25344205326055619</v>
      </c>
      <c r="F129" s="146">
        <f t="shared" si="21"/>
        <v>25.344205326055619</v>
      </c>
      <c r="G129" s="146">
        <f t="shared" si="24"/>
        <v>259.27122048554901</v>
      </c>
      <c r="H129" s="146">
        <f t="shared" si="25"/>
        <v>16609.57840248381</v>
      </c>
    </row>
    <row r="130" spans="2:8">
      <c r="B130" s="154">
        <v>70</v>
      </c>
      <c r="C130" s="155" t="s">
        <v>298</v>
      </c>
      <c r="D130" s="154">
        <v>8.39729692383126E-2</v>
      </c>
      <c r="E130" s="146">
        <f t="shared" si="20"/>
        <v>0.26015087296911876</v>
      </c>
      <c r="F130" s="146">
        <f t="shared" si="21"/>
        <v>26.015087296911876</v>
      </c>
      <c r="G130" s="146">
        <f t="shared" si="24"/>
        <v>266.13434304740849</v>
      </c>
      <c r="H130" s="146">
        <f t="shared" si="25"/>
        <v>17049.247610904167</v>
      </c>
    </row>
    <row r="131" spans="2:8">
      <c r="B131" s="154">
        <v>71</v>
      </c>
      <c r="C131" s="155" t="s">
        <v>299</v>
      </c>
      <c r="D131" s="154">
        <v>0.09</v>
      </c>
      <c r="E131" s="146">
        <f t="shared" si="20"/>
        <v>0.26689793950597673</v>
      </c>
      <c r="F131" s="146">
        <f t="shared" si="21"/>
        <v>26.689793950597675</v>
      </c>
      <c r="G131" s="146">
        <f t="shared" si="24"/>
        <v>273.03659211461422</v>
      </c>
      <c r="H131" s="146">
        <f t="shared" si="25"/>
        <v>17491.423363463691</v>
      </c>
    </row>
    <row r="132" spans="2:8">
      <c r="B132" s="154">
        <v>72</v>
      </c>
      <c r="C132" s="155" t="s">
        <v>300</v>
      </c>
      <c r="D132" s="154">
        <v>9.6459611628266301E-2</v>
      </c>
      <c r="E132" s="146">
        <f t="shared" si="20"/>
        <v>0.2736810870951602</v>
      </c>
      <c r="F132" s="146">
        <f t="shared" si="21"/>
        <v>27.368108709516019</v>
      </c>
      <c r="G132" s="146">
        <f t="shared" si="24"/>
        <v>279.97575209834889</v>
      </c>
      <c r="H132" s="146">
        <f t="shared" si="25"/>
        <v>17935.963723868419</v>
      </c>
    </row>
    <row r="133" spans="2:8">
      <c r="B133" s="154">
        <v>73</v>
      </c>
      <c r="C133" s="155" t="s">
        <v>301</v>
      </c>
      <c r="D133" s="154">
        <v>0.103382851949733</v>
      </c>
      <c r="E133" s="146">
        <f t="shared" si="20"/>
        <v>0.28049824936308004</v>
      </c>
      <c r="F133" s="146">
        <f t="shared" si="21"/>
        <v>28.049824936308003</v>
      </c>
      <c r="G133" s="146">
        <f t="shared" si="24"/>
        <v>286.9497090984309</v>
      </c>
      <c r="H133" s="146">
        <f t="shared" si="25"/>
        <v>18382.733270258814</v>
      </c>
    </row>
    <row r="134" spans="2:8">
      <c r="B134" s="154">
        <v>74</v>
      </c>
      <c r="C134" s="155" t="s">
        <v>302</v>
      </c>
      <c r="D134" s="154">
        <v>0.110802997201042</v>
      </c>
      <c r="E134" s="146">
        <f t="shared" si="20"/>
        <v>0.28734745763906661</v>
      </c>
      <c r="F134" s="146">
        <f t="shared" si="21"/>
        <v>28.734745763906659</v>
      </c>
      <c r="G134" s="146">
        <f t="shared" si="24"/>
        <v>293.95644916476516</v>
      </c>
      <c r="H134" s="146">
        <f t="shared" si="25"/>
        <v>18831.602983833869</v>
      </c>
    </row>
    <row r="135" spans="2:8">
      <c r="B135" s="154">
        <v>75</v>
      </c>
      <c r="C135" s="155" t="s">
        <v>303</v>
      </c>
      <c r="D135" s="154">
        <v>0.11875571196956</v>
      </c>
      <c r="E135" s="146">
        <f t="shared" si="20"/>
        <v>0.29422683888526552</v>
      </c>
      <c r="F135" s="146">
        <f t="shared" si="21"/>
        <v>29.422683888526553</v>
      </c>
      <c r="G135" s="146">
        <f t="shared" si="24"/>
        <v>300.99405617962663</v>
      </c>
      <c r="H135" s="146">
        <f t="shared" si="25"/>
        <v>19282.450113184761</v>
      </c>
    </row>
    <row r="136" spans="2:8">
      <c r="B136" s="154">
        <v>76</v>
      </c>
      <c r="C136" s="155" t="s">
        <v>304</v>
      </c>
      <c r="D136" s="154">
        <v>0.12727922061357799</v>
      </c>
      <c r="E136" s="146">
        <f t="shared" si="20"/>
        <v>0.30113461331850705</v>
      </c>
      <c r="F136" s="146">
        <f t="shared" si="21"/>
        <v>30.113461331850704</v>
      </c>
      <c r="G136" s="146">
        <f t="shared" si="24"/>
        <v>308.06070942483274</v>
      </c>
      <c r="H136" s="146">
        <f t="shared" si="25"/>
        <v>19735.158018441678</v>
      </c>
    </row>
    <row r="137" spans="2:8">
      <c r="B137" s="154">
        <v>77</v>
      </c>
      <c r="C137" s="155" t="s">
        <v>305</v>
      </c>
      <c r="D137" s="154">
        <v>0.136414490985935</v>
      </c>
      <c r="E137" s="146">
        <f t="shared" si="20"/>
        <v>0.30806909178138026</v>
      </c>
      <c r="F137" s="146">
        <f t="shared" si="21"/>
        <v>30.806909178138024</v>
      </c>
      <c r="G137" s="146">
        <f t="shared" si="24"/>
        <v>315.15468089235202</v>
      </c>
      <c r="H137" s="146">
        <f t="shared" si="25"/>
        <v>20189.615998984536</v>
      </c>
    </row>
    <row r="138" spans="2:8">
      <c r="B138" s="154">
        <v>78</v>
      </c>
      <c r="C138" s="155" t="s">
        <v>306</v>
      </c>
      <c r="D138" s="154">
        <v>0.14620543134412201</v>
      </c>
      <c r="E138" s="146">
        <f t="shared" si="20"/>
        <v>0.31502867291437137</v>
      </c>
      <c r="F138" s="146">
        <f t="shared" si="21"/>
        <v>31.502867291437138</v>
      </c>
      <c r="G138" s="146">
        <f t="shared" si="24"/>
        <v>322.27433239140191</v>
      </c>
      <c r="H138" s="146">
        <f t="shared" si="25"/>
        <v>20645.719108116242</v>
      </c>
    </row>
    <row r="139" spans="2:8">
      <c r="B139" s="154">
        <v>79</v>
      </c>
      <c r="C139" s="155" t="s">
        <v>307</v>
      </c>
      <c r="D139" s="154">
        <v>0.15669910139330201</v>
      </c>
      <c r="E139" s="146">
        <f t="shared" si="20"/>
        <v>0.3220118401756763</v>
      </c>
      <c r="F139" s="146">
        <f t="shared" si="21"/>
        <v>32.201184017567627</v>
      </c>
      <c r="G139" s="146">
        <f t="shared" si="24"/>
        <v>329.41811249971687</v>
      </c>
      <c r="H139" s="146">
        <f t="shared" si="25"/>
        <v>21103.367957753122</v>
      </c>
    </row>
    <row r="140" spans="2:8">
      <c r="B140" s="154">
        <v>80</v>
      </c>
      <c r="C140" s="155" t="s">
        <v>85</v>
      </c>
      <c r="D140" s="154">
        <v>0.16794593847662501</v>
      </c>
      <c r="E140" s="146">
        <f t="shared" si="20"/>
        <v>0.32901715875025289</v>
      </c>
      <c r="F140" s="146">
        <f t="shared" si="21"/>
        <v>32.901715875025289</v>
      </c>
      <c r="G140" s="146">
        <f t="shared" si="24"/>
        <v>336.58455340150869</v>
      </c>
      <c r="H140" s="146">
        <f t="shared" si="25"/>
        <v>21562.468515856574</v>
      </c>
    </row>
    <row r="141" spans="2:8">
      <c r="B141" s="154">
        <v>81</v>
      </c>
      <c r="C141" s="155" t="s">
        <v>308</v>
      </c>
      <c r="D141" s="154">
        <v>0.18</v>
      </c>
      <c r="E141" s="146">
        <f t="shared" si="20"/>
        <v>0.33604327238485526</v>
      </c>
      <c r="F141" s="146">
        <f t="shared" si="21"/>
        <v>33.604327238485524</v>
      </c>
      <c r="G141" s="146">
        <f t="shared" si="24"/>
        <v>343.77226764970692</v>
      </c>
      <c r="H141" s="146">
        <f t="shared" si="25"/>
        <v>22022.931899013874</v>
      </c>
    </row>
    <row r="142" spans="2:8">
      <c r="B142" s="154">
        <v>82</v>
      </c>
      <c r="C142" s="155" t="s">
        <v>309</v>
      </c>
      <c r="D142" s="154">
        <v>0.19291922325653199</v>
      </c>
      <c r="E142" s="146">
        <f t="shared" si="20"/>
        <v>0.34308890018127841</v>
      </c>
      <c r="F142" s="146">
        <f t="shared" si="21"/>
        <v>34.30889001812784</v>
      </c>
      <c r="G142" s="146">
        <f t="shared" si="24"/>
        <v>350.97994488544782</v>
      </c>
      <c r="H142" s="146">
        <f t="shared" si="25"/>
        <v>22484.674162280262</v>
      </c>
    </row>
    <row r="143" spans="2:8">
      <c r="B143" s="154">
        <v>83</v>
      </c>
      <c r="C143" s="155" t="s">
        <v>87</v>
      </c>
      <c r="D143" s="154">
        <v>0.206765703899466</v>
      </c>
      <c r="E143" s="146">
        <f t="shared" si="20"/>
        <v>0.35015283337582959</v>
      </c>
      <c r="F143" s="146">
        <f t="shared" si="21"/>
        <v>35.015283337582957</v>
      </c>
      <c r="G143" s="146">
        <f t="shared" si="24"/>
        <v>358.20634854347367</v>
      </c>
      <c r="H143" s="146">
        <f t="shared" si="25"/>
        <v>22947.616088118368</v>
      </c>
    </row>
    <row r="144" spans="2:8">
      <c r="B144" s="154">
        <v>84</v>
      </c>
      <c r="C144" s="155" t="s">
        <v>310</v>
      </c>
      <c r="D144" s="154">
        <v>0.22160599440208401</v>
      </c>
      <c r="E144" s="146">
        <f t="shared" ref="E144:E207" si="26">(LOG((D144+0.0075),2)+7)*0.07329248</f>
        <v>0.35723393212913623</v>
      </c>
      <c r="F144" s="146">
        <f t="shared" ref="F144:F207" si="27">E144*100</f>
        <v>35.723393212913621</v>
      </c>
      <c r="G144" s="146">
        <f t="shared" si="24"/>
        <v>365.45031256810637</v>
      </c>
      <c r="H144" s="146">
        <f t="shared" si="25"/>
        <v>23411.682976015072</v>
      </c>
    </row>
    <row r="145" spans="2:8">
      <c r="B145" s="154">
        <v>85</v>
      </c>
      <c r="C145" s="155" t="s">
        <v>311</v>
      </c>
      <c r="D145" s="154">
        <v>0.23751142393912</v>
      </c>
      <c r="E145" s="146">
        <f t="shared" si="26"/>
        <v>0.36433112234686271</v>
      </c>
      <c r="F145" s="146">
        <f t="shared" si="27"/>
        <v>36.43311223468627</v>
      </c>
      <c r="G145" s="146">
        <f t="shared" si="24"/>
        <v>372.71073816084055</v>
      </c>
      <c r="H145" s="146">
        <f t="shared" si="25"/>
        <v>23876.804434123995</v>
      </c>
    </row>
    <row r="146" spans="2:8">
      <c r="B146" s="154">
        <v>86</v>
      </c>
      <c r="C146" s="155" t="s">
        <v>312</v>
      </c>
      <c r="D146" s="154">
        <v>0.25455844122715698</v>
      </c>
      <c r="E146" s="146">
        <f t="shared" si="26"/>
        <v>0.37144339254863973</v>
      </c>
      <c r="F146" s="146">
        <f t="shared" si="27"/>
        <v>37.144339254863972</v>
      </c>
      <c r="G146" s="146">
        <f t="shared" si="24"/>
        <v>379.98659057725843</v>
      </c>
      <c r="H146" s="146">
        <f t="shared" si="25"/>
        <v>24342.914174067653</v>
      </c>
    </row>
    <row r="147" spans="2:8">
      <c r="B147" s="154">
        <v>87</v>
      </c>
      <c r="C147" s="155" t="s">
        <v>313</v>
      </c>
      <c r="D147" s="154">
        <v>0.272828981971871</v>
      </c>
      <c r="E147" s="146">
        <f t="shared" si="26"/>
        <v>0.37856979079961145</v>
      </c>
      <c r="F147" s="146">
        <f t="shared" si="27"/>
        <v>37.856979079961143</v>
      </c>
      <c r="G147" s="146">
        <f t="shared" ref="G147:G210" si="28">E147*1023</f>
        <v>387.27689598800254</v>
      </c>
      <c r="H147" s="146">
        <f t="shared" si="25"/>
        <v>24809.949809843336</v>
      </c>
    </row>
    <row r="148" spans="2:8">
      <c r="B148" s="154">
        <v>88</v>
      </c>
      <c r="C148" s="155" t="s">
        <v>314</v>
      </c>
      <c r="D148" s="154">
        <v>0.29241086268824401</v>
      </c>
      <c r="E148" s="146">
        <f t="shared" si="26"/>
        <v>0.38570942171637629</v>
      </c>
      <c r="F148" s="146">
        <f t="shared" si="27"/>
        <v>38.570942171637626</v>
      </c>
      <c r="G148" s="146">
        <f t="shared" si="28"/>
        <v>394.58073841585292</v>
      </c>
      <c r="H148" s="146">
        <f t="shared" si="25"/>
        <v>25277.852661604436</v>
      </c>
    </row>
    <row r="149" spans="2:8">
      <c r="B149" s="154">
        <v>89</v>
      </c>
      <c r="C149" s="155" t="s">
        <v>315</v>
      </c>
      <c r="D149" s="154">
        <v>0.31339820278660402</v>
      </c>
      <c r="E149" s="146">
        <f t="shared" si="26"/>
        <v>0.39286144355675834</v>
      </c>
      <c r="F149" s="146">
        <f t="shared" si="27"/>
        <v>39.28614435567583</v>
      </c>
      <c r="G149" s="146">
        <f t="shared" si="28"/>
        <v>401.8972567585638</v>
      </c>
      <c r="H149" s="146">
        <f t="shared" si="25"/>
        <v>25746.567564935714</v>
      </c>
    </row>
    <row r="150" spans="2:8">
      <c r="B150" s="154">
        <v>90</v>
      </c>
      <c r="C150" s="155" t="s">
        <v>316</v>
      </c>
      <c r="D150" s="154">
        <v>0.33589187695325001</v>
      </c>
      <c r="E150" s="146">
        <f t="shared" si="26"/>
        <v>0.40002506540079869</v>
      </c>
      <c r="F150" s="146">
        <f t="shared" si="27"/>
        <v>40.002506540079871</v>
      </c>
      <c r="G150" s="146">
        <f t="shared" si="28"/>
        <v>409.22564190501703</v>
      </c>
      <c r="H150" s="146">
        <f t="shared" si="25"/>
        <v>26216.042686106743</v>
      </c>
    </row>
    <row r="151" spans="2:8">
      <c r="B151" s="154">
        <v>91</v>
      </c>
      <c r="C151" s="155" t="s">
        <v>317</v>
      </c>
      <c r="D151" s="154">
        <v>0.36</v>
      </c>
      <c r="E151" s="146">
        <f t="shared" si="26"/>
        <v>0.40719954442853212</v>
      </c>
      <c r="F151" s="146">
        <f t="shared" si="27"/>
        <v>40.719954442853215</v>
      </c>
      <c r="G151" s="146">
        <f t="shared" si="28"/>
        <v>416.56513395038837</v>
      </c>
      <c r="H151" s="146">
        <f t="shared" si="25"/>
        <v>26686.229343668281</v>
      </c>
    </row>
    <row r="152" spans="2:8">
      <c r="B152" s="154">
        <v>92</v>
      </c>
      <c r="C152" s="155" t="s">
        <v>318</v>
      </c>
      <c r="D152" s="154">
        <v>0.38583844651306498</v>
      </c>
      <c r="E152" s="146">
        <f t="shared" si="26"/>
        <v>0.41438418329853616</v>
      </c>
      <c r="F152" s="146">
        <f t="shared" si="27"/>
        <v>41.438418329853619</v>
      </c>
      <c r="G152" s="146">
        <f t="shared" si="28"/>
        <v>423.9150195144025</v>
      </c>
      <c r="H152" s="146">
        <f t="shared" si="25"/>
        <v>27157.081836652866</v>
      </c>
    </row>
    <row r="153" spans="2:8">
      <c r="B153" s="154">
        <v>93</v>
      </c>
      <c r="C153" s="155" t="s">
        <v>319</v>
      </c>
      <c r="D153" s="154">
        <v>0.41353140779893199</v>
      </c>
      <c r="E153" s="146">
        <f t="shared" si="26"/>
        <v>0.42157832762987379</v>
      </c>
      <c r="F153" s="146">
        <f t="shared" si="27"/>
        <v>42.157832762987383</v>
      </c>
      <c r="G153" s="146">
        <f t="shared" si="28"/>
        <v>431.27462916536086</v>
      </c>
      <c r="H153" s="146">
        <f t="shared" si="25"/>
        <v>27628.557279551409</v>
      </c>
    </row>
    <row r="154" spans="2:8">
      <c r="B154" s="154">
        <v>94</v>
      </c>
      <c r="C154" s="155" t="s">
        <v>320</v>
      </c>
      <c r="D154" s="154">
        <v>0.44321198880416901</v>
      </c>
      <c r="E154" s="146">
        <f t="shared" si="26"/>
        <v>0.4287813635888611</v>
      </c>
      <c r="F154" s="146">
        <f t="shared" si="27"/>
        <v>42.87813635888611</v>
      </c>
      <c r="G154" s="146">
        <f t="shared" si="28"/>
        <v>438.64333495140488</v>
      </c>
      <c r="H154" s="146">
        <f t="shared" si="25"/>
        <v>28100.615444159601</v>
      </c>
    </row>
    <row r="155" spans="2:8">
      <c r="B155" s="154">
        <v>95</v>
      </c>
      <c r="C155" s="155" t="s">
        <v>321</v>
      </c>
      <c r="D155" s="154">
        <v>0.47502284787824101</v>
      </c>
      <c r="E155" s="146">
        <f t="shared" si="26"/>
        <v>0.43599271558109859</v>
      </c>
      <c r="F155" s="146">
        <f t="shared" si="27"/>
        <v>43.599271558109862</v>
      </c>
      <c r="G155" s="146">
        <f t="shared" si="28"/>
        <v>446.02054803946385</v>
      </c>
      <c r="H155" s="146">
        <f t="shared" si="25"/>
        <v>28573.218608322877</v>
      </c>
    </row>
    <row r="156" spans="2:8">
      <c r="B156" s="154">
        <v>96</v>
      </c>
      <c r="C156" s="155" t="s">
        <v>322</v>
      </c>
      <c r="D156" s="154">
        <v>0.50911688245431397</v>
      </c>
      <c r="E156" s="146">
        <f t="shared" si="26"/>
        <v>0.44321184404834452</v>
      </c>
      <c r="F156" s="146">
        <f t="shared" si="27"/>
        <v>44.321184404834455</v>
      </c>
      <c r="G156" s="146">
        <f t="shared" si="28"/>
        <v>453.40571646145645</v>
      </c>
      <c r="H156" s="146">
        <f t="shared" si="25"/>
        <v>29046.331411552306</v>
      </c>
    </row>
    <row r="157" spans="2:8">
      <c r="B157" s="154">
        <v>97</v>
      </c>
      <c r="C157" s="155" t="s">
        <v>323</v>
      </c>
      <c r="D157" s="154">
        <v>0.545657963943743</v>
      </c>
      <c r="E157" s="146">
        <f t="shared" si="26"/>
        <v>0.45043824336909921</v>
      </c>
      <c r="F157" s="146">
        <f t="shared" si="27"/>
        <v>45.043824336909921</v>
      </c>
      <c r="G157" s="146">
        <f t="shared" si="28"/>
        <v>460.7983229665885</v>
      </c>
      <c r="H157" s="146">
        <f t="shared" si="25"/>
        <v>29519.920717437286</v>
      </c>
    </row>
    <row r="158" spans="2:8">
      <c r="B158" s="154">
        <v>98</v>
      </c>
      <c r="C158" s="155" t="s">
        <v>324</v>
      </c>
      <c r="D158" s="154">
        <v>0.58482172537648902</v>
      </c>
      <c r="E158" s="146">
        <f t="shared" si="26"/>
        <v>0.45767143986118275</v>
      </c>
      <c r="F158" s="146">
        <f t="shared" si="27"/>
        <v>45.767143986118278</v>
      </c>
      <c r="G158" s="146">
        <f t="shared" si="28"/>
        <v>468.19788297798993</v>
      </c>
      <c r="H158" s="146">
        <f t="shared" si="25"/>
        <v>29993.955482742473</v>
      </c>
    </row>
    <row r="159" spans="2:8">
      <c r="B159" s="154">
        <v>99</v>
      </c>
      <c r="C159" s="155" t="s">
        <v>325</v>
      </c>
      <c r="D159" s="154">
        <v>0.62679640557320904</v>
      </c>
      <c r="E159" s="146">
        <f t="shared" si="26"/>
        <v>0.46491098988410245</v>
      </c>
      <c r="F159" s="146">
        <f t="shared" si="27"/>
        <v>46.491098988410243</v>
      </c>
      <c r="G159" s="146">
        <f t="shared" si="28"/>
        <v>475.6039426514368</v>
      </c>
      <c r="H159" s="146">
        <f t="shared" si="25"/>
        <v>30468.406633044538</v>
      </c>
    </row>
    <row r="160" spans="2:8">
      <c r="B160" s="154">
        <v>100</v>
      </c>
      <c r="C160" s="155" t="s">
        <v>326</v>
      </c>
      <c r="D160" s="154">
        <v>0.67178375390650102</v>
      </c>
      <c r="E160" s="146">
        <f t="shared" si="26"/>
        <v>0.47215647803862387</v>
      </c>
      <c r="F160" s="146">
        <f t="shared" si="27"/>
        <v>47.215647803862389</v>
      </c>
      <c r="G160" s="146">
        <f t="shared" si="28"/>
        <v>483.0160770335122</v>
      </c>
      <c r="H160" s="146">
        <f t="shared" ref="H160:H223" si="29">E160*2^16</f>
        <v>30943.246944739254</v>
      </c>
    </row>
    <row r="161" spans="2:8">
      <c r="B161" s="154">
        <v>101</v>
      </c>
      <c r="C161" s="155" t="s">
        <v>327</v>
      </c>
      <c r="D161" s="154">
        <v>0.72</v>
      </c>
      <c r="E161" s="146">
        <f t="shared" si="26"/>
        <v>0.47940751546065824</v>
      </c>
      <c r="F161" s="146">
        <f t="shared" si="27"/>
        <v>47.940751546065826</v>
      </c>
      <c r="G161" s="146">
        <f t="shared" si="28"/>
        <v>490.43388831625339</v>
      </c>
      <c r="H161" s="146">
        <f t="shared" si="29"/>
        <v>31418.450933229698</v>
      </c>
    </row>
    <row r="162" spans="2:8">
      <c r="B162" s="154">
        <v>102</v>
      </c>
      <c r="C162" s="155" t="s">
        <v>328</v>
      </c>
      <c r="D162" s="154">
        <v>0.77167689302613096</v>
      </c>
      <c r="E162" s="146">
        <f t="shared" si="26"/>
        <v>0.48666373820634307</v>
      </c>
      <c r="F162" s="146">
        <f t="shared" si="27"/>
        <v>48.666373820634306</v>
      </c>
      <c r="G162" s="146">
        <f t="shared" si="28"/>
        <v>497.85700418508895</v>
      </c>
      <c r="H162" s="146">
        <f t="shared" si="29"/>
        <v>31893.994747090899</v>
      </c>
    </row>
    <row r="163" spans="2:8">
      <c r="B163" s="154">
        <v>103</v>
      </c>
      <c r="C163" s="155" t="s">
        <v>329</v>
      </c>
      <c r="D163" s="154">
        <v>0.82706281559786499</v>
      </c>
      <c r="E163" s="146">
        <f t="shared" si="26"/>
        <v>0.49392480572503122</v>
      </c>
      <c r="F163" s="146">
        <f t="shared" si="27"/>
        <v>49.392480572503125</v>
      </c>
      <c r="G163" s="146">
        <f t="shared" si="28"/>
        <v>505.28507625670693</v>
      </c>
      <c r="H163" s="146">
        <f t="shared" si="29"/>
        <v>32369.856067995646</v>
      </c>
    </row>
    <row r="164" spans="2:8">
      <c r="B164" s="154">
        <v>104</v>
      </c>
      <c r="C164" s="155" t="s">
        <v>330</v>
      </c>
      <c r="D164" s="154">
        <v>0.88642397760833902</v>
      </c>
      <c r="E164" s="146">
        <f t="shared" si="26"/>
        <v>0.50119039941678312</v>
      </c>
      <c r="F164" s="146">
        <f t="shared" si="27"/>
        <v>50.119039941678309</v>
      </c>
      <c r="G164" s="146">
        <f t="shared" si="28"/>
        <v>512.71777860336908</v>
      </c>
      <c r="H164" s="146">
        <f t="shared" si="29"/>
        <v>32846.014016178298</v>
      </c>
    </row>
    <row r="165" spans="2:8">
      <c r="B165" s="154">
        <v>105</v>
      </c>
      <c r="C165" s="155" t="s">
        <v>331</v>
      </c>
      <c r="D165" s="154">
        <v>0.95004569575648301</v>
      </c>
      <c r="E165" s="146">
        <f t="shared" si="26"/>
        <v>0.5084602212708933</v>
      </c>
      <c r="F165" s="146">
        <f t="shared" si="27"/>
        <v>50.846022127089327</v>
      </c>
      <c r="G165" s="146">
        <f t="shared" si="28"/>
        <v>520.15480636012387</v>
      </c>
      <c r="H165" s="146">
        <f t="shared" si="29"/>
        <v>33322.449061209263</v>
      </c>
    </row>
    <row r="166" spans="2:8">
      <c r="B166" s="154">
        <v>106</v>
      </c>
      <c r="C166" s="155" t="s">
        <v>332</v>
      </c>
      <c r="D166" s="154">
        <v>1.0182337649086199</v>
      </c>
      <c r="E166" s="146">
        <f t="shared" si="26"/>
        <v>0.51573399258194585</v>
      </c>
      <c r="F166" s="146">
        <f t="shared" si="27"/>
        <v>51.573399258194584</v>
      </c>
      <c r="G166" s="146">
        <f t="shared" si="28"/>
        <v>527.59587441133056</v>
      </c>
      <c r="H166" s="146">
        <f t="shared" si="29"/>
        <v>33799.142937850404</v>
      </c>
    </row>
    <row r="167" spans="2:8">
      <c r="B167" s="154">
        <v>107</v>
      </c>
      <c r="C167" s="155" t="s">
        <v>333</v>
      </c>
      <c r="D167" s="154">
        <v>1.09131592788748</v>
      </c>
      <c r="E167" s="146">
        <f t="shared" si="26"/>
        <v>0.52301145273990557</v>
      </c>
      <c r="F167" s="146">
        <f t="shared" si="27"/>
        <v>52.301145273990556</v>
      </c>
      <c r="G167" s="146">
        <f t="shared" si="28"/>
        <v>535.04071615292344</v>
      </c>
      <c r="H167" s="146">
        <f t="shared" si="29"/>
        <v>34276.078566762451</v>
      </c>
    </row>
    <row r="168" spans="2:8">
      <c r="B168" s="154">
        <v>108</v>
      </c>
      <c r="C168" s="155" t="s">
        <v>334</v>
      </c>
      <c r="D168" s="154">
        <v>1.16964345075297</v>
      </c>
      <c r="E168" s="146">
        <f t="shared" si="26"/>
        <v>0.5302923580907597</v>
      </c>
      <c r="F168" s="146">
        <f t="shared" si="27"/>
        <v>53.029235809075971</v>
      </c>
      <c r="G168" s="146">
        <f t="shared" si="28"/>
        <v>542.48908232684721</v>
      </c>
      <c r="H168" s="146">
        <f t="shared" si="29"/>
        <v>34753.239979836027</v>
      </c>
    </row>
    <row r="169" spans="2:8">
      <c r="B169" s="154">
        <v>109</v>
      </c>
      <c r="C169" s="155" t="s">
        <v>335</v>
      </c>
      <c r="D169" s="154">
        <v>1.2535928111464101</v>
      </c>
      <c r="E169" s="146">
        <f t="shared" si="26"/>
        <v>0.53757648086430987</v>
      </c>
      <c r="F169" s="146">
        <f t="shared" si="27"/>
        <v>53.75764808643099</v>
      </c>
      <c r="G169" s="146">
        <f t="shared" si="28"/>
        <v>549.94073992418896</v>
      </c>
      <c r="H169" s="146">
        <f t="shared" si="29"/>
        <v>35230.612249923412</v>
      </c>
    </row>
    <row r="170" spans="2:8">
      <c r="B170" s="154">
        <v>110</v>
      </c>
      <c r="C170" s="155" t="s">
        <v>336</v>
      </c>
      <c r="D170" s="154">
        <v>1.3435675078130001</v>
      </c>
      <c r="E170" s="146">
        <f t="shared" si="26"/>
        <v>0.54486360816574642</v>
      </c>
      <c r="F170" s="146">
        <f t="shared" si="27"/>
        <v>54.486360816574638</v>
      </c>
      <c r="G170" s="146">
        <f t="shared" si="28"/>
        <v>557.39547115355856</v>
      </c>
      <c r="H170" s="146">
        <f t="shared" si="29"/>
        <v>35708.181424750357</v>
      </c>
    </row>
    <row r="171" spans="2:8">
      <c r="B171" s="154">
        <v>111</v>
      </c>
      <c r="C171" s="155" t="s">
        <v>337</v>
      </c>
      <c r="D171" s="154">
        <v>1.44</v>
      </c>
      <c r="E171" s="146">
        <f t="shared" si="26"/>
        <v>0.55215354102774516</v>
      </c>
      <c r="F171" s="146">
        <f t="shared" si="27"/>
        <v>55.215354102774519</v>
      </c>
      <c r="G171" s="146">
        <f t="shared" si="28"/>
        <v>564.85307247138326</v>
      </c>
      <c r="H171" s="146">
        <f t="shared" si="29"/>
        <v>36185.934464794307</v>
      </c>
    </row>
    <row r="172" spans="2:8">
      <c r="B172" s="154">
        <v>112</v>
      </c>
      <c r="C172" s="155" t="s">
        <v>338</v>
      </c>
      <c r="D172" s="154">
        <v>1.5433537860522599</v>
      </c>
      <c r="E172" s="146">
        <f t="shared" si="26"/>
        <v>0.55944609351991603</v>
      </c>
      <c r="F172" s="146">
        <f t="shared" si="27"/>
        <v>55.944609351991602</v>
      </c>
      <c r="G172" s="146">
        <f t="shared" si="28"/>
        <v>572.31335367087411</v>
      </c>
      <c r="H172" s="146">
        <f t="shared" si="29"/>
        <v>36663.859184921217</v>
      </c>
    </row>
    <row r="173" spans="2:8">
      <c r="B173" s="154">
        <v>113</v>
      </c>
      <c r="C173" s="155" t="s">
        <v>339</v>
      </c>
      <c r="D173" s="154">
        <v>1.65412563119573</v>
      </c>
      <c r="E173" s="146">
        <f t="shared" si="26"/>
        <v>0.5667410919125313</v>
      </c>
      <c r="F173" s="146">
        <f t="shared" si="27"/>
        <v>56.67410919125313</v>
      </c>
      <c r="G173" s="146">
        <f t="shared" si="28"/>
        <v>579.77613702651956</v>
      </c>
      <c r="H173" s="146">
        <f t="shared" si="29"/>
        <v>37141.944199579651</v>
      </c>
    </row>
    <row r="174" spans="2:8">
      <c r="B174" s="154">
        <v>114</v>
      </c>
      <c r="C174" s="155" t="s">
        <v>340</v>
      </c>
      <c r="D174" s="154">
        <v>1.77284795521667</v>
      </c>
      <c r="E174" s="146">
        <f t="shared" si="26"/>
        <v>0.57403837389157031</v>
      </c>
      <c r="F174" s="146">
        <f t="shared" si="27"/>
        <v>57.403837389157033</v>
      </c>
      <c r="G174" s="146">
        <f t="shared" si="28"/>
        <v>587.24125649107646</v>
      </c>
      <c r="H174" s="146">
        <f t="shared" si="29"/>
        <v>37620.178871357952</v>
      </c>
    </row>
    <row r="175" spans="2:8">
      <c r="B175" s="154">
        <v>115</v>
      </c>
      <c r="C175" s="155" t="s">
        <v>341</v>
      </c>
      <c r="D175" s="154">
        <v>1.90009139151296</v>
      </c>
      <c r="E175" s="146">
        <f t="shared" si="26"/>
        <v>0.58133778782224799</v>
      </c>
      <c r="F175" s="146">
        <f t="shared" si="27"/>
        <v>58.133778782224802</v>
      </c>
      <c r="G175" s="146">
        <f t="shared" si="28"/>
        <v>594.7085569421597</v>
      </c>
      <c r="H175" s="146">
        <f t="shared" si="29"/>
        <v>38098.553262718844</v>
      </c>
    </row>
    <row r="176" spans="2:8">
      <c r="B176" s="154">
        <v>116</v>
      </c>
      <c r="C176" s="155" t="s">
        <v>342</v>
      </c>
      <c r="D176" s="154">
        <v>2.0364675298172501</v>
      </c>
      <c r="E176" s="146">
        <f t="shared" si="26"/>
        <v>0.58863919205828097</v>
      </c>
      <c r="F176" s="146">
        <f t="shared" si="27"/>
        <v>58.863919205828097</v>
      </c>
      <c r="G176" s="146">
        <f t="shared" si="28"/>
        <v>602.17789347562143</v>
      </c>
      <c r="H176" s="146">
        <f t="shared" si="29"/>
        <v>38577.058090731502</v>
      </c>
    </row>
    <row r="177" spans="2:8">
      <c r="B177" s="154">
        <v>117</v>
      </c>
      <c r="C177" s="155" t="s">
        <v>343</v>
      </c>
      <c r="D177" s="154">
        <v>2.1826318557749702</v>
      </c>
      <c r="E177" s="146">
        <f t="shared" si="26"/>
        <v>0.59594245429429837</v>
      </c>
      <c r="F177" s="146">
        <f t="shared" si="27"/>
        <v>59.59424542942984</v>
      </c>
      <c r="G177" s="146">
        <f t="shared" si="28"/>
        <v>609.64913074306719</v>
      </c>
      <c r="H177" s="146">
        <f t="shared" si="29"/>
        <v>39055.684684631138</v>
      </c>
    </row>
    <row r="178" spans="2:8">
      <c r="B178" s="154">
        <v>118</v>
      </c>
      <c r="C178" s="155" t="s">
        <v>344</v>
      </c>
      <c r="D178" s="154">
        <v>2.3392869015059499</v>
      </c>
      <c r="E178" s="146">
        <f t="shared" si="26"/>
        <v>0.60324745095888965</v>
      </c>
      <c r="F178" s="146">
        <f t="shared" si="27"/>
        <v>60.324745095888964</v>
      </c>
      <c r="G178" s="146">
        <f t="shared" si="28"/>
        <v>617.12214233094414</v>
      </c>
      <c r="H178" s="146">
        <f t="shared" si="29"/>
        <v>39534.424946041792</v>
      </c>
    </row>
    <row r="179" spans="2:8">
      <c r="B179" s="154">
        <v>119</v>
      </c>
      <c r="C179" s="155" t="s">
        <v>345</v>
      </c>
      <c r="D179" s="154">
        <v>2.5071856222928299</v>
      </c>
      <c r="E179" s="146">
        <f t="shared" si="26"/>
        <v>0.61055406664592593</v>
      </c>
      <c r="F179" s="146">
        <f t="shared" si="27"/>
        <v>61.055406664592596</v>
      </c>
      <c r="G179" s="146">
        <f t="shared" si="28"/>
        <v>624.59681017878222</v>
      </c>
      <c r="H179" s="146">
        <f t="shared" si="29"/>
        <v>40013.271311707402</v>
      </c>
    </row>
    <row r="180" spans="2:8">
      <c r="B180" s="154">
        <v>120</v>
      </c>
      <c r="C180" s="155" t="s">
        <v>346</v>
      </c>
      <c r="D180" s="154">
        <v>2.6871350156260001</v>
      </c>
      <c r="E180" s="146">
        <f t="shared" si="26"/>
        <v>0.6178621935818841</v>
      </c>
      <c r="F180" s="146">
        <f t="shared" si="27"/>
        <v>61.786219358188411</v>
      </c>
      <c r="G180" s="146">
        <f t="shared" si="28"/>
        <v>632.07302403426741</v>
      </c>
      <c r="H180" s="146">
        <f t="shared" si="29"/>
        <v>40492.216718582356</v>
      </c>
    </row>
    <row r="181" spans="2:8">
      <c r="B181" s="154">
        <v>121</v>
      </c>
      <c r="C181" s="155" t="s">
        <v>347</v>
      </c>
      <c r="D181" s="154">
        <v>2.88</v>
      </c>
      <c r="E181" s="146">
        <f t="shared" si="26"/>
        <v>0.62517173112703539</v>
      </c>
      <c r="F181" s="146">
        <f t="shared" si="27"/>
        <v>62.517173112703539</v>
      </c>
      <c r="G181" s="146">
        <f t="shared" si="28"/>
        <v>639.55068094295723</v>
      </c>
      <c r="H181" s="146">
        <f t="shared" si="29"/>
        <v>40971.254571141391</v>
      </c>
    </row>
    <row r="182" spans="2:8">
      <c r="B182" s="154">
        <v>122</v>
      </c>
      <c r="C182" s="155" t="s">
        <v>348</v>
      </c>
      <c r="D182" s="154">
        <v>3.0867075721045198</v>
      </c>
      <c r="E182" s="146">
        <f t="shared" si="26"/>
        <v>0.63248258530845591</v>
      </c>
      <c r="F182" s="146">
        <f t="shared" si="27"/>
        <v>63.24825853084559</v>
      </c>
      <c r="G182" s="146">
        <f t="shared" si="28"/>
        <v>647.02968477055038</v>
      </c>
      <c r="H182" s="146">
        <f t="shared" si="29"/>
        <v>41450.378710774967</v>
      </c>
    </row>
    <row r="183" spans="2:8">
      <c r="B183" s="154">
        <v>123</v>
      </c>
      <c r="C183" s="155" t="s">
        <v>349</v>
      </c>
      <c r="D183" s="154">
        <v>3.3082512623914599</v>
      </c>
      <c r="E183" s="146">
        <f t="shared" si="26"/>
        <v>0.63979466838293442</v>
      </c>
      <c r="F183" s="146">
        <f t="shared" si="27"/>
        <v>63.97946683829344</v>
      </c>
      <c r="G183" s="146">
        <f t="shared" si="28"/>
        <v>654.50994575574191</v>
      </c>
      <c r="H183" s="146">
        <f t="shared" si="29"/>
        <v>41929.58338714399</v>
      </c>
    </row>
    <row r="184" spans="2:8">
      <c r="B184" s="154">
        <v>124</v>
      </c>
      <c r="C184" s="155" t="s">
        <v>350</v>
      </c>
      <c r="D184" s="154">
        <v>3.5456959104333499</v>
      </c>
      <c r="E184" s="146">
        <f t="shared" si="26"/>
        <v>0.6471078984279458</v>
      </c>
      <c r="F184" s="146">
        <f t="shared" si="27"/>
        <v>64.710789842794583</v>
      </c>
      <c r="G184" s="146">
        <f t="shared" si="28"/>
        <v>661.99138009178853</v>
      </c>
      <c r="H184" s="146">
        <f t="shared" si="29"/>
        <v>42408.863231373856</v>
      </c>
    </row>
    <row r="185" spans="2:8">
      <c r="B185" s="154">
        <v>125</v>
      </c>
      <c r="C185" s="155" t="s">
        <v>351</v>
      </c>
      <c r="D185" s="154">
        <v>3.8001827830259298</v>
      </c>
      <c r="E185" s="146">
        <f t="shared" si="26"/>
        <v>0.6544221989589708</v>
      </c>
      <c r="F185" s="146">
        <f t="shared" si="27"/>
        <v>65.442219895897082</v>
      </c>
      <c r="G185" s="146">
        <f t="shared" si="28"/>
        <v>669.47390953502713</v>
      </c>
      <c r="H185" s="146">
        <f t="shared" si="29"/>
        <v>42888.21323097511</v>
      </c>
    </row>
    <row r="186" spans="2:8">
      <c r="B186" s="154">
        <v>126</v>
      </c>
      <c r="C186" s="155" t="s">
        <v>352</v>
      </c>
      <c r="D186" s="154">
        <v>4.07293505963451</v>
      </c>
      <c r="E186" s="146">
        <f t="shared" si="26"/>
        <v>0.66173749857152553</v>
      </c>
      <c r="F186" s="146">
        <f t="shared" si="27"/>
        <v>66.173749857152558</v>
      </c>
      <c r="G186" s="146">
        <f t="shared" si="28"/>
        <v>676.95746103867066</v>
      </c>
      <c r="H186" s="146">
        <f t="shared" si="29"/>
        <v>43367.628706383497</v>
      </c>
    </row>
    <row r="187" spans="2:8">
      <c r="B187" s="154">
        <v>127</v>
      </c>
      <c r="C187" s="155" t="s">
        <v>353</v>
      </c>
      <c r="D187" s="154">
        <v>4.3652637115499404</v>
      </c>
      <c r="E187" s="146">
        <f t="shared" si="26"/>
        <v>0.66905373060636864</v>
      </c>
      <c r="F187" s="146">
        <f t="shared" si="27"/>
        <v>66.905373060636862</v>
      </c>
      <c r="G187" s="146">
        <f t="shared" si="28"/>
        <v>684.4419664103151</v>
      </c>
      <c r="H187" s="146">
        <f t="shared" si="29"/>
        <v>43847.105289018975</v>
      </c>
    </row>
    <row r="188" spans="2:8">
      <c r="B188" s="154">
        <v>128</v>
      </c>
      <c r="C188" s="155" t="s">
        <v>354</v>
      </c>
      <c r="D188" s="154">
        <v>4.6785738030119104</v>
      </c>
      <c r="E188" s="146">
        <f t="shared" si="26"/>
        <v>0.67637083283643307</v>
      </c>
      <c r="F188" s="146">
        <f t="shared" si="27"/>
        <v>67.637083283643307</v>
      </c>
      <c r="G188" s="146">
        <f t="shared" si="28"/>
        <v>691.92736199167098</v>
      </c>
      <c r="H188" s="146">
        <f t="shared" si="29"/>
        <v>44326.638900768477</v>
      </c>
    </row>
    <row r="189" spans="2:8">
      <c r="B189" s="154">
        <v>129</v>
      </c>
      <c r="C189" s="155" t="s">
        <v>355</v>
      </c>
      <c r="D189" s="154">
        <v>5.0143712445856696</v>
      </c>
      <c r="E189" s="146">
        <f t="shared" si="26"/>
        <v>0.68368874717411643</v>
      </c>
      <c r="F189" s="146">
        <f t="shared" si="27"/>
        <v>68.368874717411643</v>
      </c>
      <c r="G189" s="146">
        <f t="shared" si="28"/>
        <v>699.41358835912115</v>
      </c>
      <c r="H189" s="146">
        <f t="shared" si="29"/>
        <v>44806.225734802894</v>
      </c>
    </row>
    <row r="190" spans="2:8">
      <c r="B190" s="154">
        <v>130</v>
      </c>
      <c r="C190" s="155" t="s">
        <v>356</v>
      </c>
      <c r="D190" s="154">
        <v>5.37427003125201</v>
      </c>
      <c r="E190" s="146">
        <f t="shared" si="26"/>
        <v>0.69100741939764676</v>
      </c>
      <c r="F190" s="146">
        <f t="shared" si="27"/>
        <v>69.100741939764674</v>
      </c>
      <c r="G190" s="146">
        <f t="shared" si="28"/>
        <v>706.90059004379259</v>
      </c>
      <c r="H190" s="146">
        <f t="shared" si="29"/>
        <v>45285.862237644178</v>
      </c>
    </row>
    <row r="191" spans="2:8">
      <c r="B191" s="154">
        <v>131</v>
      </c>
      <c r="C191" s="155" t="s">
        <v>357</v>
      </c>
      <c r="D191" s="154">
        <v>5.76</v>
      </c>
      <c r="E191" s="146">
        <f t="shared" si="26"/>
        <v>0.69832679889531146</v>
      </c>
      <c r="F191" s="146">
        <f t="shared" si="27"/>
        <v>69.83267988953115</v>
      </c>
      <c r="G191" s="146">
        <f t="shared" si="28"/>
        <v>714.38831526990361</v>
      </c>
      <c r="H191" s="146">
        <f t="shared" si="29"/>
        <v>45765.545092403132</v>
      </c>
    </row>
    <row r="192" spans="2:8">
      <c r="B192" s="154">
        <v>132</v>
      </c>
      <c r="C192" s="155" t="s">
        <v>358</v>
      </c>
      <c r="D192" s="154">
        <v>6.1734151442090397</v>
      </c>
      <c r="E192" s="146">
        <f t="shared" si="26"/>
        <v>0.70564683842641407</v>
      </c>
      <c r="F192" s="146">
        <f t="shared" si="27"/>
        <v>70.564683842641401</v>
      </c>
      <c r="G192" s="146">
        <f t="shared" si="28"/>
        <v>721.87671571022156</v>
      </c>
      <c r="H192" s="146">
        <f t="shared" si="29"/>
        <v>46245.271203113472</v>
      </c>
    </row>
    <row r="193" spans="2:8">
      <c r="B193" s="154">
        <v>133</v>
      </c>
      <c r="C193" s="155" t="s">
        <v>359</v>
      </c>
      <c r="D193" s="154">
        <v>6.6165025247829199</v>
      </c>
      <c r="E193" s="146">
        <f t="shared" si="26"/>
        <v>0.71296749389789016</v>
      </c>
      <c r="F193" s="146">
        <f t="shared" si="27"/>
        <v>71.296749389789014</v>
      </c>
      <c r="G193" s="146">
        <f t="shared" si="28"/>
        <v>729.36574625754167</v>
      </c>
      <c r="H193" s="146">
        <f t="shared" si="29"/>
        <v>46725.037680092129</v>
      </c>
    </row>
    <row r="194" spans="2:8">
      <c r="B194" s="154">
        <v>134</v>
      </c>
      <c r="C194" s="155" t="s">
        <v>360</v>
      </c>
      <c r="D194" s="154">
        <v>7.0913918208667104</v>
      </c>
      <c r="E194" s="146">
        <f t="shared" si="26"/>
        <v>0.72028872415557543</v>
      </c>
      <c r="F194" s="146">
        <f t="shared" si="27"/>
        <v>72.028872415557544</v>
      </c>
      <c r="G194" s="146">
        <f t="shared" si="28"/>
        <v>736.85536481115366</v>
      </c>
      <c r="H194" s="146">
        <f t="shared" si="29"/>
        <v>47204.841826259792</v>
      </c>
    </row>
    <row r="195" spans="2:8">
      <c r="B195" s="154">
        <v>135</v>
      </c>
      <c r="C195" s="155" t="s">
        <v>361</v>
      </c>
      <c r="D195" s="154">
        <v>7.6003655660518703</v>
      </c>
      <c r="E195" s="146">
        <f t="shared" si="26"/>
        <v>0.7276104907891916</v>
      </c>
      <c r="F195" s="146">
        <f t="shared" si="27"/>
        <v>72.761049078919157</v>
      </c>
      <c r="G195" s="146">
        <f t="shared" si="28"/>
        <v>744.34553207734302</v>
      </c>
      <c r="H195" s="146">
        <f t="shared" si="29"/>
        <v>47684.681124360461</v>
      </c>
    </row>
    <row r="196" spans="2:8">
      <c r="B196" s="154">
        <v>136</v>
      </c>
      <c r="C196" s="155" t="s">
        <v>362</v>
      </c>
      <c r="D196" s="154">
        <v>8.1458701192690199</v>
      </c>
      <c r="E196" s="146">
        <f t="shared" si="26"/>
        <v>0.73493275795015411</v>
      </c>
      <c r="F196" s="146">
        <f t="shared" si="27"/>
        <v>73.493275795015407</v>
      </c>
      <c r="G196" s="146">
        <f t="shared" si="28"/>
        <v>751.83621138300771</v>
      </c>
      <c r="H196" s="146">
        <f t="shared" si="29"/>
        <v>48164.5532250213</v>
      </c>
    </row>
    <row r="197" spans="2:8">
      <c r="B197" s="154">
        <v>137</v>
      </c>
      <c r="C197" s="155" t="s">
        <v>363</v>
      </c>
      <c r="D197" s="154">
        <v>8.7305274230998897</v>
      </c>
      <c r="E197" s="146">
        <f t="shared" si="26"/>
        <v>0.74225549218138598</v>
      </c>
      <c r="F197" s="146">
        <f t="shared" si="27"/>
        <v>74.225549218138596</v>
      </c>
      <c r="G197" s="146">
        <f t="shared" si="28"/>
        <v>759.32736850155788</v>
      </c>
      <c r="H197" s="146">
        <f t="shared" si="29"/>
        <v>48644.455935599311</v>
      </c>
    </row>
    <row r="198" spans="2:8">
      <c r="B198" s="154">
        <v>138</v>
      </c>
      <c r="C198" s="155" t="s">
        <v>364</v>
      </c>
      <c r="D198" s="154">
        <v>9.3571476060238297</v>
      </c>
      <c r="E198" s="146">
        <f t="shared" si="26"/>
        <v>0.74957866225834768</v>
      </c>
      <c r="F198" s="146">
        <f t="shared" si="27"/>
        <v>74.957866225834763</v>
      </c>
      <c r="G198" s="146">
        <f t="shared" si="28"/>
        <v>766.81897149028964</v>
      </c>
      <c r="H198" s="146">
        <f t="shared" si="29"/>
        <v>49124.387209763074</v>
      </c>
    </row>
    <row r="199" spans="2:8">
      <c r="B199" s="154">
        <v>139</v>
      </c>
      <c r="C199" s="155" t="s">
        <v>365</v>
      </c>
      <c r="D199" s="154">
        <v>10.0287424891713</v>
      </c>
      <c r="E199" s="146">
        <f t="shared" si="26"/>
        <v>0.75690223904056297</v>
      </c>
      <c r="F199" s="146">
        <f t="shared" si="27"/>
        <v>75.690223904056296</v>
      </c>
      <c r="G199" s="146">
        <f t="shared" si="28"/>
        <v>774.31099053849596</v>
      </c>
      <c r="H199" s="146">
        <f t="shared" si="29"/>
        <v>49604.345137762335</v>
      </c>
    </row>
    <row r="200" spans="2:8">
      <c r="B200" s="154">
        <v>140</v>
      </c>
      <c r="C200" s="155" t="s">
        <v>366</v>
      </c>
      <c r="D200" s="154">
        <v>10.748540062504</v>
      </c>
      <c r="E200" s="146">
        <f t="shared" si="26"/>
        <v>0.76422619533295466</v>
      </c>
      <c r="F200" s="146">
        <f t="shared" si="27"/>
        <v>76.42261953329546</v>
      </c>
      <c r="G200" s="146">
        <f t="shared" si="28"/>
        <v>781.80339782561259</v>
      </c>
      <c r="H200" s="146">
        <f t="shared" si="29"/>
        <v>50084.327937340517</v>
      </c>
    </row>
    <row r="201" spans="2:8">
      <c r="B201" s="154">
        <v>141</v>
      </c>
      <c r="C201" s="155" t="s">
        <v>367</v>
      </c>
      <c r="D201" s="154">
        <v>11.52</v>
      </c>
      <c r="E201" s="146">
        <f t="shared" si="26"/>
        <v>0.77155050575634687</v>
      </c>
      <c r="F201" s="146">
        <f t="shared" si="27"/>
        <v>77.155050575634689</v>
      </c>
      <c r="G201" s="146">
        <f t="shared" si="28"/>
        <v>789.2961673887429</v>
      </c>
      <c r="H201" s="146">
        <f t="shared" si="29"/>
        <v>50564.333945247949</v>
      </c>
    </row>
    <row r="202" spans="2:8">
      <c r="B202" s="154">
        <v>142</v>
      </c>
      <c r="C202" s="155" t="s">
        <v>368</v>
      </c>
      <c r="D202" s="154">
        <v>12.346830288417999</v>
      </c>
      <c r="E202" s="146">
        <f t="shared" si="26"/>
        <v>0.77887514662654145</v>
      </c>
      <c r="F202" s="146">
        <f t="shared" si="27"/>
        <v>77.887514662654141</v>
      </c>
      <c r="G202" s="146">
        <f t="shared" si="28"/>
        <v>796.7892749989519</v>
      </c>
      <c r="H202" s="146">
        <f t="shared" si="29"/>
        <v>51044.36160931702</v>
      </c>
    </row>
    <row r="203" spans="2:8">
      <c r="B203" s="154">
        <v>143</v>
      </c>
      <c r="C203" s="155" t="s">
        <v>369</v>
      </c>
      <c r="D203" s="154">
        <v>13.233005049565801</v>
      </c>
      <c r="E203" s="146">
        <f t="shared" si="26"/>
        <v>0.78620009584140771</v>
      </c>
      <c r="F203" s="146">
        <f t="shared" si="27"/>
        <v>78.620009584140774</v>
      </c>
      <c r="G203" s="146">
        <f t="shared" si="28"/>
        <v>804.28269804576007</v>
      </c>
      <c r="H203" s="146">
        <f t="shared" si="29"/>
        <v>51524.409481062496</v>
      </c>
    </row>
    <row r="204" spans="2:8">
      <c r="B204" s="154">
        <v>144</v>
      </c>
      <c r="C204" s="155" t="s">
        <v>370</v>
      </c>
      <c r="D204" s="154">
        <v>14.182783641733399</v>
      </c>
      <c r="E204" s="146">
        <f t="shared" si="26"/>
        <v>0.79352533277544512</v>
      </c>
      <c r="F204" s="146">
        <f t="shared" si="27"/>
        <v>79.352533277544509</v>
      </c>
      <c r="G204" s="146">
        <f t="shared" si="28"/>
        <v>811.77641542928041</v>
      </c>
      <c r="H204" s="146">
        <f t="shared" si="29"/>
        <v>52004.476208771572</v>
      </c>
    </row>
    <row r="205" spans="2:8">
      <c r="B205" s="154">
        <v>145</v>
      </c>
      <c r="C205" s="155" t="s">
        <v>371</v>
      </c>
      <c r="D205" s="154">
        <v>15.2007311321037</v>
      </c>
      <c r="E205" s="146">
        <f t="shared" si="26"/>
        <v>0.80085083818135361</v>
      </c>
      <c r="F205" s="146">
        <f t="shared" si="27"/>
        <v>80.085083818135359</v>
      </c>
      <c r="G205" s="146">
        <f t="shared" si="28"/>
        <v>819.27040745952479</v>
      </c>
      <c r="H205" s="146">
        <f t="shared" si="29"/>
        <v>52484.56053105319</v>
      </c>
    </row>
    <row r="206" spans="2:8">
      <c r="B206" s="154">
        <v>146</v>
      </c>
      <c r="C206" s="155" t="s">
        <v>372</v>
      </c>
      <c r="D206" s="154">
        <v>16.291740238538001</v>
      </c>
      <c r="E206" s="146">
        <f t="shared" si="26"/>
        <v>0.80817659409812959</v>
      </c>
      <c r="F206" s="146">
        <f t="shared" si="27"/>
        <v>80.817659409812961</v>
      </c>
      <c r="G206" s="146">
        <f t="shared" si="28"/>
        <v>826.76465576238661</v>
      </c>
      <c r="H206" s="146">
        <f t="shared" si="29"/>
        <v>52964.661270815021</v>
      </c>
    </row>
    <row r="207" spans="2:8">
      <c r="B207" s="154">
        <v>147</v>
      </c>
      <c r="C207" s="155" t="s">
        <v>373</v>
      </c>
      <c r="D207" s="154">
        <v>17.461054846199701</v>
      </c>
      <c r="E207" s="146">
        <f t="shared" si="26"/>
        <v>0.8155025837652673</v>
      </c>
      <c r="F207" s="146">
        <f t="shared" si="27"/>
        <v>81.550258376526727</v>
      </c>
      <c r="G207" s="146">
        <f t="shared" si="28"/>
        <v>834.25914319186847</v>
      </c>
      <c r="H207" s="146">
        <f t="shared" si="29"/>
        <v>53444.777329640558</v>
      </c>
    </row>
    <row r="208" spans="2:8">
      <c r="B208" s="154">
        <v>148</v>
      </c>
      <c r="C208" s="155" t="s">
        <v>374</v>
      </c>
      <c r="D208" s="154">
        <v>18.714295212047599</v>
      </c>
      <c r="E208" s="146">
        <f t="shared" ref="E208:E234" si="30">(LOG((D208+0.0075),2)+7)*0.07329248</f>
        <v>0.82282879154266209</v>
      </c>
      <c r="F208" s="146">
        <f t="shared" ref="F208:F234" si="31">E208*100</f>
        <v>82.282879154266212</v>
      </c>
      <c r="G208" s="146">
        <f t="shared" si="28"/>
        <v>841.75385374814334</v>
      </c>
      <c r="H208" s="146">
        <f t="shared" si="29"/>
        <v>53924.907682539902</v>
      </c>
    </row>
    <row r="209" spans="2:8">
      <c r="B209" s="154">
        <v>149</v>
      </c>
      <c r="C209" s="155" t="s">
        <v>375</v>
      </c>
      <c r="D209" s="154">
        <v>20.0574849783426</v>
      </c>
      <c r="E209" s="146">
        <f t="shared" si="30"/>
        <v>0.83015520283583888</v>
      </c>
      <c r="F209" s="146">
        <f t="shared" si="31"/>
        <v>83.015520283583882</v>
      </c>
      <c r="G209" s="146">
        <f t="shared" si="28"/>
        <v>849.24877250106317</v>
      </c>
      <c r="H209" s="146">
        <f t="shared" si="29"/>
        <v>54405.051373049537</v>
      </c>
    </row>
    <row r="210" spans="2:8">
      <c r="B210" s="154">
        <v>150</v>
      </c>
      <c r="C210" s="155" t="s">
        <v>376</v>
      </c>
      <c r="D210" s="154">
        <v>21.497080125008001</v>
      </c>
      <c r="E210" s="146">
        <f t="shared" si="30"/>
        <v>0.83748180402615624</v>
      </c>
      <c r="F210" s="146">
        <f t="shared" si="31"/>
        <v>83.748180402615617</v>
      </c>
      <c r="G210" s="146">
        <f t="shared" si="28"/>
        <v>856.74388551875779</v>
      </c>
      <c r="H210" s="146">
        <f t="shared" si="29"/>
        <v>54885.207508658175</v>
      </c>
    </row>
    <row r="211" spans="2:8">
      <c r="B211" s="154">
        <v>151</v>
      </c>
      <c r="C211" s="155" t="s">
        <v>377</v>
      </c>
      <c r="D211" s="154">
        <v>23.04</v>
      </c>
      <c r="E211" s="146">
        <f t="shared" si="30"/>
        <v>0.84480858240565126</v>
      </c>
      <c r="F211" s="146">
        <f t="shared" si="31"/>
        <v>84.480858240565126</v>
      </c>
      <c r="G211" s="146">
        <f t="shared" ref="G211:G234" si="32">E211*1023</f>
        <v>864.23917980098122</v>
      </c>
      <c r="H211" s="146">
        <f t="shared" si="29"/>
        <v>55365.375256536761</v>
      </c>
    </row>
    <row r="212" spans="2:8">
      <c r="B212" s="154">
        <v>152</v>
      </c>
      <c r="C212" s="155" t="s">
        <v>378</v>
      </c>
      <c r="D212" s="154">
        <v>24.693660576836098</v>
      </c>
      <c r="E212" s="146">
        <f t="shared" si="30"/>
        <v>0.85213552611622623</v>
      </c>
      <c r="F212" s="146">
        <f t="shared" si="31"/>
        <v>85.213552611622617</v>
      </c>
      <c r="G212" s="146">
        <f t="shared" si="32"/>
        <v>871.73464321689949</v>
      </c>
      <c r="H212" s="146">
        <f t="shared" si="29"/>
        <v>55845.553839553002</v>
      </c>
    </row>
    <row r="213" spans="2:8">
      <c r="B213" s="154">
        <v>153</v>
      </c>
      <c r="C213" s="155" t="s">
        <v>379</v>
      </c>
      <c r="D213" s="154">
        <v>26.466010099131601</v>
      </c>
      <c r="E213" s="146">
        <f t="shared" si="30"/>
        <v>0.85946262409288599</v>
      </c>
      <c r="F213" s="146">
        <f t="shared" si="31"/>
        <v>85.946262409288593</v>
      </c>
      <c r="G213" s="146">
        <f t="shared" si="32"/>
        <v>879.23026444702236</v>
      </c>
      <c r="H213" s="146">
        <f t="shared" si="29"/>
        <v>56325.742532551376</v>
      </c>
    </row>
    <row r="214" spans="2:8">
      <c r="B214" s="154">
        <v>154</v>
      </c>
      <c r="C214" s="155" t="s">
        <v>380</v>
      </c>
      <c r="D214" s="154">
        <v>28.365567283466799</v>
      </c>
      <c r="E214" s="146">
        <f t="shared" si="30"/>
        <v>0.86678986601075247</v>
      </c>
      <c r="F214" s="146">
        <f t="shared" si="31"/>
        <v>86.678986601075252</v>
      </c>
      <c r="G214" s="146">
        <f t="shared" si="32"/>
        <v>886.72603292899976</v>
      </c>
      <c r="H214" s="146">
        <f t="shared" si="29"/>
        <v>56805.940658880674</v>
      </c>
    </row>
    <row r="215" spans="2:8">
      <c r="B215" s="154">
        <v>155</v>
      </c>
      <c r="C215" s="155" t="s">
        <v>381</v>
      </c>
      <c r="D215" s="154">
        <v>30.401462264207399</v>
      </c>
      <c r="E215" s="146">
        <f t="shared" si="30"/>
        <v>0.8741172422356156</v>
      </c>
      <c r="F215" s="146">
        <f t="shared" si="31"/>
        <v>87.411724223561563</v>
      </c>
      <c r="G215" s="146">
        <f t="shared" si="32"/>
        <v>894.2219388070348</v>
      </c>
      <c r="H215" s="146">
        <f t="shared" si="29"/>
        <v>57286.147587153304</v>
      </c>
    </row>
    <row r="216" spans="2:8">
      <c r="B216" s="154">
        <v>156</v>
      </c>
      <c r="C216" s="155" t="s">
        <v>382</v>
      </c>
      <c r="D216" s="154">
        <v>32.583480477076101</v>
      </c>
      <c r="E216" s="146">
        <f t="shared" si="30"/>
        <v>0.88144474377778015</v>
      </c>
      <c r="F216" s="146">
        <f t="shared" si="31"/>
        <v>88.14447437777801</v>
      </c>
      <c r="G216" s="146">
        <f t="shared" si="32"/>
        <v>901.71797288466905</v>
      </c>
      <c r="H216" s="146">
        <f t="shared" si="29"/>
        <v>57766.3627282206</v>
      </c>
    </row>
    <row r="217" spans="2:8">
      <c r="B217" s="154">
        <v>157</v>
      </c>
      <c r="C217" s="155" t="s">
        <v>383</v>
      </c>
      <c r="D217" s="154">
        <v>34.922109692399502</v>
      </c>
      <c r="E217" s="146">
        <f t="shared" si="30"/>
        <v>0.88877236224898737</v>
      </c>
      <c r="F217" s="146">
        <f t="shared" si="31"/>
        <v>88.877236224898738</v>
      </c>
      <c r="G217" s="146">
        <f t="shared" si="32"/>
        <v>909.21412658071404</v>
      </c>
      <c r="H217" s="146">
        <f t="shared" si="29"/>
        <v>58246.585532349636</v>
      </c>
    </row>
    <row r="218" spans="2:8">
      <c r="B218" s="154">
        <v>158</v>
      </c>
      <c r="C218" s="155" t="s">
        <v>384</v>
      </c>
      <c r="D218" s="154">
        <v>37.428590424095297</v>
      </c>
      <c r="E218" s="146">
        <f t="shared" si="30"/>
        <v>0.89610008982221689</v>
      </c>
      <c r="F218" s="146">
        <f t="shared" si="31"/>
        <v>89.610008982221686</v>
      </c>
      <c r="G218" s="146">
        <f t="shared" si="32"/>
        <v>916.7103918881279</v>
      </c>
      <c r="H218" s="146">
        <f t="shared" si="29"/>
        <v>58726.815486588806</v>
      </c>
    </row>
    <row r="219" spans="2:8">
      <c r="B219" s="154">
        <v>159</v>
      </c>
      <c r="C219" s="155" t="s">
        <v>385</v>
      </c>
      <c r="D219" s="154">
        <v>40.1149699566853</v>
      </c>
      <c r="E219" s="146">
        <f t="shared" si="30"/>
        <v>0.90342791919416299</v>
      </c>
      <c r="F219" s="146">
        <f t="shared" si="31"/>
        <v>90.3427919194163</v>
      </c>
      <c r="G219" s="146">
        <f t="shared" si="32"/>
        <v>924.2067613356287</v>
      </c>
      <c r="H219" s="146">
        <f t="shared" si="29"/>
        <v>59207.052112308666</v>
      </c>
    </row>
    <row r="220" spans="2:8">
      <c r="B220" s="154">
        <v>160</v>
      </c>
      <c r="C220" s="155" t="s">
        <v>386</v>
      </c>
      <c r="D220" s="154">
        <v>42.994160250016002</v>
      </c>
      <c r="E220" s="146">
        <f t="shared" si="30"/>
        <v>0.91075584355022232</v>
      </c>
      <c r="F220" s="146">
        <f t="shared" si="31"/>
        <v>91.075584355022229</v>
      </c>
      <c r="G220" s="146">
        <f t="shared" si="32"/>
        <v>931.70322795187747</v>
      </c>
      <c r="H220" s="146">
        <f t="shared" si="29"/>
        <v>59687.29496290737</v>
      </c>
    </row>
    <row r="221" spans="2:8">
      <c r="B221" s="154">
        <v>161</v>
      </c>
      <c r="C221" s="155" t="s">
        <v>387</v>
      </c>
      <c r="D221" s="154">
        <v>46.08</v>
      </c>
      <c r="E221" s="146">
        <f t="shared" si="30"/>
        <v>0.91808385653181435</v>
      </c>
      <c r="F221" s="146">
        <f t="shared" si="31"/>
        <v>91.808385653181432</v>
      </c>
      <c r="G221" s="146">
        <f t="shared" si="32"/>
        <v>939.19978523204611</v>
      </c>
      <c r="H221" s="146">
        <f t="shared" si="29"/>
        <v>60167.543621668985</v>
      </c>
    </row>
    <row r="222" spans="2:8">
      <c r="B222" s="154">
        <v>162</v>
      </c>
      <c r="C222" s="155" t="s">
        <v>388</v>
      </c>
      <c r="D222" s="155">
        <f>0.18*2^8.1</f>
        <v>49.387321153672374</v>
      </c>
      <c r="E222" s="146">
        <f t="shared" si="30"/>
        <v>0.92541195220588612</v>
      </c>
      <c r="F222" s="146">
        <f t="shared" si="31"/>
        <v>92.541195220588605</v>
      </c>
      <c r="G222" s="146">
        <f t="shared" si="32"/>
        <v>946.69642710662151</v>
      </c>
      <c r="H222" s="146">
        <f t="shared" si="29"/>
        <v>60647.797699764953</v>
      </c>
    </row>
    <row r="223" spans="2:8">
      <c r="B223" s="154">
        <v>163</v>
      </c>
      <c r="C223" s="155" t="s">
        <v>389</v>
      </c>
      <c r="D223" s="155">
        <f>0.18*2^8.2</f>
        <v>52.932020198263317</v>
      </c>
      <c r="E223" s="146">
        <f t="shared" si="30"/>
        <v>0.93274012503645309</v>
      </c>
      <c r="F223" s="146">
        <f t="shared" si="31"/>
        <v>93.274012503645309</v>
      </c>
      <c r="G223" s="146">
        <f t="shared" si="32"/>
        <v>954.19314791229147</v>
      </c>
      <c r="H223" s="146">
        <f t="shared" si="29"/>
        <v>61128.05683438899</v>
      </c>
    </row>
    <row r="224" spans="2:8">
      <c r="B224" s="154">
        <v>164</v>
      </c>
      <c r="C224" s="155" t="s">
        <v>390</v>
      </c>
      <c r="D224" s="155">
        <f>0.18*2^8.3</f>
        <v>56.731134566933783</v>
      </c>
      <c r="E224" s="146">
        <f t="shared" si="30"/>
        <v>0.9400683698580421</v>
      </c>
      <c r="F224" s="146">
        <f t="shared" si="31"/>
        <v>94.006836985804213</v>
      </c>
      <c r="G224" s="146">
        <f t="shared" si="32"/>
        <v>961.68994236477704</v>
      </c>
      <c r="H224" s="146">
        <f t="shared" ref="H224:H234" si="33">E224*2^16</f>
        <v>61608.320687016647</v>
      </c>
    </row>
    <row r="225" spans="2:8">
      <c r="B225" s="154">
        <v>165</v>
      </c>
      <c r="C225" s="155" t="s">
        <v>391</v>
      </c>
      <c r="D225" s="155">
        <f>0.18*2^8.4</f>
        <v>60.802924528414955</v>
      </c>
      <c r="E225" s="146">
        <f t="shared" si="30"/>
        <v>0.94739668185090486</v>
      </c>
      <c r="F225" s="146">
        <f t="shared" si="31"/>
        <v>94.73966818509048</v>
      </c>
      <c r="G225" s="146">
        <f t="shared" si="32"/>
        <v>969.18680553347565</v>
      </c>
      <c r="H225" s="146">
        <f t="shared" si="33"/>
        <v>62088.588941780901</v>
      </c>
    </row>
    <row r="226" spans="2:8">
      <c r="B226" s="154">
        <v>166</v>
      </c>
      <c r="C226" s="155" t="s">
        <v>392</v>
      </c>
      <c r="D226" s="155">
        <f>0.18*2^8.5</f>
        <v>65.166960954152216</v>
      </c>
      <c r="E226" s="146">
        <f t="shared" si="30"/>
        <v>0.95472505651789386</v>
      </c>
      <c r="F226" s="146">
        <f t="shared" si="31"/>
        <v>95.47250565178939</v>
      </c>
      <c r="G226" s="146">
        <f t="shared" si="32"/>
        <v>976.68373281780543</v>
      </c>
      <c r="H226" s="146">
        <f t="shared" si="33"/>
        <v>62568.861303956692</v>
      </c>
    </row>
    <row r="227" spans="2:8">
      <c r="B227" s="154">
        <v>167</v>
      </c>
      <c r="C227" s="155" t="s">
        <v>393</v>
      </c>
      <c r="D227" s="155">
        <f>0.18*2^8.6</f>
        <v>69.844219384799132</v>
      </c>
      <c r="E227" s="146">
        <f t="shared" si="30"/>
        <v>0.96205348966287696</v>
      </c>
      <c r="F227" s="146">
        <f t="shared" si="31"/>
        <v>96.205348966287701</v>
      </c>
      <c r="G227" s="146">
        <f t="shared" si="32"/>
        <v>984.18071992512319</v>
      </c>
      <c r="H227" s="146">
        <f t="shared" si="33"/>
        <v>63049.137498546304</v>
      </c>
    </row>
    <row r="228" spans="2:8">
      <c r="B228" s="154">
        <v>168</v>
      </c>
      <c r="C228" s="155" t="s">
        <v>394</v>
      </c>
      <c r="D228" s="155">
        <f>0.18*2^8.7</f>
        <v>74.85718084819058</v>
      </c>
      <c r="E228" s="146">
        <f t="shared" si="30"/>
        <v>0.96938197737059995</v>
      </c>
      <c r="F228" s="146">
        <f t="shared" si="31"/>
        <v>96.938197737059994</v>
      </c>
      <c r="G228" s="146">
        <f t="shared" si="32"/>
        <v>991.67776285012371</v>
      </c>
      <c r="H228" s="146">
        <f t="shared" si="33"/>
        <v>63529.417268959638</v>
      </c>
    </row>
    <row r="229" spans="2:8">
      <c r="B229" s="154">
        <v>169</v>
      </c>
      <c r="C229" s="155" t="s">
        <v>395</v>
      </c>
      <c r="D229" s="155">
        <f>0.18*2^8.8</f>
        <v>80.229939913370785</v>
      </c>
      <c r="E229" s="146">
        <f t="shared" si="30"/>
        <v>0.97671051598789271</v>
      </c>
      <c r="F229" s="146">
        <f t="shared" si="31"/>
        <v>97.671051598789276</v>
      </c>
      <c r="G229" s="146">
        <f t="shared" si="32"/>
        <v>999.17485785561428</v>
      </c>
      <c r="H229" s="146">
        <f t="shared" si="33"/>
        <v>64009.700375782537</v>
      </c>
    </row>
    <row r="230" spans="2:8">
      <c r="B230" s="154">
        <v>170</v>
      </c>
      <c r="C230" s="155" t="s">
        <v>396</v>
      </c>
      <c r="D230" s="155">
        <f>0.18*2^8.9</f>
        <v>85.98832050003216</v>
      </c>
      <c r="E230" s="146">
        <f t="shared" si="30"/>
        <v>0.98403910210613144</v>
      </c>
      <c r="F230" s="146">
        <f t="shared" si="31"/>
        <v>98.403910210613148</v>
      </c>
      <c r="G230" s="146">
        <f t="shared" si="32"/>
        <v>1006.6720014545724</v>
      </c>
      <c r="H230" s="146">
        <f t="shared" si="33"/>
        <v>64489.98659562743</v>
      </c>
    </row>
    <row r="231" spans="2:8">
      <c r="B231" s="154">
        <v>171</v>
      </c>
      <c r="C231" s="155" t="s">
        <v>397</v>
      </c>
      <c r="D231" s="155">
        <f>0.18*2^9</f>
        <v>92.16</v>
      </c>
      <c r="E231" s="146">
        <f t="shared" si="30"/>
        <v>0.99136773254487531</v>
      </c>
      <c r="F231" s="146">
        <f t="shared" si="31"/>
        <v>99.136773254487537</v>
      </c>
      <c r="G231" s="146">
        <f t="shared" si="32"/>
        <v>1014.1691903934075</v>
      </c>
      <c r="H231" s="146">
        <f t="shared" si="33"/>
        <v>64970.275720060949</v>
      </c>
    </row>
    <row r="232" spans="2:8">
      <c r="B232" s="154">
        <v>172</v>
      </c>
      <c r="C232" s="155" t="s">
        <v>546</v>
      </c>
      <c r="D232" s="155">
        <f>0.18*2^9.1</f>
        <v>98.774642307344777</v>
      </c>
      <c r="E232" s="146">
        <f t="shared" si="30"/>
        <v>0.99869640433659645</v>
      </c>
      <c r="F232" s="146">
        <f t="shared" si="31"/>
        <v>99.86964043365964</v>
      </c>
      <c r="G232" s="146">
        <f t="shared" si="32"/>
        <v>1021.6664216363382</v>
      </c>
      <c r="H232" s="146">
        <f t="shared" si="33"/>
        <v>65450.567554603185</v>
      </c>
    </row>
    <row r="233" spans="2:8">
      <c r="B233" s="154">
        <v>173</v>
      </c>
      <c r="C233" s="155" t="s">
        <v>547</v>
      </c>
      <c r="D233" s="155">
        <f>0.18*2^9.2</f>
        <v>105.86404039652665</v>
      </c>
      <c r="E233" s="146">
        <f t="shared" si="30"/>
        <v>1.0060251147124304</v>
      </c>
      <c r="F233" s="146">
        <f t="shared" si="31"/>
        <v>100.60251147124303</v>
      </c>
      <c r="G233" s="146">
        <f t="shared" si="32"/>
        <v>1029.1636923508163</v>
      </c>
      <c r="H233" s="146">
        <f t="shared" si="33"/>
        <v>65930.861917793838</v>
      </c>
    </row>
    <row r="234" spans="2:8">
      <c r="B234" s="154">
        <v>174</v>
      </c>
      <c r="C234" s="155" t="s">
        <v>778</v>
      </c>
      <c r="D234" s="155">
        <f>0.18*2^9.117788</f>
        <v>100.00004310633769</v>
      </c>
      <c r="E234" s="146">
        <f t="shared" si="30"/>
        <v>1.0000000325935241</v>
      </c>
      <c r="F234" s="146">
        <f t="shared" si="31"/>
        <v>100.00000325935241</v>
      </c>
      <c r="G234" s="146">
        <f t="shared" si="32"/>
        <v>1023.0000333431751</v>
      </c>
      <c r="H234" s="146">
        <f t="shared" si="33"/>
        <v>65536.002136049196</v>
      </c>
    </row>
    <row r="235" spans="2:8">
      <c r="B235" s="154"/>
      <c r="C235" s="155"/>
      <c r="D235" s="155"/>
    </row>
    <row r="236" spans="2:8">
      <c r="B236" s="154"/>
      <c r="C236" s="155"/>
      <c r="D236" s="155"/>
    </row>
    <row r="237" spans="2:8">
      <c r="B237" s="154"/>
      <c r="C237" s="155"/>
      <c r="D237" s="155"/>
    </row>
    <row r="238" spans="2:8">
      <c r="B238" s="154"/>
      <c r="C238" s="155"/>
      <c r="D238" s="155"/>
    </row>
    <row r="239" spans="2:8">
      <c r="B239" s="154"/>
      <c r="C239" s="155"/>
      <c r="D239" s="155"/>
    </row>
    <row r="240" spans="2:8">
      <c r="B240" s="154"/>
      <c r="C240" s="155"/>
      <c r="D240" s="155"/>
    </row>
    <row r="241" spans="2:4">
      <c r="B241" s="154"/>
      <c r="C241" s="155"/>
      <c r="D241" s="155"/>
    </row>
    <row r="242" spans="2:4">
      <c r="B242" s="154"/>
      <c r="C242" s="155"/>
      <c r="D242" s="155"/>
    </row>
    <row r="243" spans="2:4">
      <c r="B243" s="154"/>
      <c r="C243" s="155"/>
      <c r="D243" s="155"/>
    </row>
    <row r="244" spans="2:4">
      <c r="B244" s="154"/>
      <c r="C244" s="155"/>
      <c r="D244" s="155"/>
    </row>
    <row r="245" spans="2:4">
      <c r="B245" s="154"/>
      <c r="C245" s="155"/>
      <c r="D245" s="155"/>
    </row>
    <row r="246" spans="2:4">
      <c r="B246" s="154"/>
      <c r="C246" s="155"/>
      <c r="D246" s="155"/>
    </row>
  </sheetData>
  <mergeCells count="1">
    <mergeCell ref="D1:G1"/>
  </mergeCells>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C1004"/>
  <sheetViews>
    <sheetView topLeftCell="A6" workbookViewId="0">
      <selection activeCell="B31" sqref="B31:D216"/>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3" t="s">
        <v>525</v>
      </c>
      <c r="D2" s="174" t="s">
        <v>142</v>
      </c>
      <c r="E2" s="170"/>
      <c r="F2" s="170"/>
      <c r="G2" s="171"/>
      <c r="H2" s="16"/>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43">
        <v>9.2477555078029405E-2</v>
      </c>
      <c r="F4" s="99">
        <f t="shared" ref="F4:F27" si="0">E4*100</f>
        <v>9.2477555078029408</v>
      </c>
      <c r="G4" s="33">
        <f t="shared" ref="G4:G27" si="1">E4*1023</f>
        <v>94.604538844824077</v>
      </c>
      <c r="H4" s="16" t="s">
        <v>161</v>
      </c>
      <c r="I4" s="8"/>
      <c r="J4" s="64" t="s">
        <v>162</v>
      </c>
      <c r="K4" s="8"/>
      <c r="L4" s="8"/>
      <c r="M4" s="8"/>
      <c r="N4" s="8"/>
      <c r="O4" s="8"/>
      <c r="P4" s="8"/>
      <c r="Q4" s="8"/>
      <c r="R4" s="8"/>
      <c r="S4" s="8"/>
      <c r="T4" s="8"/>
      <c r="U4" s="8"/>
      <c r="V4" s="8"/>
      <c r="W4" s="8"/>
      <c r="X4" s="8"/>
      <c r="Y4" s="8"/>
      <c r="Z4" s="8"/>
      <c r="AA4" s="8"/>
      <c r="AB4" s="8"/>
      <c r="AC4" s="8"/>
    </row>
    <row r="5" spans="1:29" ht="13">
      <c r="A5" s="58"/>
      <c r="B5" s="50">
        <v>2</v>
      </c>
      <c r="C5" s="16" t="s">
        <v>76</v>
      </c>
      <c r="D5" s="17">
        <v>7.0312499999999997E-4</v>
      </c>
      <c r="E5" s="43">
        <v>9.8290163845878006E-2</v>
      </c>
      <c r="F5" s="99">
        <f t="shared" si="0"/>
        <v>9.8290163845878009</v>
      </c>
      <c r="G5" s="33">
        <f t="shared" si="1"/>
        <v>100.5508376143332</v>
      </c>
      <c r="H5" s="16" t="s">
        <v>164</v>
      </c>
      <c r="I5" s="8"/>
      <c r="J5" s="56" t="s">
        <v>165</v>
      </c>
      <c r="K5" s="8"/>
      <c r="L5" s="8"/>
      <c r="M5" s="8"/>
      <c r="N5" s="8"/>
      <c r="O5" s="8"/>
      <c r="P5" s="8"/>
      <c r="Q5" s="8"/>
      <c r="R5" s="8"/>
      <c r="S5" s="8"/>
      <c r="T5" s="8"/>
      <c r="U5" s="8"/>
      <c r="V5" s="8"/>
      <c r="W5" s="8"/>
      <c r="X5" s="8"/>
      <c r="Y5" s="8"/>
      <c r="Z5" s="8"/>
      <c r="AA5" s="8"/>
      <c r="AB5" s="8"/>
      <c r="AC5" s="8"/>
    </row>
    <row r="6" spans="1:29" ht="13">
      <c r="A6" s="58"/>
      <c r="B6" s="50">
        <v>3</v>
      </c>
      <c r="C6" s="16" t="s">
        <v>77</v>
      </c>
      <c r="D6" s="17">
        <v>1.4062499999999999E-3</v>
      </c>
      <c r="E6" s="43">
        <v>0.104114574267098</v>
      </c>
      <c r="F6" s="99">
        <f t="shared" si="0"/>
        <v>10.4114574267098</v>
      </c>
      <c r="G6" s="33">
        <f t="shared" si="1"/>
        <v>106.50920947524125</v>
      </c>
      <c r="H6" s="16"/>
      <c r="I6" s="8"/>
      <c r="K6" s="8"/>
      <c r="L6" s="8"/>
      <c r="M6" s="8"/>
      <c r="N6" s="8"/>
      <c r="O6" s="8"/>
      <c r="P6" s="8"/>
      <c r="Q6" s="8"/>
      <c r="R6" s="8"/>
      <c r="S6" s="8"/>
      <c r="T6" s="8"/>
      <c r="U6" s="8"/>
      <c r="V6" s="8"/>
      <c r="W6" s="8"/>
      <c r="X6" s="8"/>
      <c r="Y6" s="8"/>
      <c r="Z6" s="8"/>
      <c r="AA6" s="8"/>
      <c r="AB6" s="8"/>
      <c r="AC6" s="8"/>
    </row>
    <row r="7" spans="1:29" ht="13">
      <c r="A7" s="58"/>
      <c r="B7" s="50">
        <v>4</v>
      </c>
      <c r="C7" s="16" t="s">
        <v>78</v>
      </c>
      <c r="D7" s="17">
        <v>2.8124999999999999E-3</v>
      </c>
      <c r="E7" s="43">
        <v>0.11576339510953899</v>
      </c>
      <c r="F7" s="99">
        <f t="shared" si="0"/>
        <v>11.576339510953899</v>
      </c>
      <c r="G7" s="33">
        <f t="shared" si="1"/>
        <v>118.42595319705839</v>
      </c>
      <c r="H7" s="16" t="s">
        <v>526</v>
      </c>
      <c r="I7" s="8"/>
      <c r="J7" s="8" t="s">
        <v>527</v>
      </c>
      <c r="K7" s="8"/>
      <c r="L7" s="8"/>
      <c r="M7" s="8"/>
      <c r="N7" s="8"/>
      <c r="O7" s="8"/>
      <c r="P7" s="8"/>
      <c r="Q7" s="8"/>
      <c r="R7" s="8"/>
      <c r="S7" s="8"/>
      <c r="T7" s="8"/>
      <c r="U7" s="8"/>
      <c r="V7" s="8"/>
      <c r="W7" s="8"/>
      <c r="X7" s="8"/>
      <c r="Y7" s="8"/>
      <c r="Z7" s="8"/>
      <c r="AA7" s="8"/>
      <c r="AB7" s="8"/>
      <c r="AC7" s="8"/>
    </row>
    <row r="8" spans="1:29" ht="13">
      <c r="A8" s="58"/>
      <c r="B8" s="50">
        <v>5</v>
      </c>
      <c r="C8" s="16" t="s">
        <v>79</v>
      </c>
      <c r="D8" s="17">
        <v>5.6249999999999998E-3</v>
      </c>
      <c r="E8" s="43">
        <v>0.138912725200705</v>
      </c>
      <c r="F8" s="99">
        <f t="shared" si="0"/>
        <v>13.891272520070499</v>
      </c>
      <c r="G8" s="33">
        <f t="shared" si="1"/>
        <v>142.10771788032122</v>
      </c>
      <c r="H8" s="16"/>
      <c r="I8" s="8"/>
      <c r="J8" s="2" t="s">
        <v>528</v>
      </c>
      <c r="K8" s="8"/>
      <c r="L8" s="8"/>
      <c r="M8" s="8"/>
      <c r="N8" s="8"/>
      <c r="O8" s="8"/>
      <c r="P8" s="8"/>
      <c r="Q8" s="8"/>
      <c r="R8" s="8"/>
      <c r="S8" s="8"/>
      <c r="T8" s="8"/>
      <c r="U8" s="8"/>
      <c r="V8" s="8"/>
      <c r="W8" s="8"/>
      <c r="X8" s="8"/>
      <c r="Y8" s="8"/>
      <c r="Z8" s="8"/>
      <c r="AA8" s="8"/>
      <c r="AB8" s="8"/>
      <c r="AC8" s="8"/>
    </row>
    <row r="9" spans="1:29" ht="13">
      <c r="A9" s="58"/>
      <c r="B9" s="50">
        <v>6</v>
      </c>
      <c r="C9" s="16" t="s">
        <v>80</v>
      </c>
      <c r="D9" s="17">
        <v>1.125E-2</v>
      </c>
      <c r="E9" s="43">
        <v>0.174499833345514</v>
      </c>
      <c r="F9" s="99">
        <f t="shared" si="0"/>
        <v>17.449983334551401</v>
      </c>
      <c r="G9" s="33">
        <f t="shared" si="1"/>
        <v>178.51332951246081</v>
      </c>
      <c r="H9" s="16"/>
      <c r="I9" s="8"/>
      <c r="J9" s="8" t="s">
        <v>529</v>
      </c>
      <c r="K9" s="8"/>
      <c r="L9" s="8"/>
      <c r="M9" s="8"/>
      <c r="N9" s="8"/>
      <c r="O9" s="8"/>
      <c r="P9" s="8"/>
      <c r="Q9" s="8"/>
      <c r="R9" s="8"/>
      <c r="S9" s="8"/>
      <c r="T9" s="8"/>
      <c r="U9" s="8"/>
      <c r="V9" s="8"/>
      <c r="W9" s="8"/>
      <c r="X9" s="8"/>
      <c r="Y9" s="8"/>
      <c r="Z9" s="8"/>
      <c r="AA9" s="8"/>
      <c r="AB9" s="8"/>
      <c r="AC9" s="8"/>
    </row>
    <row r="10" spans="1:29" ht="13">
      <c r="A10" s="58"/>
      <c r="B10" s="50">
        <v>7</v>
      </c>
      <c r="C10" s="16" t="s">
        <v>81</v>
      </c>
      <c r="D10" s="17">
        <v>2.2499999999999999E-2</v>
      </c>
      <c r="E10" s="43">
        <v>0.21917673757141301</v>
      </c>
      <c r="F10" s="99">
        <f t="shared" si="0"/>
        <v>21.917673757141301</v>
      </c>
      <c r="G10" s="33">
        <f t="shared" si="1"/>
        <v>224.21780253555551</v>
      </c>
      <c r="H10" s="16"/>
      <c r="I10" s="8"/>
      <c r="J10" s="8" t="s">
        <v>530</v>
      </c>
      <c r="K10" s="8"/>
      <c r="L10" s="8"/>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43">
        <v>0.27045281127804199</v>
      </c>
      <c r="F11" s="99">
        <f t="shared" si="0"/>
        <v>27.045281127804198</v>
      </c>
      <c r="G11" s="33">
        <f t="shared" si="1"/>
        <v>276.67322593743694</v>
      </c>
      <c r="H11" s="16"/>
      <c r="I11" s="8"/>
      <c r="J11" s="8" t="s">
        <v>531</v>
      </c>
      <c r="K11" s="8"/>
      <c r="L11" s="8"/>
      <c r="M11" s="8"/>
      <c r="N11" s="8"/>
      <c r="O11" s="8"/>
      <c r="P11" s="8"/>
      <c r="Q11" s="8"/>
      <c r="R11" s="8"/>
      <c r="S11" s="8"/>
      <c r="T11" s="8"/>
      <c r="U11" s="8"/>
      <c r="V11" s="8"/>
      <c r="W11" s="8"/>
      <c r="X11" s="8"/>
      <c r="Y11" s="8"/>
      <c r="Z11" s="8"/>
      <c r="AA11" s="8"/>
      <c r="AB11" s="8"/>
      <c r="AC11" s="8"/>
    </row>
    <row r="12" spans="1:29" ht="13">
      <c r="A12" s="58"/>
      <c r="B12" s="50">
        <v>9</v>
      </c>
      <c r="C12" s="16" t="s">
        <v>83</v>
      </c>
      <c r="D12" s="17">
        <v>0.09</v>
      </c>
      <c r="E12" s="43">
        <v>0.325844532554252</v>
      </c>
      <c r="F12" s="99">
        <f t="shared" si="0"/>
        <v>32.584453255425203</v>
      </c>
      <c r="G12" s="33">
        <f t="shared" si="1"/>
        <v>333.3389568029998</v>
      </c>
      <c r="H12" s="16"/>
      <c r="I12" s="8"/>
      <c r="J12" s="8" t="s">
        <v>532</v>
      </c>
      <c r="K12" s="8"/>
      <c r="L12" s="8"/>
      <c r="M12" s="8"/>
      <c r="N12" s="8"/>
      <c r="O12" s="8"/>
      <c r="P12" s="8"/>
      <c r="Q12" s="8"/>
      <c r="R12" s="8"/>
      <c r="S12" s="8"/>
      <c r="T12" s="8"/>
      <c r="U12" s="8"/>
      <c r="V12" s="8"/>
      <c r="W12" s="8"/>
      <c r="X12" s="8"/>
      <c r="Y12" s="8"/>
      <c r="Z12" s="8"/>
      <c r="AA12" s="8"/>
      <c r="AB12" s="8"/>
      <c r="AC12" s="8"/>
    </row>
    <row r="13" spans="1:29" ht="13">
      <c r="A13" s="58"/>
      <c r="B13" s="50">
        <v>10</v>
      </c>
      <c r="C13" s="16" t="s">
        <v>84</v>
      </c>
      <c r="D13" s="69">
        <v>0.12727922061357799</v>
      </c>
      <c r="E13" s="43">
        <v>0.35449442076787402</v>
      </c>
      <c r="F13" s="99">
        <f t="shared" si="0"/>
        <v>35.449442076787399</v>
      </c>
      <c r="G13" s="33">
        <f t="shared" si="1"/>
        <v>362.64779244553512</v>
      </c>
      <c r="H13" s="16"/>
      <c r="I13" s="8"/>
      <c r="J13" s="8"/>
      <c r="K13" s="8"/>
      <c r="L13" s="8"/>
      <c r="M13" s="8"/>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43">
        <v>0.37772080081200698</v>
      </c>
      <c r="F14" s="71">
        <f t="shared" si="0"/>
        <v>37.772080081200698</v>
      </c>
      <c r="G14" s="72">
        <f t="shared" si="1"/>
        <v>386.40837923068312</v>
      </c>
      <c r="H14" s="16"/>
      <c r="I14" s="8"/>
      <c r="J14" s="2" t="s">
        <v>533</v>
      </c>
      <c r="K14" s="8"/>
      <c r="L14" s="8"/>
      <c r="M14" s="8"/>
      <c r="N14" s="8"/>
      <c r="O14" s="8"/>
      <c r="P14" s="8"/>
      <c r="Q14" s="8"/>
      <c r="R14" s="8"/>
      <c r="S14" s="8"/>
      <c r="T14" s="8"/>
      <c r="U14" s="8"/>
      <c r="V14" s="8"/>
      <c r="W14" s="8"/>
      <c r="X14" s="8"/>
      <c r="Y14" s="8"/>
      <c r="Z14" s="8"/>
      <c r="AA14" s="8"/>
      <c r="AB14" s="8"/>
      <c r="AC14" s="8"/>
    </row>
    <row r="15" spans="1:29" ht="13">
      <c r="A15" s="58"/>
      <c r="B15" s="50">
        <v>12</v>
      </c>
      <c r="C15" s="16" t="s">
        <v>86</v>
      </c>
      <c r="D15" s="17">
        <v>0.18</v>
      </c>
      <c r="E15" s="43">
        <v>0.38356164383561597</v>
      </c>
      <c r="F15" s="99">
        <f t="shared" si="0"/>
        <v>38.356164383561598</v>
      </c>
      <c r="G15" s="33">
        <f t="shared" si="1"/>
        <v>392.38356164383515</v>
      </c>
      <c r="H15" s="16"/>
      <c r="I15" s="8"/>
      <c r="J15" s="2" t="s">
        <v>534</v>
      </c>
      <c r="K15" s="8"/>
      <c r="L15" s="8"/>
      <c r="M15" s="8"/>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43">
        <v>0.39527859394056297</v>
      </c>
      <c r="F16" s="71">
        <f t="shared" si="0"/>
        <v>39.5278593940563</v>
      </c>
      <c r="G16" s="72">
        <f t="shared" si="1"/>
        <v>404.3700016011959</v>
      </c>
      <c r="H16" s="16"/>
      <c r="I16" s="8"/>
      <c r="J16" s="8" t="s">
        <v>535</v>
      </c>
      <c r="K16" s="8"/>
      <c r="L16" s="8"/>
      <c r="M16" s="8"/>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43">
        <v>0.41293145220836502</v>
      </c>
      <c r="F17" s="99">
        <f t="shared" si="0"/>
        <v>41.2931452208365</v>
      </c>
      <c r="G17" s="33">
        <f t="shared" si="1"/>
        <v>422.42887560915744</v>
      </c>
      <c r="H17" s="16"/>
      <c r="I17" s="8"/>
      <c r="J17" s="8" t="s">
        <v>536</v>
      </c>
      <c r="K17" s="8"/>
      <c r="L17" s="8"/>
      <c r="M17" s="8"/>
      <c r="N17" s="8"/>
      <c r="O17" s="8"/>
      <c r="P17" s="8"/>
      <c r="Q17" s="8"/>
      <c r="R17" s="8"/>
      <c r="S17" s="8"/>
      <c r="T17" s="8"/>
      <c r="U17" s="8"/>
      <c r="V17" s="8"/>
      <c r="W17" s="8"/>
      <c r="X17" s="8"/>
      <c r="Y17" s="8"/>
      <c r="Z17" s="8"/>
      <c r="AA17" s="8"/>
      <c r="AB17" s="8"/>
      <c r="AC17" s="8"/>
    </row>
    <row r="18" spans="1:29" ht="13">
      <c r="A18" s="58"/>
      <c r="B18" s="50">
        <v>15</v>
      </c>
      <c r="C18" s="16" t="s">
        <v>89</v>
      </c>
      <c r="D18" s="17">
        <v>0.36</v>
      </c>
      <c r="E18" s="43">
        <v>0.442519088068835</v>
      </c>
      <c r="F18" s="99">
        <f t="shared" si="0"/>
        <v>44.251908806883499</v>
      </c>
      <c r="G18" s="33">
        <f t="shared" si="1"/>
        <v>452.69702709441822</v>
      </c>
      <c r="H18" s="16"/>
      <c r="I18" s="8"/>
      <c r="J18" s="2" t="s">
        <v>537</v>
      </c>
      <c r="K18" s="8"/>
      <c r="L18" s="8"/>
      <c r="M18" s="8"/>
      <c r="N18" s="8"/>
      <c r="O18" s="8"/>
      <c r="P18" s="8"/>
      <c r="Q18" s="8"/>
      <c r="R18" s="8"/>
      <c r="S18" s="8"/>
      <c r="T18" s="8"/>
      <c r="U18" s="8"/>
      <c r="V18" s="8"/>
      <c r="W18" s="8"/>
      <c r="X18" s="8"/>
      <c r="Y18" s="8"/>
      <c r="Z18" s="8"/>
      <c r="AA18" s="8"/>
      <c r="AB18" s="8"/>
      <c r="AC18" s="8"/>
    </row>
    <row r="19" spans="1:29" ht="13">
      <c r="A19" s="58"/>
      <c r="B19" s="50">
        <v>16</v>
      </c>
      <c r="C19" s="16" t="s">
        <v>90</v>
      </c>
      <c r="D19" s="17">
        <v>0.72</v>
      </c>
      <c r="E19" s="43">
        <v>0.50211769330431799</v>
      </c>
      <c r="F19" s="99">
        <f t="shared" si="0"/>
        <v>50.2117693304318</v>
      </c>
      <c r="G19" s="33">
        <f t="shared" si="1"/>
        <v>513.66640025031734</v>
      </c>
      <c r="H19" s="16"/>
      <c r="I19" s="8"/>
      <c r="J19" s="8" t="s">
        <v>538</v>
      </c>
      <c r="K19" s="8"/>
      <c r="L19" s="8"/>
      <c r="M19" s="8"/>
      <c r="N19" s="8"/>
      <c r="O19" s="8"/>
      <c r="P19" s="8"/>
      <c r="Q19" s="8"/>
      <c r="R19" s="8"/>
      <c r="S19" s="8"/>
      <c r="T19" s="8"/>
      <c r="U19" s="8"/>
      <c r="V19" s="8"/>
      <c r="W19" s="8"/>
      <c r="X19" s="8"/>
      <c r="Y19" s="8"/>
      <c r="Z19" s="8"/>
      <c r="AA19" s="8"/>
      <c r="AB19" s="8"/>
      <c r="AC19" s="8"/>
    </row>
    <row r="20" spans="1:29" ht="13">
      <c r="A20" s="58"/>
      <c r="B20" s="82">
        <v>17</v>
      </c>
      <c r="C20" s="73" t="s">
        <v>91</v>
      </c>
      <c r="D20" s="74">
        <v>0.9</v>
      </c>
      <c r="E20" s="98">
        <v>0.52138352581896996</v>
      </c>
      <c r="F20" s="100">
        <f t="shared" si="0"/>
        <v>52.138352581896996</v>
      </c>
      <c r="G20" s="77">
        <f t="shared" si="1"/>
        <v>533.37534691280632</v>
      </c>
      <c r="H20" s="73" t="s">
        <v>205</v>
      </c>
      <c r="I20" s="8"/>
      <c r="K20" s="8"/>
      <c r="L20" s="8"/>
      <c r="M20" s="8"/>
      <c r="N20" s="8"/>
      <c r="O20" s="8"/>
      <c r="P20" s="8"/>
      <c r="Q20" s="8"/>
      <c r="R20" s="8"/>
      <c r="S20" s="8"/>
      <c r="T20" s="8"/>
      <c r="U20" s="8"/>
      <c r="V20" s="8"/>
      <c r="W20" s="8"/>
      <c r="X20" s="8"/>
      <c r="Y20" s="8"/>
      <c r="Z20" s="8"/>
      <c r="AA20" s="8"/>
      <c r="AB20" s="8"/>
      <c r="AC20" s="8"/>
    </row>
    <row r="21" spans="1:29" ht="13">
      <c r="A21" s="58"/>
      <c r="B21" s="50">
        <v>18</v>
      </c>
      <c r="C21" s="16" t="s">
        <v>92</v>
      </c>
      <c r="D21" s="17">
        <v>1.44</v>
      </c>
      <c r="E21" s="43">
        <v>0.56204234382158302</v>
      </c>
      <c r="F21" s="99">
        <f t="shared" si="0"/>
        <v>56.204234382158305</v>
      </c>
      <c r="G21" s="33">
        <f t="shared" si="1"/>
        <v>574.96931772947949</v>
      </c>
      <c r="H21" s="16"/>
      <c r="I21" s="8"/>
      <c r="J21" s="8" t="s">
        <v>539</v>
      </c>
      <c r="K21" s="8"/>
      <c r="L21" s="8"/>
      <c r="M21" s="8"/>
      <c r="N21" s="8"/>
      <c r="O21" s="8"/>
      <c r="P21" s="8"/>
      <c r="Q21" s="8"/>
      <c r="R21" s="8"/>
      <c r="S21" s="8"/>
      <c r="T21" s="8"/>
      <c r="U21" s="8"/>
      <c r="V21" s="8"/>
      <c r="W21" s="8"/>
      <c r="X21" s="8"/>
      <c r="Y21" s="8"/>
      <c r="Z21" s="8"/>
      <c r="AA21" s="8"/>
      <c r="AB21" s="8"/>
      <c r="AC21" s="8"/>
    </row>
    <row r="22" spans="1:29" ht="13">
      <c r="A22" s="58"/>
      <c r="B22" s="50">
        <v>19</v>
      </c>
      <c r="C22" s="16" t="s">
        <v>93</v>
      </c>
      <c r="D22" s="17">
        <v>2.88</v>
      </c>
      <c r="E22" s="43">
        <v>0.62213141142899697</v>
      </c>
      <c r="F22" s="99">
        <f t="shared" si="0"/>
        <v>62.213141142899694</v>
      </c>
      <c r="G22" s="33">
        <f t="shared" si="1"/>
        <v>636.4404338918639</v>
      </c>
      <c r="H22" s="16"/>
      <c r="I22" s="8"/>
      <c r="J22" s="2" t="s">
        <v>540</v>
      </c>
      <c r="K22" s="8"/>
      <c r="L22" s="8"/>
      <c r="M22" s="8"/>
      <c r="N22" s="8"/>
      <c r="O22" s="8"/>
      <c r="P22" s="8"/>
      <c r="Q22" s="8"/>
      <c r="R22" s="8"/>
      <c r="S22" s="8"/>
      <c r="T22" s="8"/>
      <c r="U22" s="8"/>
      <c r="V22" s="8"/>
      <c r="W22" s="8"/>
      <c r="X22" s="8"/>
      <c r="Y22" s="8"/>
      <c r="Z22" s="8"/>
      <c r="AA22" s="8"/>
      <c r="AB22" s="8"/>
      <c r="AC22" s="8"/>
    </row>
    <row r="23" spans="1:29" ht="13">
      <c r="A23" s="58"/>
      <c r="B23" s="50">
        <v>20</v>
      </c>
      <c r="C23" s="16" t="s">
        <v>94</v>
      </c>
      <c r="D23" s="17">
        <v>5.76</v>
      </c>
      <c r="E23" s="43">
        <v>0.68230303980653995</v>
      </c>
      <c r="F23" s="99">
        <f t="shared" si="0"/>
        <v>68.230303980654</v>
      </c>
      <c r="G23" s="33">
        <f t="shared" si="1"/>
        <v>697.99600972209032</v>
      </c>
      <c r="H23" s="16"/>
      <c r="I23" s="8"/>
      <c r="J23" s="8" t="s">
        <v>541</v>
      </c>
      <c r="K23" s="8"/>
      <c r="L23" s="8"/>
      <c r="M23" s="8"/>
      <c r="N23" s="8"/>
      <c r="O23" s="8"/>
      <c r="P23" s="8"/>
      <c r="Q23" s="8"/>
      <c r="R23" s="8"/>
      <c r="S23" s="8"/>
      <c r="T23" s="8"/>
      <c r="U23" s="8"/>
      <c r="V23" s="8"/>
      <c r="W23" s="8"/>
      <c r="X23" s="8"/>
      <c r="Y23" s="8"/>
      <c r="Z23" s="8"/>
      <c r="AA23" s="8"/>
      <c r="AB23" s="8"/>
      <c r="AC23" s="8"/>
    </row>
    <row r="24" spans="1:29" ht="28">
      <c r="A24" s="58"/>
      <c r="B24" s="50">
        <v>21</v>
      </c>
      <c r="C24" s="16" t="s">
        <v>95</v>
      </c>
      <c r="D24" s="17">
        <v>11.52</v>
      </c>
      <c r="E24" s="43">
        <v>0.74251603708218805</v>
      </c>
      <c r="F24" s="99">
        <f t="shared" si="0"/>
        <v>74.251603708218809</v>
      </c>
      <c r="G24" s="33">
        <f t="shared" si="1"/>
        <v>759.5939059350784</v>
      </c>
      <c r="H24" s="101" t="s">
        <v>542</v>
      </c>
      <c r="I24" s="8"/>
      <c r="J24" s="8" t="s">
        <v>543</v>
      </c>
      <c r="K24" s="8"/>
      <c r="L24" s="8"/>
      <c r="M24" s="8"/>
      <c r="N24" s="8"/>
      <c r="O24" s="8"/>
      <c r="P24" s="8"/>
      <c r="Q24" s="8"/>
      <c r="R24" s="8"/>
      <c r="S24" s="8"/>
      <c r="T24" s="8"/>
      <c r="U24" s="8"/>
      <c r="V24" s="8"/>
      <c r="W24" s="8"/>
      <c r="X24" s="8"/>
      <c r="Y24" s="8"/>
      <c r="Z24" s="8"/>
      <c r="AA24" s="8"/>
      <c r="AB24" s="8"/>
      <c r="AC24" s="8"/>
    </row>
    <row r="25" spans="1:29" ht="13">
      <c r="A25" s="58"/>
      <c r="B25" s="50">
        <v>22</v>
      </c>
      <c r="C25" s="16" t="s">
        <v>96</v>
      </c>
      <c r="D25" s="17">
        <v>23.04</v>
      </c>
      <c r="E25" s="43">
        <v>0.80274974099257301</v>
      </c>
      <c r="F25" s="99">
        <f t="shared" si="0"/>
        <v>80.274974099257307</v>
      </c>
      <c r="G25" s="33">
        <f t="shared" si="1"/>
        <v>821.2129850354022</v>
      </c>
      <c r="H25" s="16"/>
      <c r="I25" s="8"/>
      <c r="J25" s="8" t="s">
        <v>544</v>
      </c>
      <c r="K25" s="8"/>
      <c r="L25" s="8"/>
      <c r="M25" s="8"/>
      <c r="N25" s="8"/>
      <c r="O25" s="8"/>
      <c r="P25" s="8"/>
      <c r="Q25" s="8"/>
      <c r="R25" s="8"/>
      <c r="S25" s="8"/>
      <c r="T25" s="8"/>
      <c r="U25" s="8"/>
      <c r="V25" s="8"/>
      <c r="W25" s="8"/>
      <c r="X25" s="8"/>
      <c r="Y25" s="8"/>
      <c r="Z25" s="8"/>
      <c r="AA25" s="8"/>
      <c r="AB25" s="8"/>
      <c r="AC25" s="8"/>
    </row>
    <row r="26" spans="1:29" ht="13">
      <c r="A26" s="58"/>
      <c r="B26" s="50">
        <v>23</v>
      </c>
      <c r="C26" s="16" t="s">
        <v>97</v>
      </c>
      <c r="D26" s="17">
        <v>46.08</v>
      </c>
      <c r="E26" s="43">
        <v>0.86299380377394697</v>
      </c>
      <c r="F26" s="99">
        <f t="shared" si="0"/>
        <v>86.299380377394698</v>
      </c>
      <c r="G26" s="33">
        <f t="shared" si="1"/>
        <v>882.84266126074772</v>
      </c>
      <c r="H26" s="16"/>
      <c r="I26" s="8"/>
      <c r="J26" s="2" t="s">
        <v>545</v>
      </c>
      <c r="K26" s="8"/>
      <c r="L26" s="8"/>
      <c r="M26" s="8"/>
      <c r="N26" s="8"/>
      <c r="O26" s="8"/>
      <c r="P26" s="8"/>
      <c r="Q26" s="8"/>
      <c r="R26" s="8"/>
      <c r="S26" s="8"/>
      <c r="T26" s="8"/>
      <c r="U26" s="8"/>
      <c r="V26" s="8"/>
      <c r="W26" s="8"/>
      <c r="X26" s="8"/>
      <c r="Y26" s="8"/>
      <c r="Z26" s="8"/>
      <c r="AA26" s="8"/>
      <c r="AB26" s="8"/>
      <c r="AC26" s="8"/>
    </row>
    <row r="27" spans="1:29" ht="13">
      <c r="A27" s="58"/>
      <c r="B27" s="50">
        <v>24</v>
      </c>
      <c r="C27" s="16" t="s">
        <v>98</v>
      </c>
      <c r="D27" s="5">
        <f>0.18*2^9</f>
        <v>92.16</v>
      </c>
      <c r="E27" s="43">
        <v>0.92324304738012197</v>
      </c>
      <c r="F27" s="99">
        <f t="shared" si="0"/>
        <v>92.324304738012202</v>
      </c>
      <c r="G27" s="33">
        <f t="shared" si="1"/>
        <v>944.47763746986482</v>
      </c>
      <c r="H27" s="43"/>
      <c r="I27" s="8"/>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row>
    <row r="29" spans="1:29" ht="14">
      <c r="A29" s="8"/>
      <c r="B29" s="43"/>
      <c r="C29" s="13" t="s">
        <v>525</v>
      </c>
      <c r="D29" s="173" t="s">
        <v>142</v>
      </c>
      <c r="E29" s="166"/>
      <c r="F29" s="166"/>
      <c r="G29" s="167"/>
      <c r="H29" s="41" t="s">
        <v>228</v>
      </c>
      <c r="I29" s="8"/>
      <c r="J29" s="8"/>
      <c r="K29" s="8"/>
      <c r="L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J30" s="8"/>
      <c r="K30" s="8"/>
      <c r="L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43">
        <v>9.8290163845878006E-2</v>
      </c>
      <c r="F31" s="71">
        <f t="shared" ref="F31:F217" si="2">E31*100</f>
        <v>9.8290163845878009</v>
      </c>
      <c r="G31" s="84">
        <f t="shared" ref="G31:G217" si="3">E31*1023</f>
        <v>100.5508376143332</v>
      </c>
      <c r="H31" s="43"/>
      <c r="I31" s="8"/>
      <c r="J31" s="8"/>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43">
        <v>9.8708201948661797E-2</v>
      </c>
      <c r="F32" s="71">
        <f t="shared" si="2"/>
        <v>9.8708201948661802</v>
      </c>
      <c r="G32" s="84">
        <f t="shared" si="3"/>
        <v>100.97849059348101</v>
      </c>
      <c r="H32" s="43"/>
      <c r="I32" s="8"/>
      <c r="J32" s="8"/>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43">
        <v>9.9156244094694895E-2</v>
      </c>
      <c r="F33" s="71">
        <f t="shared" si="2"/>
        <v>9.9156244094694888</v>
      </c>
      <c r="G33" s="84">
        <f t="shared" si="3"/>
        <v>101.43683770887287</v>
      </c>
      <c r="H33" s="43"/>
      <c r="I33" s="8"/>
      <c r="J33" s="8"/>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43">
        <v>9.9636443775496505E-2</v>
      </c>
      <c r="F34" s="71">
        <f t="shared" si="2"/>
        <v>9.9636443775496506</v>
      </c>
      <c r="G34" s="84">
        <f t="shared" si="3"/>
        <v>101.92808198233293</v>
      </c>
      <c r="H34" s="43"/>
      <c r="I34" s="8"/>
      <c r="J34" s="8"/>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43">
        <v>0.100151109051359</v>
      </c>
      <c r="F35" s="71">
        <f t="shared" si="2"/>
        <v>10.0151109051359</v>
      </c>
      <c r="G35" s="84">
        <f t="shared" si="3"/>
        <v>102.45458455954027</v>
      </c>
      <c r="H35" s="43"/>
      <c r="I35" s="8"/>
      <c r="J35" s="8"/>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43">
        <v>0.10070271363481299</v>
      </c>
      <c r="F36" s="71">
        <f t="shared" si="2"/>
        <v>10.0702713634813</v>
      </c>
      <c r="G36" s="84">
        <f t="shared" si="3"/>
        <v>103.01887604841369</v>
      </c>
      <c r="H36" s="43"/>
      <c r="I36" s="8"/>
      <c r="J36" s="8"/>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43">
        <v>0.101293908791685</v>
      </c>
      <c r="F37" s="71">
        <f t="shared" si="2"/>
        <v>10.129390879168501</v>
      </c>
      <c r="G37" s="84">
        <f t="shared" si="3"/>
        <v>103.62366869389375</v>
      </c>
      <c r="H37" s="43"/>
      <c r="I37" s="8"/>
      <c r="J37" s="8"/>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43">
        <v>0.10192753606554</v>
      </c>
      <c r="F38" s="71">
        <f t="shared" si="2"/>
        <v>10.192753606554</v>
      </c>
      <c r="G38" s="84">
        <f t="shared" si="3"/>
        <v>104.27186939504742</v>
      </c>
      <c r="H38" s="43"/>
      <c r="I38" s="8"/>
      <c r="J38" s="8"/>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43">
        <v>0.102606640973802</v>
      </c>
      <c r="F39" s="71">
        <f t="shared" si="2"/>
        <v>10.2606640973802</v>
      </c>
      <c r="G39" s="84">
        <f t="shared" si="3"/>
        <v>104.96659371619944</v>
      </c>
      <c r="H39" s="43"/>
      <c r="I39" s="8"/>
      <c r="J39" s="8"/>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43">
        <v>0.103334487580268</v>
      </c>
      <c r="F40" s="71">
        <f t="shared" si="2"/>
        <v>10.333448758026801</v>
      </c>
      <c r="G40" s="84">
        <f t="shared" si="3"/>
        <v>105.71118079461417</v>
      </c>
      <c r="H40" s="43"/>
      <c r="I40" s="8"/>
      <c r="J40" s="8"/>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43">
        <v>0.104114574267098</v>
      </c>
      <c r="F41" s="71">
        <f t="shared" si="2"/>
        <v>10.4114574267098</v>
      </c>
      <c r="G41" s="84">
        <f t="shared" si="3"/>
        <v>106.50920947524125</v>
      </c>
      <c r="H41" s="43"/>
      <c r="I41" s="8"/>
      <c r="J41" s="8"/>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43">
        <v>0.104950650475979</v>
      </c>
      <c r="F42" s="71">
        <f t="shared" si="2"/>
        <v>10.495065047597899</v>
      </c>
      <c r="G42" s="84">
        <f t="shared" si="3"/>
        <v>107.36451543692651</v>
      </c>
      <c r="H42" s="43"/>
      <c r="I42" s="8"/>
      <c r="J42" s="8"/>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43">
        <v>0.10584673476638801</v>
      </c>
      <c r="F43" s="71">
        <f t="shared" si="2"/>
        <v>10.5846734766388</v>
      </c>
      <c r="G43" s="84">
        <f t="shared" si="3"/>
        <v>108.28120966601493</v>
      </c>
      <c r="H43" s="43"/>
      <c r="I43" s="8"/>
      <c r="J43" s="8"/>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43">
        <v>0.106807134124678</v>
      </c>
      <c r="F44" s="71">
        <f t="shared" si="2"/>
        <v>10.680713412467799</v>
      </c>
      <c r="G44" s="84">
        <f t="shared" si="3"/>
        <v>109.26369820954559</v>
      </c>
      <c r="H44" s="43"/>
      <c r="I44" s="8"/>
      <c r="J44" s="8"/>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43">
        <v>0.10783646468137401</v>
      </c>
      <c r="F45" s="71">
        <f t="shared" si="2"/>
        <v>10.7836464681374</v>
      </c>
      <c r="G45" s="84">
        <f t="shared" si="3"/>
        <v>110.31670336904561</v>
      </c>
      <c r="H45" s="43"/>
      <c r="I45" s="8"/>
      <c r="J45" s="8"/>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43">
        <v>0.108939673844969</v>
      </c>
      <c r="F46" s="71">
        <f t="shared" si="2"/>
        <v>10.8939673844969</v>
      </c>
      <c r="G46" s="84">
        <f t="shared" si="3"/>
        <v>111.44528634340328</v>
      </c>
      <c r="H46" s="43"/>
      <c r="I46" s="8"/>
      <c r="J46" s="8"/>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43">
        <v>0.11012206415871199</v>
      </c>
      <c r="F47" s="71">
        <f t="shared" si="2"/>
        <v>11.0122064158712</v>
      </c>
      <c r="G47" s="84">
        <f t="shared" si="3"/>
        <v>112.65487163436237</v>
      </c>
      <c r="H47" s="43"/>
      <c r="I47" s="8"/>
      <c r="J47" s="8"/>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43">
        <v>0.111389318714706</v>
      </c>
      <c r="F48" s="71">
        <f t="shared" si="2"/>
        <v>11.1389318714706</v>
      </c>
      <c r="G48" s="84">
        <f t="shared" si="3"/>
        <v>113.95127304514425</v>
      </c>
      <c r="H48" s="43"/>
      <c r="I48" s="8"/>
      <c r="J48" s="8"/>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43">
        <v>0.11274752851466301</v>
      </c>
      <c r="F49" s="71">
        <f t="shared" si="2"/>
        <v>11.274752851466301</v>
      </c>
      <c r="G49" s="84">
        <f t="shared" si="3"/>
        <v>115.34072167050026</v>
      </c>
      <c r="H49" s="43"/>
      <c r="I49" s="8"/>
      <c r="J49" s="8"/>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43">
        <v>0.114203221744163</v>
      </c>
      <c r="F50" s="71">
        <f t="shared" si="2"/>
        <v>11.420322174416301</v>
      </c>
      <c r="G50" s="84">
        <f t="shared" si="3"/>
        <v>116.82989584427875</v>
      </c>
      <c r="H50" s="43"/>
      <c r="I50" s="8"/>
      <c r="J50" s="8"/>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43">
        <v>0.11576339510953899</v>
      </c>
      <c r="F51" s="71">
        <f t="shared" si="2"/>
        <v>11.576339510953899</v>
      </c>
      <c r="G51" s="84">
        <f t="shared" si="3"/>
        <v>118.42595319705839</v>
      </c>
      <c r="H51" s="43"/>
      <c r="I51" s="8"/>
      <c r="J51" s="8"/>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43">
        <v>0.117435547519018</v>
      </c>
      <c r="F52" s="71">
        <f t="shared" si="2"/>
        <v>11.743554751901799</v>
      </c>
      <c r="G52" s="84">
        <f t="shared" si="3"/>
        <v>120.13656511195541</v>
      </c>
      <c r="H52" s="43"/>
      <c r="I52" s="8"/>
      <c r="J52" s="8"/>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43">
        <v>0.119227716099836</v>
      </c>
      <c r="F53" s="71">
        <f t="shared" si="2"/>
        <v>11.922771609983601</v>
      </c>
      <c r="G53" s="84">
        <f t="shared" si="3"/>
        <v>121.96995357013222</v>
      </c>
      <c r="H53" s="43"/>
      <c r="I53" s="8"/>
      <c r="J53" s="8"/>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43">
        <v>0.121148514832983</v>
      </c>
      <c r="F54" s="71">
        <f t="shared" si="2"/>
        <v>12.114851483298301</v>
      </c>
      <c r="G54" s="84">
        <f t="shared" si="3"/>
        <v>123.93493067414161</v>
      </c>
      <c r="H54" s="43"/>
      <c r="I54" s="8"/>
      <c r="J54" s="8"/>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43">
        <v>0.123207175929807</v>
      </c>
      <c r="F55" s="71">
        <f t="shared" si="2"/>
        <v>12.320717592980699</v>
      </c>
      <c r="G55" s="84">
        <f t="shared" si="3"/>
        <v>126.04094097619256</v>
      </c>
      <c r="H55" s="43"/>
      <c r="I55" s="8"/>
      <c r="J55" s="8"/>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43">
        <v>0.12541359426528201</v>
      </c>
      <c r="F56" s="71">
        <f t="shared" si="2"/>
        <v>12.541359426528201</v>
      </c>
      <c r="G56" s="84">
        <f t="shared" si="3"/>
        <v>128.29810693338351</v>
      </c>
      <c r="H56" s="43"/>
      <c r="I56" s="8"/>
      <c r="J56" s="8"/>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43">
        <v>0.12777837488448399</v>
      </c>
      <c r="F57" s="71">
        <f t="shared" si="2"/>
        <v>12.777837488448398</v>
      </c>
      <c r="G57" s="84">
        <f t="shared" si="3"/>
        <v>130.71727750682712</v>
      </c>
      <c r="H57" s="43"/>
      <c r="I57" s="8"/>
      <c r="J57" s="8"/>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43">
        <v>0.13031288400475599</v>
      </c>
      <c r="F58" s="71">
        <f t="shared" si="2"/>
        <v>13.031288400475599</v>
      </c>
      <c r="G58" s="84">
        <f t="shared" si="3"/>
        <v>133.31008033686538</v>
      </c>
      <c r="H58" s="43"/>
      <c r="I58" s="8"/>
      <c r="J58" s="8"/>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43">
        <v>0.13302930361295201</v>
      </c>
      <c r="F59" s="71">
        <f t="shared" si="2"/>
        <v>13.302930361295202</v>
      </c>
      <c r="G59" s="84">
        <f t="shared" si="3"/>
        <v>136.08897759604992</v>
      </c>
      <c r="H59" s="43"/>
      <c r="I59" s="8"/>
      <c r="J59" s="8"/>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43">
        <v>0.13591673199934401</v>
      </c>
      <c r="F60" s="71">
        <f t="shared" si="2"/>
        <v>13.591673199934402</v>
      </c>
      <c r="G60" s="84">
        <f t="shared" si="3"/>
        <v>139.04281683532892</v>
      </c>
      <c r="H60" s="43"/>
      <c r="I60" s="8"/>
      <c r="J60" s="8"/>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43">
        <v>0.138912725200705</v>
      </c>
      <c r="F61" s="71">
        <f t="shared" si="2"/>
        <v>13.891272520070499</v>
      </c>
      <c r="G61" s="84">
        <f t="shared" si="3"/>
        <v>142.10771788032122</v>
      </c>
      <c r="H61" s="43"/>
      <c r="I61" s="8"/>
      <c r="J61" s="8"/>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43">
        <v>0.14201309600220999</v>
      </c>
      <c r="F62" s="71">
        <f t="shared" si="2"/>
        <v>14.201309600220998</v>
      </c>
      <c r="G62" s="84">
        <f t="shared" si="3"/>
        <v>145.27939721026081</v>
      </c>
      <c r="H62" s="43"/>
      <c r="I62" s="8"/>
      <c r="J62" s="8"/>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43">
        <v>0.145217634254725</v>
      </c>
      <c r="F63" s="71">
        <f t="shared" si="2"/>
        <v>14.5217634254725</v>
      </c>
      <c r="G63" s="84">
        <f t="shared" si="3"/>
        <v>148.55763984258368</v>
      </c>
      <c r="H63" s="43"/>
      <c r="I63" s="8"/>
      <c r="J63" s="8"/>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43">
        <v>0.14852588153464399</v>
      </c>
      <c r="F64" s="71">
        <f t="shared" si="2"/>
        <v>14.852588153464399</v>
      </c>
      <c r="G64" s="84">
        <f t="shared" si="3"/>
        <v>151.9419768099408</v>
      </c>
      <c r="H64" s="43"/>
      <c r="I64" s="8"/>
      <c r="J64" s="8"/>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43">
        <v>0.151937135506444</v>
      </c>
      <c r="F65" s="71">
        <f t="shared" si="2"/>
        <v>15.1937135506444</v>
      </c>
      <c r="G65" s="84">
        <f t="shared" si="3"/>
        <v>155.43168962309221</v>
      </c>
      <c r="H65" s="43"/>
      <c r="I65" s="8"/>
      <c r="J65" s="8"/>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43">
        <v>0.15545045654921999</v>
      </c>
      <c r="F66" s="71">
        <f t="shared" si="2"/>
        <v>15.545045654921999</v>
      </c>
      <c r="G66" s="84">
        <f t="shared" si="3"/>
        <v>159.02581704985204</v>
      </c>
      <c r="H66" s="43"/>
      <c r="I66" s="8"/>
      <c r="J66" s="8"/>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43">
        <v>0.15906467653779199</v>
      </c>
      <c r="F67" s="71">
        <f t="shared" si="2"/>
        <v>15.906467653779199</v>
      </c>
      <c r="G67" s="84">
        <f t="shared" si="3"/>
        <v>162.72316409816122</v>
      </c>
      <c r="H67" s="43"/>
      <c r="I67" s="8"/>
      <c r="J67" s="8"/>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43">
        <v>0.16277840954060899</v>
      </c>
      <c r="F68" s="71">
        <f t="shared" si="2"/>
        <v>16.277840954060899</v>
      </c>
      <c r="G68" s="84">
        <f t="shared" si="3"/>
        <v>166.522312960043</v>
      </c>
      <c r="H68" s="43"/>
      <c r="I68" s="8"/>
      <c r="J68" s="8"/>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43">
        <v>0.16659006434898699</v>
      </c>
      <c r="F69" s="71">
        <f t="shared" si="2"/>
        <v>16.6590064348987</v>
      </c>
      <c r="G69" s="84">
        <f t="shared" si="3"/>
        <v>170.4216358290137</v>
      </c>
      <c r="H69" s="43"/>
      <c r="I69" s="8"/>
      <c r="J69" s="8"/>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43">
        <v>0.170497858429423</v>
      </c>
      <c r="F70" s="71">
        <f t="shared" si="2"/>
        <v>17.049785842942299</v>
      </c>
      <c r="G70" s="84">
        <f t="shared" si="3"/>
        <v>174.41930917329972</v>
      </c>
      <c r="H70" s="43"/>
      <c r="I70" s="8"/>
      <c r="J70" s="8"/>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43">
        <v>0.174499833345514</v>
      </c>
      <c r="F71" s="71">
        <f t="shared" si="2"/>
        <v>17.449983334551401</v>
      </c>
      <c r="G71" s="84">
        <f t="shared" si="3"/>
        <v>178.51332951246081</v>
      </c>
      <c r="H71" s="43"/>
      <c r="I71" s="8"/>
      <c r="J71" s="8"/>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43">
        <v>0.17859387076980299</v>
      </c>
      <c r="F72" s="71">
        <f t="shared" si="2"/>
        <v>17.859387076980298</v>
      </c>
      <c r="G72" s="84">
        <f t="shared" si="3"/>
        <v>182.70152979750844</v>
      </c>
      <c r="H72" s="43"/>
      <c r="I72" s="8"/>
      <c r="J72" s="8"/>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43">
        <v>0.18277770983453401</v>
      </c>
      <c r="F73" s="71">
        <f t="shared" si="2"/>
        <v>18.277770983453401</v>
      </c>
      <c r="G73" s="84">
        <f t="shared" si="3"/>
        <v>186.98159716072828</v>
      </c>
      <c r="H73" s="43"/>
      <c r="I73" s="8"/>
      <c r="J73" s="8"/>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43">
        <v>0.18704896440329599</v>
      </c>
      <c r="F74" s="71">
        <f t="shared" si="2"/>
        <v>18.704896440329598</v>
      </c>
      <c r="G74" s="84">
        <f t="shared" si="3"/>
        <v>191.35109058457181</v>
      </c>
      <c r="H74" s="43"/>
      <c r="I74" s="8"/>
      <c r="J74" s="8"/>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43">
        <v>0.19140514081159399</v>
      </c>
      <c r="F75" s="71">
        <f t="shared" si="2"/>
        <v>19.140514081159399</v>
      </c>
      <c r="G75" s="84">
        <f t="shared" si="3"/>
        <v>195.80745905026066</v>
      </c>
      <c r="H75" s="43"/>
      <c r="I75" s="8"/>
      <c r="J75" s="8"/>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43">
        <v>0.195843655537774</v>
      </c>
      <c r="F76" s="71">
        <f t="shared" si="2"/>
        <v>19.584365553777399</v>
      </c>
      <c r="G76" s="84">
        <f t="shared" si="3"/>
        <v>200.3480596151428</v>
      </c>
      <c r="H76" s="43"/>
      <c r="I76" s="8"/>
      <c r="J76" s="8"/>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43">
        <v>0.200361852612992</v>
      </c>
      <c r="F77" s="71">
        <f t="shared" si="2"/>
        <v>20.036185261299199</v>
      </c>
      <c r="G77" s="84">
        <f t="shared" si="3"/>
        <v>204.97017522309082</v>
      </c>
      <c r="H77" s="43"/>
      <c r="I77" s="8"/>
      <c r="J77" s="8"/>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43">
        <v>0.20495702059933901</v>
      </c>
      <c r="F78" s="71">
        <f t="shared" si="2"/>
        <v>20.495702059933901</v>
      </c>
      <c r="G78" s="84">
        <f t="shared" si="3"/>
        <v>209.6710320731238</v>
      </c>
      <c r="H78" s="43"/>
      <c r="I78" s="8"/>
      <c r="J78" s="8"/>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43">
        <v>0.20962640863707899</v>
      </c>
      <c r="F79" s="71">
        <f t="shared" si="2"/>
        <v>20.9626408637079</v>
      </c>
      <c r="G79" s="84">
        <f t="shared" si="3"/>
        <v>214.44781603573179</v>
      </c>
      <c r="H79" s="43"/>
      <c r="I79" s="8"/>
      <c r="J79" s="8"/>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43">
        <v>0.214367242243865</v>
      </c>
      <c r="F80" s="71">
        <f t="shared" si="2"/>
        <v>21.436724224386499</v>
      </c>
      <c r="G80" s="84">
        <f t="shared" si="3"/>
        <v>219.29768881547389</v>
      </c>
      <c r="H80" s="43"/>
      <c r="I80" s="8"/>
      <c r="J80" s="8"/>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43">
        <v>0.21917673757141301</v>
      </c>
      <c r="F81" s="71">
        <f t="shared" si="2"/>
        <v>21.917673757141301</v>
      </c>
      <c r="G81" s="84">
        <f t="shared" si="3"/>
        <v>224.21780253555551</v>
      </c>
      <c r="H81" s="43"/>
      <c r="I81" s="8"/>
      <c r="J81" s="8"/>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43">
        <v>0.224052115160983</v>
      </c>
      <c r="F82" s="71">
        <f t="shared" si="2"/>
        <v>22.405211516098301</v>
      </c>
      <c r="G82" s="84">
        <f t="shared" si="3"/>
        <v>229.20531380968561</v>
      </c>
      <c r="H82" s="43"/>
      <c r="I82" s="8"/>
      <c r="J82" s="8"/>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43">
        <v>0.22899061226881301</v>
      </c>
      <c r="F83" s="71">
        <f t="shared" si="2"/>
        <v>22.899061226881301</v>
      </c>
      <c r="G83" s="84">
        <f t="shared" si="3"/>
        <v>234.25739635099572</v>
      </c>
      <c r="H83" s="43"/>
      <c r="I83" s="8"/>
      <c r="J83" s="8"/>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43">
        <v>0.233989494262627</v>
      </c>
      <c r="F84" s="71">
        <f t="shared" si="2"/>
        <v>23.3989494262627</v>
      </c>
      <c r="G84" s="84">
        <f t="shared" si="3"/>
        <v>239.37125263066741</v>
      </c>
      <c r="H84" s="43"/>
      <c r="I84" s="8"/>
      <c r="J84" s="8"/>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43">
        <v>0.23904606477773899</v>
      </c>
      <c r="F85" s="71">
        <f t="shared" si="2"/>
        <v>23.9046064777739</v>
      </c>
      <c r="G85" s="84">
        <f t="shared" si="3"/>
        <v>244.54412426762698</v>
      </c>
      <c r="H85" s="43"/>
      <c r="I85" s="8"/>
      <c r="J85" s="8"/>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43">
        <v>0.24415767472758401</v>
      </c>
      <c r="F86" s="71">
        <f t="shared" si="2"/>
        <v>24.4157674727584</v>
      </c>
      <c r="G86" s="84">
        <f t="shared" si="3"/>
        <v>249.77330124631845</v>
      </c>
      <c r="H86" s="43"/>
      <c r="I86" s="8"/>
      <c r="J86" s="8"/>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43">
        <v>0.24932173021575799</v>
      </c>
      <c r="F87" s="71">
        <f t="shared" si="2"/>
        <v>24.9321730215758</v>
      </c>
      <c r="G87" s="84">
        <f t="shared" si="3"/>
        <v>255.05613001072041</v>
      </c>
      <c r="H87" s="43"/>
      <c r="I87" s="8"/>
      <c r="J87" s="8"/>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43">
        <v>0.25453569926360298</v>
      </c>
      <c r="F88" s="71">
        <f t="shared" si="2"/>
        <v>25.453569926360299</v>
      </c>
      <c r="G88" s="84">
        <f t="shared" si="3"/>
        <v>260.39002034666584</v>
      </c>
      <c r="H88" s="43"/>
      <c r="I88" s="8"/>
      <c r="J88" s="8"/>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43">
        <v>0.25979711763169699</v>
      </c>
      <c r="F89" s="71">
        <f t="shared" si="2"/>
        <v>25.9797117631697</v>
      </c>
      <c r="G89" s="84">
        <f t="shared" si="3"/>
        <v>265.77245133722602</v>
      </c>
      <c r="H89" s="43"/>
      <c r="I89" s="8"/>
      <c r="J89" s="8"/>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43">
        <v>0.26510359350618601</v>
      </c>
      <c r="F90" s="71">
        <f t="shared" si="2"/>
        <v>26.5103593506186</v>
      </c>
      <c r="G90" s="84">
        <f t="shared" si="3"/>
        <v>271.20097615682829</v>
      </c>
      <c r="H90" s="43"/>
      <c r="I90" s="8"/>
      <c r="J90" s="8"/>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43">
        <v>0.27045281127804199</v>
      </c>
      <c r="F91" s="71">
        <f t="shared" si="2"/>
        <v>27.045281127804198</v>
      </c>
      <c r="G91" s="84">
        <f t="shared" si="3"/>
        <v>276.67322593743694</v>
      </c>
      <c r="H91" s="43"/>
      <c r="I91" s="8"/>
      <c r="J91" s="8"/>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43">
        <v>0.27584253446998602</v>
      </c>
      <c r="F92" s="71">
        <f t="shared" si="2"/>
        <v>27.584253446998602</v>
      </c>
      <c r="G92" s="84">
        <f t="shared" si="3"/>
        <v>282.18691276279571</v>
      </c>
      <c r="H92" s="43"/>
      <c r="I92" s="8"/>
      <c r="J92" s="8"/>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43">
        <v>0.28127060787067398</v>
      </c>
      <c r="F93" s="71">
        <f t="shared" si="2"/>
        <v>28.1270607870674</v>
      </c>
      <c r="G93" s="84">
        <f t="shared" si="3"/>
        <v>287.73983185169948</v>
      </c>
      <c r="H93" s="43"/>
      <c r="I93" s="8"/>
      <c r="J93" s="8"/>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43">
        <v>0.28673495889417999</v>
      </c>
      <c r="F94" s="71">
        <f t="shared" si="2"/>
        <v>28.673495889418</v>
      </c>
      <c r="G94" s="84">
        <f t="shared" si="3"/>
        <v>293.32986294874615</v>
      </c>
      <c r="H94" s="43"/>
      <c r="I94" s="8"/>
      <c r="J94" s="8"/>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43">
        <v>0.29223359829655798</v>
      </c>
      <c r="F95" s="71">
        <f t="shared" si="2"/>
        <v>29.223359829655799</v>
      </c>
      <c r="G95" s="84">
        <f t="shared" si="3"/>
        <v>298.95497105737883</v>
      </c>
      <c r="H95" s="43"/>
      <c r="I95" s="8"/>
      <c r="J95" s="8"/>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43">
        <v>0.29776462038600499</v>
      </c>
      <c r="F96" s="71">
        <f t="shared" si="2"/>
        <v>29.776462038600499</v>
      </c>
      <c r="G96" s="84">
        <f t="shared" si="3"/>
        <v>304.61320665488307</v>
      </c>
      <c r="H96" s="43"/>
      <c r="I96" s="8"/>
      <c r="J96" s="8"/>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43">
        <v>0.30332620253499099</v>
      </c>
      <c r="F97" s="71">
        <f t="shared" si="2"/>
        <v>30.332620253499098</v>
      </c>
      <c r="G97" s="84">
        <f t="shared" si="3"/>
        <v>310.30270519329576</v>
      </c>
      <c r="H97" s="43"/>
      <c r="I97" s="8"/>
      <c r="J97" s="8"/>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43">
        <v>0.30891660447366298</v>
      </c>
      <c r="F98" s="71">
        <f t="shared" si="2"/>
        <v>30.891660447366299</v>
      </c>
      <c r="G98" s="84">
        <f t="shared" si="3"/>
        <v>316.02168637655723</v>
      </c>
      <c r="H98" s="43"/>
      <c r="I98" s="8"/>
      <c r="J98" s="8"/>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43">
        <v>0.31453416697749997</v>
      </c>
      <c r="F99" s="71">
        <f t="shared" si="2"/>
        <v>31.453416697749997</v>
      </c>
      <c r="G99" s="84">
        <f t="shared" si="3"/>
        <v>321.76845281798245</v>
      </c>
      <c r="H99" s="43"/>
      <c r="I99" s="8"/>
      <c r="J99" s="8"/>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43">
        <v>0.320177310337184</v>
      </c>
      <c r="F100" s="71">
        <f t="shared" si="2"/>
        <v>32.017731033718398</v>
      </c>
      <c r="G100" s="84">
        <f t="shared" si="3"/>
        <v>327.54138847493925</v>
      </c>
      <c r="H100" s="43"/>
      <c r="I100" s="8"/>
      <c r="J100" s="8"/>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43">
        <v>0.325844532554252</v>
      </c>
      <c r="F101" s="71">
        <f t="shared" si="2"/>
        <v>32.584453255425203</v>
      </c>
      <c r="G101" s="84">
        <f t="shared" si="3"/>
        <v>333.3389568029998</v>
      </c>
      <c r="H101" s="43"/>
      <c r="I101" s="8"/>
      <c r="J101" s="8"/>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43">
        <v>0.33153440725460298</v>
      </c>
      <c r="F102" s="71">
        <f t="shared" si="2"/>
        <v>33.1534407254603</v>
      </c>
      <c r="G102" s="84">
        <f t="shared" si="3"/>
        <v>339.15969862145886</v>
      </c>
      <c r="H102" s="43"/>
      <c r="I102" s="8"/>
      <c r="J102" s="8"/>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43">
        <v>0.33724558139816402</v>
      </c>
      <c r="F103" s="71">
        <f t="shared" si="2"/>
        <v>33.724558139816402</v>
      </c>
      <c r="G103" s="84">
        <f t="shared" si="3"/>
        <v>345.00222977032178</v>
      </c>
      <c r="H103" s="43"/>
      <c r="I103" s="8"/>
      <c r="J103" s="8"/>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43">
        <v>0.34297677310543701</v>
      </c>
      <c r="F104" s="71">
        <f t="shared" si="2"/>
        <v>34.297677310543698</v>
      </c>
      <c r="G104" s="84">
        <f t="shared" si="3"/>
        <v>350.86523888686207</v>
      </c>
      <c r="H104" s="43"/>
      <c r="I104" s="8"/>
      <c r="J104" s="8"/>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43">
        <v>0.34872676877050501</v>
      </c>
      <c r="F105" s="71">
        <f t="shared" si="2"/>
        <v>34.872676877050502</v>
      </c>
      <c r="G105" s="84">
        <f t="shared" si="3"/>
        <v>356.74748445222662</v>
      </c>
      <c r="H105" s="43"/>
      <c r="I105" s="8"/>
      <c r="J105" s="8"/>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43">
        <v>0.35449442076787402</v>
      </c>
      <c r="F106" s="71">
        <f t="shared" si="2"/>
        <v>35.449442076787399</v>
      </c>
      <c r="G106" s="84">
        <f t="shared" si="3"/>
        <v>362.64779244553512</v>
      </c>
      <c r="H106" s="43"/>
      <c r="I106" s="8"/>
      <c r="J106" s="8"/>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43">
        <v>0.36027864490440398</v>
      </c>
      <c r="F107" s="71">
        <f t="shared" si="2"/>
        <v>36.0278644904404</v>
      </c>
      <c r="G107" s="84">
        <f t="shared" si="3"/>
        <v>368.56505373720529</v>
      </c>
      <c r="H107" s="43"/>
      <c r="I107" s="8"/>
      <c r="J107" s="8"/>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43">
        <v>0.36607841744036401</v>
      </c>
      <c r="F108" s="71">
        <f t="shared" si="2"/>
        <v>36.607841744036399</v>
      </c>
      <c r="G108" s="84">
        <f t="shared" si="3"/>
        <v>374.4982210414924</v>
      </c>
      <c r="H108" s="43"/>
      <c r="I108" s="8"/>
      <c r="J108" s="8"/>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43">
        <v>0.37189277285601202</v>
      </c>
      <c r="F109" s="71">
        <f t="shared" si="2"/>
        <v>37.1892772856012</v>
      </c>
      <c r="G109" s="84">
        <f t="shared" si="3"/>
        <v>380.44630663170028</v>
      </c>
      <c r="H109" s="43"/>
      <c r="I109" s="8"/>
      <c r="J109" s="8"/>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43">
        <v>0.37772080081200698</v>
      </c>
      <c r="F110" s="71">
        <f t="shared" si="2"/>
        <v>37.772080081200698</v>
      </c>
      <c r="G110" s="84">
        <f t="shared" si="3"/>
        <v>386.40837923068312</v>
      </c>
      <c r="H110" s="43"/>
      <c r="I110" s="8"/>
      <c r="J110" s="8"/>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43">
        <v>0.38356164383561597</v>
      </c>
      <c r="F111" s="71">
        <f t="shared" si="2"/>
        <v>38.356164383561598</v>
      </c>
      <c r="G111" s="84">
        <f t="shared" si="3"/>
        <v>392.38356164383515</v>
      </c>
      <c r="H111" s="43"/>
      <c r="I111" s="8"/>
      <c r="J111" s="8"/>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43">
        <v>0.38941449473579798</v>
      </c>
      <c r="F112" s="71">
        <f t="shared" si="2"/>
        <v>38.941449473579794</v>
      </c>
      <c r="G112" s="84">
        <f t="shared" si="3"/>
        <v>398.37102811472135</v>
      </c>
      <c r="H112" s="43"/>
      <c r="I112" s="8"/>
      <c r="J112" s="8"/>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43">
        <v>0.39527859394056297</v>
      </c>
      <c r="F113" s="71">
        <f t="shared" si="2"/>
        <v>39.5278593940563</v>
      </c>
      <c r="G113" s="84">
        <f t="shared" si="3"/>
        <v>404.3700016011959</v>
      </c>
      <c r="H113" s="43"/>
      <c r="I113" s="8"/>
      <c r="J113" s="8"/>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43">
        <v>0.40115322731198799</v>
      </c>
      <c r="F114" s="71">
        <f t="shared" si="2"/>
        <v>40.115322731198802</v>
      </c>
      <c r="G114" s="84">
        <f t="shared" si="3"/>
        <v>410.37975154016374</v>
      </c>
      <c r="H114" s="43"/>
      <c r="I114" s="8"/>
      <c r="J114" s="8"/>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43">
        <v>0.40703772357981199</v>
      </c>
      <c r="F115" s="71">
        <f t="shared" si="2"/>
        <v>40.703772357981201</v>
      </c>
      <c r="G115" s="84">
        <f t="shared" si="3"/>
        <v>416.39959122214765</v>
      </c>
      <c r="H115" s="43"/>
      <c r="I115" s="8"/>
      <c r="J115" s="8"/>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43">
        <v>0.41293145220836502</v>
      </c>
      <c r="F116" s="71">
        <f t="shared" si="2"/>
        <v>41.2931452208365</v>
      </c>
      <c r="G116" s="84">
        <f t="shared" si="3"/>
        <v>422.42887560915744</v>
      </c>
      <c r="H116" s="43"/>
      <c r="I116" s="8"/>
      <c r="J116" s="8"/>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43">
        <v>0.418833821103134</v>
      </c>
      <c r="F117" s="71">
        <f t="shared" si="2"/>
        <v>41.883382110313399</v>
      </c>
      <c r="G117" s="84">
        <f t="shared" si="3"/>
        <v>428.46699898850608</v>
      </c>
      <c r="H117" s="43"/>
      <c r="I117" s="8"/>
      <c r="J117" s="8"/>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43">
        <v>0.42474427450155999</v>
      </c>
      <c r="F118" s="71">
        <f t="shared" si="2"/>
        <v>42.474427450156</v>
      </c>
      <c r="G118" s="84">
        <f t="shared" si="3"/>
        <v>434.51339281509587</v>
      </c>
      <c r="H118" s="43"/>
      <c r="I118" s="8"/>
      <c r="J118" s="8"/>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43">
        <v>0.43066229104102599</v>
      </c>
      <c r="F119" s="71">
        <f t="shared" si="2"/>
        <v>43.066229104102597</v>
      </c>
      <c r="G119" s="84">
        <f t="shared" si="3"/>
        <v>440.5675237349696</v>
      </c>
      <c r="H119" s="43"/>
      <c r="I119" s="8"/>
      <c r="J119" s="8"/>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43">
        <v>0.43658738172603601</v>
      </c>
      <c r="F120" s="71">
        <f t="shared" si="2"/>
        <v>43.658738172603599</v>
      </c>
      <c r="G120" s="84">
        <f t="shared" si="3"/>
        <v>446.62889150573483</v>
      </c>
      <c r="H120" s="43"/>
      <c r="I120" s="8"/>
      <c r="J120" s="8"/>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43">
        <v>0.442519088068835</v>
      </c>
      <c r="F121" s="71">
        <f t="shared" si="2"/>
        <v>44.251908806883499</v>
      </c>
      <c r="G121" s="84">
        <f t="shared" si="3"/>
        <v>452.69702709441822</v>
      </c>
      <c r="H121" s="43"/>
      <c r="I121" s="8"/>
      <c r="J121" s="8"/>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43">
        <v>0.44845698040813098</v>
      </c>
      <c r="F122" s="71">
        <f t="shared" si="2"/>
        <v>44.845698040813097</v>
      </c>
      <c r="G122" s="84">
        <f t="shared" si="3"/>
        <v>458.77149095751798</v>
      </c>
      <c r="H122" s="43"/>
      <c r="I122" s="8"/>
      <c r="J122" s="8"/>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43">
        <v>0.454400656134962</v>
      </c>
      <c r="F123" s="71">
        <f t="shared" si="2"/>
        <v>45.440065613496202</v>
      </c>
      <c r="G123" s="84">
        <f t="shared" si="3"/>
        <v>464.85187122606612</v>
      </c>
      <c r="H123" s="43"/>
      <c r="I123" s="8"/>
      <c r="J123" s="8"/>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43">
        <v>0.460349738115991</v>
      </c>
      <c r="F124" s="71">
        <f t="shared" si="2"/>
        <v>46.034973811599102</v>
      </c>
      <c r="G124" s="84">
        <f t="shared" si="3"/>
        <v>470.93778209265878</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43">
        <v>0.4663038732002</v>
      </c>
      <c r="F125" s="71">
        <f t="shared" si="2"/>
        <v>46.630387320019999</v>
      </c>
      <c r="G125" s="84">
        <f t="shared" si="3"/>
        <v>477.02886228380459</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43">
        <v>0.47226273074029101</v>
      </c>
      <c r="F126" s="71">
        <f t="shared" si="2"/>
        <v>47.226273074029102</v>
      </c>
      <c r="G126" s="84">
        <f t="shared" si="3"/>
        <v>483.12477354731772</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43">
        <v>0.47822600123311498</v>
      </c>
      <c r="F127" s="71">
        <f t="shared" si="2"/>
        <v>47.822600123311496</v>
      </c>
      <c r="G127" s="84">
        <f t="shared" si="3"/>
        <v>489.22519926147663</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43">
        <v>0.48419339509930798</v>
      </c>
      <c r="F128" s="71">
        <f t="shared" si="2"/>
        <v>48.419339509930801</v>
      </c>
      <c r="G128" s="84">
        <f t="shared" si="3"/>
        <v>495.32984318659209</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43">
        <v>0.49016464132302101</v>
      </c>
      <c r="F129" s="71">
        <f t="shared" si="2"/>
        <v>49.016464132302104</v>
      </c>
      <c r="G129" s="84">
        <f t="shared" si="3"/>
        <v>501.4384280734505</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43">
        <v>0.496139486418049</v>
      </c>
      <c r="F130" s="71">
        <f t="shared" si="2"/>
        <v>49.613948641804903</v>
      </c>
      <c r="G130" s="84">
        <f t="shared" si="3"/>
        <v>507.55069460566415</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43">
        <v>0.50211769330431799</v>
      </c>
      <c r="F131" s="71">
        <f t="shared" si="2"/>
        <v>50.2117693304318</v>
      </c>
      <c r="G131" s="84">
        <f t="shared" si="3"/>
        <v>513.66640025031734</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43">
        <v>0.50809904025864905</v>
      </c>
      <c r="F132" s="71">
        <f t="shared" si="2"/>
        <v>50.809904025864903</v>
      </c>
      <c r="G132" s="84">
        <f t="shared" si="3"/>
        <v>519.78531818459794</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43">
        <v>0.51408331998699397</v>
      </c>
      <c r="F133" s="71">
        <f t="shared" si="2"/>
        <v>51.408331998699396</v>
      </c>
      <c r="G133" s="84">
        <f t="shared" si="3"/>
        <v>525.90723634669484</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43">
        <v>0.52007033867615804</v>
      </c>
      <c r="F134" s="71">
        <f t="shared" si="2"/>
        <v>52.007033867615803</v>
      </c>
      <c r="G134" s="84">
        <f t="shared" si="3"/>
        <v>532.03195646570964</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43">
        <v>0.526059915178682</v>
      </c>
      <c r="F135" s="71">
        <f t="shared" si="2"/>
        <v>52.605991517868198</v>
      </c>
      <c r="G135" s="84">
        <f t="shared" si="3"/>
        <v>538.15929322779164</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43">
        <v>0.53205188017151706</v>
      </c>
      <c r="F136" s="71">
        <f t="shared" si="2"/>
        <v>53.205188017151706</v>
      </c>
      <c r="G136" s="84">
        <f t="shared" si="3"/>
        <v>544.28907341546198</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43">
        <v>0.53804607542205896</v>
      </c>
      <c r="F137" s="71">
        <f t="shared" si="2"/>
        <v>53.804607542205893</v>
      </c>
      <c r="G137" s="84">
        <f t="shared" si="3"/>
        <v>550.42113515676635</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43">
        <v>0.54404235308558901</v>
      </c>
      <c r="F138" s="71">
        <f t="shared" si="2"/>
        <v>54.404235308558903</v>
      </c>
      <c r="G138" s="84">
        <f t="shared" si="3"/>
        <v>556.55532720655754</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43">
        <v>0.55004057496947101</v>
      </c>
      <c r="F139" s="71">
        <f t="shared" si="2"/>
        <v>55.004057496947098</v>
      </c>
      <c r="G139" s="84">
        <f t="shared" si="3"/>
        <v>562.69150819376887</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43">
        <v>0.55604061209863398</v>
      </c>
      <c r="F140" s="71">
        <f t="shared" si="2"/>
        <v>55.604061209863396</v>
      </c>
      <c r="G140" s="84">
        <f t="shared" si="3"/>
        <v>568.82954617690257</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43">
        <v>0.56204234382158302</v>
      </c>
      <c r="F141" s="71">
        <f t="shared" si="2"/>
        <v>56.204234382158305</v>
      </c>
      <c r="G141" s="84">
        <f t="shared" si="3"/>
        <v>574.96931772947949</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43">
        <v>0.568045657561285</v>
      </c>
      <c r="F142" s="71">
        <f t="shared" si="2"/>
        <v>56.804565756128497</v>
      </c>
      <c r="G142" s="84">
        <f t="shared" si="3"/>
        <v>581.1107076851946</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43">
        <v>0.57405044811450601</v>
      </c>
      <c r="F143" s="71">
        <f t="shared" si="2"/>
        <v>57.405044811450601</v>
      </c>
      <c r="G143" s="84">
        <f t="shared" si="3"/>
        <v>587.25360842113969</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43">
        <v>0.58005661725018198</v>
      </c>
      <c r="F144" s="71">
        <f t="shared" si="2"/>
        <v>58.0056617250182</v>
      </c>
      <c r="G144" s="84">
        <f t="shared" si="3"/>
        <v>593.39791944693616</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43">
        <v>0.58606407324657706</v>
      </c>
      <c r="F145" s="71">
        <f t="shared" si="2"/>
        <v>58.606407324657702</v>
      </c>
      <c r="G145" s="84">
        <f t="shared" si="3"/>
        <v>599.54354693124833</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43">
        <v>0.59207273034585695</v>
      </c>
      <c r="F146" s="71">
        <f t="shared" si="2"/>
        <v>59.207273034585697</v>
      </c>
      <c r="G146" s="84">
        <f t="shared" si="3"/>
        <v>605.69040314381164</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43">
        <v>0.59808250860683898</v>
      </c>
      <c r="F147" s="71">
        <f t="shared" si="2"/>
        <v>59.808250860683899</v>
      </c>
      <c r="G147" s="84">
        <f t="shared" si="3"/>
        <v>611.83840630479631</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43">
        <v>0.60409333331985404</v>
      </c>
      <c r="F148" s="71">
        <f t="shared" si="2"/>
        <v>60.409333331985401</v>
      </c>
      <c r="G148" s="84">
        <f t="shared" si="3"/>
        <v>617.9874799862107</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43">
        <v>0.61010513469046801</v>
      </c>
      <c r="F149" s="71">
        <f t="shared" si="2"/>
        <v>61.010513469046799</v>
      </c>
      <c r="G149" s="84">
        <f t="shared" si="3"/>
        <v>624.13755278834878</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43">
        <v>0.61611784768717504</v>
      </c>
      <c r="F150" s="71">
        <f t="shared" si="2"/>
        <v>61.611784768717506</v>
      </c>
      <c r="G150" s="84">
        <f t="shared" si="3"/>
        <v>630.28855818398006</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43">
        <v>0.62213141142899697</v>
      </c>
      <c r="F151" s="71">
        <f t="shared" si="2"/>
        <v>62.213141142899694</v>
      </c>
      <c r="G151" s="84">
        <f t="shared" si="3"/>
        <v>636.4404338918639</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43">
        <v>0.62814576920243204</v>
      </c>
      <c r="F152" s="71">
        <f t="shared" si="2"/>
        <v>62.814576920243205</v>
      </c>
      <c r="G152" s="84">
        <f t="shared" si="3"/>
        <v>642.59312189408797</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43">
        <v>0.63416086800983196</v>
      </c>
      <c r="F153" s="71">
        <f t="shared" si="2"/>
        <v>63.416086800983194</v>
      </c>
      <c r="G153" s="84">
        <f t="shared" si="3"/>
        <v>648.74656797405805</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43">
        <v>0.64017665840221805</v>
      </c>
      <c r="F154" s="71">
        <f t="shared" si="2"/>
        <v>64.01766584022181</v>
      </c>
      <c r="G154" s="84">
        <f t="shared" si="3"/>
        <v>654.90072154546908</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43">
        <v>0.646193094213526</v>
      </c>
      <c r="F155" s="71">
        <f t="shared" si="2"/>
        <v>64.619309421352597</v>
      </c>
      <c r="G155" s="84">
        <f t="shared" si="3"/>
        <v>661.05553538043705</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43">
        <v>0.65221013233563596</v>
      </c>
      <c r="F156" s="71">
        <f t="shared" si="2"/>
        <v>65.221013233563596</v>
      </c>
      <c r="G156" s="84">
        <f t="shared" si="3"/>
        <v>667.21096537935557</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43">
        <v>0.65822773253670197</v>
      </c>
      <c r="F157" s="71">
        <f t="shared" si="2"/>
        <v>65.822773253670192</v>
      </c>
      <c r="G157" s="84">
        <f t="shared" si="3"/>
        <v>673.3669703850461</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43">
        <v>0.66424585726713203</v>
      </c>
      <c r="F158" s="71">
        <f t="shared" si="2"/>
        <v>66.424585726713204</v>
      </c>
      <c r="G158" s="84">
        <f t="shared" si="3"/>
        <v>679.52351198427607</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43">
        <v>0.67026447150947799</v>
      </c>
      <c r="F159" s="71">
        <f t="shared" si="2"/>
        <v>67.026447150947803</v>
      </c>
      <c r="G159" s="84">
        <f t="shared" si="3"/>
        <v>685.68055435419603</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43">
        <v>0.67628354252033096</v>
      </c>
      <c r="F160" s="71">
        <f t="shared" si="2"/>
        <v>67.628354252033091</v>
      </c>
      <c r="G160" s="84">
        <f t="shared" si="3"/>
        <v>691.83806399829859</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43">
        <v>0.68230303980653995</v>
      </c>
      <c r="F161" s="71">
        <f t="shared" si="2"/>
        <v>68.230303980654</v>
      </c>
      <c r="G161" s="84">
        <f t="shared" si="3"/>
        <v>697.99600972209032</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43">
        <v>0.68832293485488505</v>
      </c>
      <c r="F162" s="71">
        <f t="shared" si="2"/>
        <v>68.832293485488506</v>
      </c>
      <c r="G162" s="84">
        <f t="shared" si="3"/>
        <v>704.15436235654738</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43">
        <v>0.69434320109112802</v>
      </c>
      <c r="F163" s="71">
        <f t="shared" si="2"/>
        <v>69.434320109112804</v>
      </c>
      <c r="G163" s="84">
        <f t="shared" si="3"/>
        <v>710.31309471622399</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43">
        <v>0.70036381368406897</v>
      </c>
      <c r="F164" s="71">
        <f t="shared" si="2"/>
        <v>70.036381368406893</v>
      </c>
      <c r="G164" s="84">
        <f t="shared" si="3"/>
        <v>716.4721813988026</v>
      </c>
      <c r="H164" s="43"/>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43">
        <v>0.70638474948072105</v>
      </c>
      <c r="F165" s="71">
        <f t="shared" si="2"/>
        <v>70.638474948072101</v>
      </c>
      <c r="G165" s="84">
        <f t="shared" si="3"/>
        <v>722.63159871877758</v>
      </c>
      <c r="H165" s="43"/>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43">
        <v>0.71240598686929801</v>
      </c>
      <c r="F166" s="71">
        <f t="shared" si="2"/>
        <v>71.2405986869298</v>
      </c>
      <c r="G166" s="84">
        <f t="shared" si="3"/>
        <v>728.79132456729189</v>
      </c>
      <c r="H166" s="43"/>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43">
        <v>0.71842750568454705</v>
      </c>
      <c r="F167" s="71">
        <f t="shared" si="2"/>
        <v>71.842750568454704</v>
      </c>
      <c r="G167" s="84">
        <f t="shared" si="3"/>
        <v>734.95133831529165</v>
      </c>
      <c r="H167" s="43"/>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43">
        <v>0.72444928709892298</v>
      </c>
      <c r="F168" s="71">
        <f t="shared" si="2"/>
        <v>72.444928709892295</v>
      </c>
      <c r="G168" s="84">
        <f t="shared" si="3"/>
        <v>741.11162070219825</v>
      </c>
      <c r="H168" s="43"/>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43">
        <v>0.73047131355526995</v>
      </c>
      <c r="F169" s="71">
        <f t="shared" si="2"/>
        <v>73.047131355527</v>
      </c>
      <c r="G169" s="84">
        <f t="shared" si="3"/>
        <v>747.27215376704112</v>
      </c>
      <c r="H169" s="43"/>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43">
        <v>0.73649356862084603</v>
      </c>
      <c r="F170" s="71">
        <f t="shared" si="2"/>
        <v>73.649356862084602</v>
      </c>
      <c r="G170" s="84">
        <f t="shared" si="3"/>
        <v>753.43292069912548</v>
      </c>
      <c r="H170" s="43"/>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43">
        <v>0.74251603708218805</v>
      </c>
      <c r="F171" s="71">
        <f t="shared" si="2"/>
        <v>74.251603708218809</v>
      </c>
      <c r="G171" s="84">
        <f t="shared" si="3"/>
        <v>759.5939059350784</v>
      </c>
      <c r="H171" s="43"/>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43">
        <v>0.74853870460888094</v>
      </c>
      <c r="F172" s="71">
        <f t="shared" si="2"/>
        <v>74.853870460888089</v>
      </c>
      <c r="G172" s="84">
        <f t="shared" si="3"/>
        <v>765.75509481488518</v>
      </c>
      <c r="H172" s="43"/>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43">
        <v>0.75456155787107104</v>
      </c>
      <c r="F173" s="71">
        <f t="shared" si="2"/>
        <v>75.456155787107107</v>
      </c>
      <c r="G173" s="84">
        <f t="shared" si="3"/>
        <v>771.91647370210569</v>
      </c>
      <c r="H173" s="43"/>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43">
        <v>0.76058458445386901</v>
      </c>
      <c r="F174" s="71">
        <f t="shared" si="2"/>
        <v>76.058458445386904</v>
      </c>
      <c r="G174" s="84">
        <f t="shared" si="3"/>
        <v>778.07802989630795</v>
      </c>
      <c r="H174" s="43"/>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43">
        <v>0.766607772776421</v>
      </c>
      <c r="F175" s="71">
        <f t="shared" si="2"/>
        <v>76.660777277642097</v>
      </c>
      <c r="G175" s="84">
        <f t="shared" si="3"/>
        <v>784.2397515502787</v>
      </c>
      <c r="H175" s="43"/>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43">
        <v>0.77263111202530699</v>
      </c>
      <c r="F176" s="71">
        <f t="shared" si="2"/>
        <v>77.263111202530695</v>
      </c>
      <c r="G176" s="84">
        <f t="shared" si="3"/>
        <v>790.401627601889</v>
      </c>
      <c r="H176" s="43"/>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43">
        <v>0.77865459207174703</v>
      </c>
      <c r="F177" s="71">
        <f t="shared" si="2"/>
        <v>77.865459207174709</v>
      </c>
      <c r="G177" s="84">
        <f t="shared" si="3"/>
        <v>796.56364768939716</v>
      </c>
      <c r="H177" s="43"/>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43">
        <v>0.78467820346147799</v>
      </c>
      <c r="F178" s="71">
        <f t="shared" si="2"/>
        <v>78.467820346147803</v>
      </c>
      <c r="G178" s="84">
        <f t="shared" si="3"/>
        <v>802.725802141092</v>
      </c>
      <c r="H178" s="43"/>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43">
        <v>0.79070193748600304</v>
      </c>
      <c r="F179" s="71">
        <f t="shared" si="2"/>
        <v>79.070193748600303</v>
      </c>
      <c r="G179" s="84">
        <f t="shared" si="3"/>
        <v>808.8880820481811</v>
      </c>
      <c r="H179" s="43"/>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43">
        <v>0.79672578589155996</v>
      </c>
      <c r="F180" s="71">
        <f t="shared" si="2"/>
        <v>79.672578589155989</v>
      </c>
      <c r="G180" s="84">
        <f t="shared" si="3"/>
        <v>815.05047896706583</v>
      </c>
      <c r="H180" s="43"/>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43">
        <v>0.80274974099257301</v>
      </c>
      <c r="F181" s="71">
        <f t="shared" si="2"/>
        <v>80.274974099257307</v>
      </c>
      <c r="G181" s="84">
        <f t="shared" si="3"/>
        <v>821.2129850354022</v>
      </c>
      <c r="H181" s="43"/>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43">
        <v>0.80877379570965402</v>
      </c>
      <c r="F182" s="71">
        <f t="shared" si="2"/>
        <v>80.877379570965402</v>
      </c>
      <c r="G182" s="84">
        <f t="shared" si="3"/>
        <v>827.3755930109761</v>
      </c>
      <c r="H182" s="43"/>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43">
        <v>0.81479794332614497</v>
      </c>
      <c r="F183" s="71">
        <f t="shared" si="2"/>
        <v>81.479794332614503</v>
      </c>
      <c r="G183" s="84">
        <f t="shared" si="3"/>
        <v>833.53829602264625</v>
      </c>
      <c r="H183" s="43"/>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43">
        <v>0.820822177636365</v>
      </c>
      <c r="F184" s="71">
        <f t="shared" si="2"/>
        <v>82.082217763636507</v>
      </c>
      <c r="G184" s="84">
        <f t="shared" si="3"/>
        <v>839.70108772200138</v>
      </c>
      <c r="H184" s="43"/>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43">
        <v>0.82684649285385603</v>
      </c>
      <c r="F185" s="71">
        <f t="shared" si="2"/>
        <v>82.684649285385603</v>
      </c>
      <c r="G185" s="84">
        <f t="shared" si="3"/>
        <v>845.86396218949471</v>
      </c>
      <c r="H185" s="43"/>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43">
        <v>0.83287088357243499</v>
      </c>
      <c r="F186" s="71">
        <f t="shared" si="2"/>
        <v>83.287088357243505</v>
      </c>
      <c r="G186" s="84">
        <f t="shared" si="3"/>
        <v>852.02691389460097</v>
      </c>
      <c r="H186" s="43"/>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43">
        <v>0.83889534468431404</v>
      </c>
      <c r="F187" s="71">
        <f t="shared" si="2"/>
        <v>83.889534468431407</v>
      </c>
      <c r="G187" s="84">
        <f t="shared" si="3"/>
        <v>858.18993761205331</v>
      </c>
      <c r="H187" s="43"/>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43">
        <v>0.84491987151853398</v>
      </c>
      <c r="F188" s="71">
        <f t="shared" si="2"/>
        <v>84.491987151853394</v>
      </c>
      <c r="G188" s="84">
        <f t="shared" si="3"/>
        <v>864.35302856346027</v>
      </c>
      <c r="H188" s="43"/>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43">
        <v>0.85094445968583998</v>
      </c>
      <c r="F189" s="71">
        <f t="shared" si="2"/>
        <v>85.094445968583997</v>
      </c>
      <c r="G189" s="84">
        <f t="shared" si="3"/>
        <v>870.51618225861432</v>
      </c>
      <c r="H189" s="43"/>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43">
        <v>0.85696910503728396</v>
      </c>
      <c r="F190" s="71">
        <f t="shared" si="2"/>
        <v>85.69691050372839</v>
      </c>
      <c r="G190" s="84">
        <f t="shared" si="3"/>
        <v>876.67939445314153</v>
      </c>
      <c r="H190" s="43"/>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43">
        <v>0.86299380377394697</v>
      </c>
      <c r="F191" s="71">
        <f t="shared" si="2"/>
        <v>86.299380377394698</v>
      </c>
      <c r="G191" s="84">
        <f t="shared" si="3"/>
        <v>882.84266126074772</v>
      </c>
      <c r="H191" s="43"/>
      <c r="I191" s="8"/>
      <c r="J191" s="8"/>
      <c r="K191" s="8"/>
      <c r="L191" s="8"/>
      <c r="M191" s="8"/>
      <c r="N191" s="8"/>
      <c r="O191" s="8"/>
      <c r="P191" s="8"/>
      <c r="Q191" s="8"/>
      <c r="R191" s="8"/>
      <c r="S191" s="8"/>
      <c r="T191" s="8"/>
      <c r="U191" s="8"/>
      <c r="V191" s="8"/>
      <c r="W191" s="8"/>
      <c r="X191" s="8"/>
      <c r="Y191" s="8"/>
      <c r="Z191" s="8"/>
      <c r="AA191" s="8"/>
      <c r="AB191" s="8"/>
      <c r="AC191" s="8"/>
    </row>
    <row r="192" spans="1:29" ht="15">
      <c r="A192" s="8"/>
      <c r="B192" s="69">
        <v>162</v>
      </c>
      <c r="C192" s="43" t="s">
        <v>388</v>
      </c>
      <c r="D192" s="43">
        <f>0.18*2^8.1</f>
        <v>49.387321153672374</v>
      </c>
      <c r="E192" s="43">
        <v>0.86901855230837799</v>
      </c>
      <c r="F192" s="71">
        <f t="shared" si="2"/>
        <v>86.901855230837796</v>
      </c>
      <c r="G192" s="84">
        <f t="shared" si="3"/>
        <v>889.00597901147069</v>
      </c>
      <c r="H192" s="43"/>
      <c r="I192" s="8"/>
      <c r="J192" s="8"/>
      <c r="K192" s="8"/>
      <c r="L192" s="8"/>
      <c r="M192" s="8"/>
      <c r="N192" s="8"/>
      <c r="O192" s="8"/>
      <c r="P192" s="8"/>
      <c r="Q192" s="8"/>
      <c r="R192" s="8"/>
      <c r="S192" s="8"/>
      <c r="T192" s="8"/>
      <c r="U192" s="8"/>
      <c r="V192" s="8"/>
      <c r="W192" s="8"/>
      <c r="X192" s="8"/>
      <c r="Y192" s="8"/>
      <c r="Z192" s="8"/>
      <c r="AA192" s="8"/>
      <c r="AB192" s="8"/>
      <c r="AC192" s="8"/>
    </row>
    <row r="193" spans="1:29" ht="15">
      <c r="A193" s="8"/>
      <c r="B193" s="69">
        <v>163</v>
      </c>
      <c r="C193" s="43" t="s">
        <v>389</v>
      </c>
      <c r="D193" s="43">
        <f>0.18*2^8.2</f>
        <v>52.932020198263317</v>
      </c>
      <c r="E193" s="43">
        <v>0.87504334732834899</v>
      </c>
      <c r="F193" s="71">
        <f t="shared" si="2"/>
        <v>87.504334732834906</v>
      </c>
      <c r="G193" s="84">
        <f t="shared" si="3"/>
        <v>895.16934431690106</v>
      </c>
      <c r="H193" s="43"/>
      <c r="I193" s="8"/>
      <c r="J193" s="8"/>
      <c r="K193" s="8"/>
      <c r="L193" s="8"/>
      <c r="M193" s="8"/>
      <c r="N193" s="8"/>
      <c r="O193" s="8"/>
      <c r="P193" s="8"/>
      <c r="Q193" s="8"/>
      <c r="R193" s="8"/>
      <c r="S193" s="8"/>
      <c r="T193" s="8"/>
      <c r="U193" s="8"/>
      <c r="V193" s="8"/>
      <c r="W193" s="8"/>
      <c r="X193" s="8"/>
      <c r="Y193" s="8"/>
      <c r="Z193" s="8"/>
      <c r="AA193" s="8"/>
      <c r="AB193" s="8"/>
      <c r="AC193" s="8"/>
    </row>
    <row r="194" spans="1:29" ht="15">
      <c r="A194" s="8"/>
      <c r="B194" s="69">
        <v>164</v>
      </c>
      <c r="C194" s="43" t="s">
        <v>390</v>
      </c>
      <c r="D194" s="43">
        <f>0.18*2^8.3</f>
        <v>56.731134566933783</v>
      </c>
      <c r="E194" s="43">
        <v>0.88106818569932099</v>
      </c>
      <c r="F194" s="71">
        <f t="shared" si="2"/>
        <v>88.106818569932102</v>
      </c>
      <c r="G194" s="84">
        <f t="shared" si="3"/>
        <v>901.33275397040541</v>
      </c>
      <c r="H194" s="43"/>
      <c r="I194" s="8"/>
      <c r="J194" s="8"/>
      <c r="K194" s="8"/>
      <c r="L194" s="8"/>
      <c r="M194" s="8"/>
      <c r="N194" s="8"/>
      <c r="O194" s="8"/>
      <c r="P194" s="8"/>
      <c r="Q194" s="8"/>
      <c r="R194" s="8"/>
      <c r="S194" s="8"/>
      <c r="T194" s="8"/>
      <c r="U194" s="8"/>
      <c r="V194" s="8"/>
      <c r="W194" s="8"/>
      <c r="X194" s="8"/>
      <c r="Y194" s="8"/>
      <c r="Z194" s="8"/>
      <c r="AA194" s="8"/>
      <c r="AB194" s="8"/>
      <c r="AC194" s="8"/>
    </row>
    <row r="195" spans="1:29" ht="15">
      <c r="A195" s="8"/>
      <c r="B195" s="69">
        <v>165</v>
      </c>
      <c r="C195" s="43" t="s">
        <v>391</v>
      </c>
      <c r="D195" s="43">
        <f>0.18*2^8.4</f>
        <v>60.802924528414955</v>
      </c>
      <c r="E195" s="43">
        <v>0.88709306452145997</v>
      </c>
      <c r="F195" s="71">
        <f t="shared" si="2"/>
        <v>88.709306452145995</v>
      </c>
      <c r="G195" s="84">
        <f t="shared" si="3"/>
        <v>907.49620500545359</v>
      </c>
      <c r="H195" s="43"/>
      <c r="I195" s="8"/>
      <c r="J195" s="8"/>
      <c r="K195" s="8"/>
      <c r="L195" s="8"/>
      <c r="M195" s="8"/>
      <c r="N195" s="8"/>
      <c r="O195" s="8"/>
      <c r="P195" s="8"/>
      <c r="Q195" s="8"/>
      <c r="R195" s="8"/>
      <c r="S195" s="8"/>
      <c r="T195" s="8"/>
      <c r="U195" s="8"/>
      <c r="V195" s="8"/>
      <c r="W195" s="8"/>
      <c r="X195" s="8"/>
      <c r="Y195" s="8"/>
      <c r="Z195" s="8"/>
      <c r="AA195" s="8"/>
      <c r="AB195" s="8"/>
      <c r="AC195" s="8"/>
    </row>
    <row r="196" spans="1:29" ht="15">
      <c r="A196" s="8"/>
      <c r="B196" s="69">
        <v>166</v>
      </c>
      <c r="C196" s="43" t="s">
        <v>392</v>
      </c>
      <c r="D196" s="43">
        <f>0.18*2^8.5</f>
        <v>65.166960954152216</v>
      </c>
      <c r="E196" s="43">
        <v>0.89311798108498097</v>
      </c>
      <c r="F196" s="71">
        <f t="shared" si="2"/>
        <v>89.311798108498095</v>
      </c>
      <c r="G196" s="84">
        <f t="shared" si="3"/>
        <v>913.65969464993555</v>
      </c>
      <c r="H196" s="43"/>
      <c r="I196" s="8"/>
      <c r="J196" s="8"/>
      <c r="K196" s="8"/>
      <c r="L196" s="8"/>
      <c r="M196" s="8"/>
      <c r="N196" s="8"/>
      <c r="O196" s="8"/>
      <c r="P196" s="8"/>
      <c r="Q196" s="8"/>
      <c r="R196" s="8"/>
      <c r="S196" s="8"/>
      <c r="T196" s="8"/>
      <c r="U196" s="8"/>
      <c r="V196" s="8"/>
      <c r="W196" s="8"/>
      <c r="X196" s="8"/>
      <c r="Y196" s="8"/>
      <c r="Z196" s="8"/>
      <c r="AA196" s="8"/>
      <c r="AB196" s="8"/>
      <c r="AC196" s="8"/>
    </row>
    <row r="197" spans="1:29" ht="15">
      <c r="A197" s="8"/>
      <c r="B197" s="69">
        <v>167</v>
      </c>
      <c r="C197" s="43" t="s">
        <v>393</v>
      </c>
      <c r="D197" s="43">
        <f>0.18*2^8.6</f>
        <v>69.844219384799132</v>
      </c>
      <c r="E197" s="43">
        <v>0.89914293287526603</v>
      </c>
      <c r="F197" s="71">
        <f t="shared" si="2"/>
        <v>89.914293287526604</v>
      </c>
      <c r="G197" s="84">
        <f t="shared" si="3"/>
        <v>919.82322033139712</v>
      </c>
      <c r="H197" s="43"/>
      <c r="I197" s="8"/>
      <c r="J197" s="8"/>
      <c r="K197" s="8"/>
      <c r="L197" s="8"/>
      <c r="M197" s="8"/>
      <c r="N197" s="8"/>
      <c r="O197" s="8"/>
      <c r="P197" s="8"/>
      <c r="Q197" s="8"/>
      <c r="R197" s="8"/>
      <c r="S197" s="8"/>
      <c r="T197" s="8"/>
      <c r="U197" s="8"/>
      <c r="V197" s="8"/>
      <c r="W197" s="8"/>
      <c r="X197" s="8"/>
      <c r="Y197" s="8"/>
      <c r="Z197" s="8"/>
      <c r="AA197" s="8"/>
      <c r="AB197" s="8"/>
      <c r="AC197" s="8"/>
    </row>
    <row r="198" spans="1:29" ht="15">
      <c r="A198" s="8"/>
      <c r="B198" s="69">
        <v>168</v>
      </c>
      <c r="C198" s="43" t="s">
        <v>394</v>
      </c>
      <c r="D198" s="43">
        <f>0.18*2^8.7</f>
        <v>74.85718084819058</v>
      </c>
      <c r="E198" s="43">
        <v>0.90516791753528802</v>
      </c>
      <c r="F198" s="71">
        <f t="shared" si="2"/>
        <v>90.516791753528807</v>
      </c>
      <c r="G198" s="84">
        <f t="shared" si="3"/>
        <v>925.98677963859961</v>
      </c>
      <c r="H198" s="43"/>
      <c r="I198" s="8"/>
      <c r="J198" s="8"/>
      <c r="K198" s="8"/>
      <c r="L198" s="8"/>
      <c r="M198" s="8"/>
      <c r="N198" s="8"/>
      <c r="O198" s="8"/>
      <c r="P198" s="8"/>
      <c r="Q198" s="8"/>
      <c r="R198" s="8"/>
      <c r="S198" s="8"/>
      <c r="T198" s="8"/>
      <c r="U198" s="8"/>
      <c r="V198" s="8"/>
      <c r="W198" s="8"/>
      <c r="X198" s="8"/>
      <c r="Y198" s="8"/>
      <c r="Z198" s="8"/>
      <c r="AA198" s="8"/>
      <c r="AB198" s="8"/>
      <c r="AC198" s="8"/>
    </row>
    <row r="199" spans="1:29" ht="15">
      <c r="A199" s="8"/>
      <c r="B199" s="69">
        <v>169</v>
      </c>
      <c r="C199" s="43" t="s">
        <v>395</v>
      </c>
      <c r="D199" s="43">
        <f>0.18*2^8.8</f>
        <v>80.229939913370785</v>
      </c>
      <c r="E199" s="43">
        <v>0.91119293284241698</v>
      </c>
      <c r="F199" s="71">
        <f t="shared" si="2"/>
        <v>91.119293284241692</v>
      </c>
      <c r="G199" s="84">
        <f t="shared" si="3"/>
        <v>932.15037029779262</v>
      </c>
      <c r="H199" s="43"/>
      <c r="I199" s="8"/>
      <c r="J199" s="8"/>
      <c r="K199" s="8"/>
      <c r="L199" s="8"/>
      <c r="M199" s="8"/>
      <c r="N199" s="8"/>
      <c r="O199" s="8"/>
      <c r="P199" s="8"/>
      <c r="Q199" s="8"/>
      <c r="R199" s="8"/>
      <c r="S199" s="8"/>
      <c r="T199" s="8"/>
      <c r="U199" s="8"/>
      <c r="V199" s="8"/>
      <c r="W199" s="8"/>
      <c r="X199" s="8"/>
      <c r="Y199" s="8"/>
      <c r="Z199" s="8"/>
      <c r="AA199" s="8"/>
      <c r="AB199" s="8"/>
      <c r="AC199" s="8"/>
    </row>
    <row r="200" spans="1:29" ht="15">
      <c r="A200" s="8"/>
      <c r="B200" s="69">
        <v>170</v>
      </c>
      <c r="C200" s="43" t="s">
        <v>396</v>
      </c>
      <c r="D200" s="43">
        <f>0.18*2^8.9</f>
        <v>85.98832050003216</v>
      </c>
      <c r="E200" s="43">
        <v>0.91721797676686201</v>
      </c>
      <c r="F200" s="71">
        <f t="shared" si="2"/>
        <v>91.721797676686208</v>
      </c>
      <c r="G200" s="84">
        <f t="shared" si="3"/>
        <v>938.3139902324998</v>
      </c>
      <c r="H200" s="43"/>
      <c r="I200" s="8"/>
      <c r="J200" s="8"/>
      <c r="K200" s="8"/>
      <c r="L200" s="8"/>
      <c r="M200" s="8"/>
      <c r="N200" s="8"/>
      <c r="O200" s="8"/>
      <c r="P200" s="8"/>
      <c r="Q200" s="8"/>
      <c r="R200" s="8"/>
      <c r="S200" s="8"/>
      <c r="T200" s="8"/>
      <c r="U200" s="8"/>
      <c r="V200" s="8"/>
      <c r="W200" s="8"/>
      <c r="X200" s="8"/>
      <c r="Y200" s="8"/>
      <c r="Z200" s="8"/>
      <c r="AA200" s="8"/>
      <c r="AB200" s="8"/>
      <c r="AC200" s="8"/>
    </row>
    <row r="201" spans="1:29" ht="15">
      <c r="A201" s="8"/>
      <c r="B201" s="69">
        <v>171</v>
      </c>
      <c r="C201" s="43" t="s">
        <v>397</v>
      </c>
      <c r="D201" s="43">
        <f>0.18*2^9</f>
        <v>92.16</v>
      </c>
      <c r="E201" s="43">
        <v>0.92324304738012197</v>
      </c>
      <c r="F201" s="71">
        <f t="shared" si="2"/>
        <v>92.324304738012202</v>
      </c>
      <c r="G201" s="84">
        <f t="shared" si="3"/>
        <v>944.47763746986482</v>
      </c>
      <c r="H201" s="43"/>
      <c r="I201" s="8"/>
      <c r="J201" s="8"/>
      <c r="K201" s="8"/>
      <c r="L201" s="8"/>
      <c r="M201" s="8"/>
      <c r="N201" s="8"/>
      <c r="O201" s="8"/>
      <c r="P201" s="8"/>
      <c r="Q201" s="8"/>
      <c r="R201" s="8"/>
      <c r="S201" s="8"/>
      <c r="T201" s="8"/>
      <c r="U201" s="8"/>
      <c r="V201" s="8"/>
      <c r="W201" s="8"/>
      <c r="X201" s="8"/>
      <c r="Y201" s="8"/>
      <c r="Z201" s="8"/>
      <c r="AA201" s="8"/>
      <c r="AB201" s="8"/>
      <c r="AC201" s="8"/>
    </row>
    <row r="202" spans="1:29" ht="15">
      <c r="A202" s="8"/>
      <c r="B202" s="69">
        <v>172</v>
      </c>
      <c r="C202" s="43" t="s">
        <v>546</v>
      </c>
      <c r="D202" s="43">
        <f>0.18*2^9.1</f>
        <v>98.774642307344777</v>
      </c>
      <c r="E202" s="43">
        <v>0.92926814290078896</v>
      </c>
      <c r="F202" s="71">
        <f t="shared" si="2"/>
        <v>92.926814290078894</v>
      </c>
      <c r="G202" s="84">
        <f t="shared" si="3"/>
        <v>950.64131018750709</v>
      </c>
      <c r="H202" s="43"/>
      <c r="I202" s="8"/>
      <c r="J202" s="8"/>
      <c r="K202" s="8"/>
      <c r="L202" s="8"/>
      <c r="M202" s="8"/>
      <c r="N202" s="8"/>
      <c r="O202" s="8"/>
      <c r="P202" s="8"/>
      <c r="Q202" s="8"/>
      <c r="R202" s="8"/>
      <c r="S202" s="8"/>
      <c r="T202" s="8"/>
      <c r="U202" s="8"/>
      <c r="V202" s="8"/>
      <c r="W202" s="8"/>
      <c r="X202" s="8"/>
      <c r="Y202" s="8"/>
      <c r="Z202" s="8"/>
      <c r="AA202" s="8"/>
      <c r="AB202" s="8"/>
      <c r="AC202" s="8"/>
    </row>
    <row r="203" spans="1:29" ht="15">
      <c r="A203" s="8"/>
      <c r="B203" s="69">
        <v>173</v>
      </c>
      <c r="C203" s="43" t="s">
        <v>547</v>
      </c>
      <c r="D203" s="43">
        <f>0.18*2^9.2</f>
        <v>105.86404039652665</v>
      </c>
      <c r="E203" s="43">
        <v>0.93529326165710402</v>
      </c>
      <c r="F203" s="71">
        <f t="shared" si="2"/>
        <v>93.529326165710401</v>
      </c>
      <c r="G203" s="84">
        <f t="shared" si="3"/>
        <v>956.80500667521744</v>
      </c>
      <c r="H203" s="43"/>
      <c r="I203" s="8"/>
      <c r="J203" s="8"/>
      <c r="K203" s="8"/>
      <c r="L203" s="8"/>
      <c r="M203" s="8"/>
      <c r="N203" s="8"/>
      <c r="O203" s="8"/>
      <c r="P203" s="8"/>
      <c r="Q203" s="8"/>
      <c r="R203" s="8"/>
      <c r="S203" s="8"/>
      <c r="T203" s="8"/>
      <c r="U203" s="8"/>
      <c r="V203" s="8"/>
      <c r="W203" s="8"/>
      <c r="X203" s="8"/>
      <c r="Y203" s="8"/>
      <c r="Z203" s="8"/>
      <c r="AA203" s="8"/>
      <c r="AB203" s="8"/>
      <c r="AC203" s="8"/>
    </row>
    <row r="204" spans="1:29" ht="15">
      <c r="A204" s="8"/>
      <c r="B204" s="69">
        <v>174</v>
      </c>
      <c r="C204" s="43" t="s">
        <v>548</v>
      </c>
      <c r="D204" s="43">
        <f>0.18*2^9.3</f>
        <v>113.46226913386747</v>
      </c>
      <c r="E204" s="43">
        <v>0.94131840206559303</v>
      </c>
      <c r="F204" s="71">
        <f t="shared" si="2"/>
        <v>94.131840206559303</v>
      </c>
      <c r="G204" s="84">
        <f t="shared" si="3"/>
        <v>962.96872531310169</v>
      </c>
      <c r="H204" s="43"/>
      <c r="I204" s="8"/>
      <c r="J204" s="8"/>
      <c r="K204" s="8"/>
      <c r="L204" s="8"/>
      <c r="M204" s="8"/>
      <c r="N204" s="8"/>
      <c r="O204" s="8"/>
      <c r="P204" s="8"/>
      <c r="Q204" s="8"/>
      <c r="R204" s="8"/>
      <c r="S204" s="8"/>
      <c r="T204" s="8"/>
      <c r="U204" s="8"/>
      <c r="V204" s="8"/>
      <c r="W204" s="8"/>
      <c r="X204" s="8"/>
      <c r="Y204" s="8"/>
      <c r="Z204" s="8"/>
      <c r="AA204" s="8"/>
      <c r="AB204" s="8"/>
      <c r="AC204" s="8"/>
    </row>
    <row r="205" spans="1:29" ht="15">
      <c r="A205" s="8"/>
      <c r="B205" s="69">
        <v>175</v>
      </c>
      <c r="C205" s="43" t="s">
        <v>549</v>
      </c>
      <c r="D205" s="43">
        <f>0.18*2^9.4</f>
        <v>121.60584905682992</v>
      </c>
      <c r="E205" s="43">
        <v>0.94734356278936904</v>
      </c>
      <c r="F205" s="71">
        <f t="shared" si="2"/>
        <v>94.7343562789369</v>
      </c>
      <c r="G205" s="84">
        <f t="shared" si="3"/>
        <v>969.13246473352456</v>
      </c>
      <c r="H205" s="43"/>
      <c r="I205" s="8"/>
      <c r="J205" s="8"/>
      <c r="K205" s="8"/>
      <c r="L205" s="8"/>
      <c r="M205" s="8"/>
      <c r="N205" s="8"/>
      <c r="O205" s="8"/>
      <c r="P205" s="8"/>
      <c r="Q205" s="8"/>
      <c r="R205" s="8"/>
      <c r="S205" s="8"/>
      <c r="T205" s="8"/>
      <c r="U205" s="8"/>
      <c r="V205" s="8"/>
      <c r="W205" s="8"/>
      <c r="X205" s="8"/>
      <c r="Y205" s="8"/>
      <c r="Z205" s="8"/>
      <c r="AA205" s="8"/>
      <c r="AB205" s="8"/>
      <c r="AC205" s="8"/>
    </row>
    <row r="206" spans="1:29" ht="15">
      <c r="A206" s="8"/>
      <c r="B206" s="69">
        <v>176</v>
      </c>
      <c r="C206" s="43" t="s">
        <v>550</v>
      </c>
      <c r="D206" s="43">
        <f>0.18*2^9.5</f>
        <v>130.33392190830443</v>
      </c>
      <c r="E206" s="43">
        <v>0.95336874229502799</v>
      </c>
      <c r="F206" s="71">
        <f t="shared" si="2"/>
        <v>95.336874229502797</v>
      </c>
      <c r="G206" s="84">
        <f t="shared" si="3"/>
        <v>975.29622336781358</v>
      </c>
      <c r="H206" s="43"/>
      <c r="I206" s="8"/>
      <c r="J206" s="8"/>
      <c r="K206" s="8"/>
      <c r="L206" s="8"/>
      <c r="M206" s="8"/>
      <c r="N206" s="8"/>
      <c r="O206" s="8"/>
      <c r="P206" s="8"/>
      <c r="Q206" s="8"/>
      <c r="R206" s="8"/>
      <c r="S206" s="8"/>
      <c r="T206" s="8"/>
      <c r="U206" s="8"/>
      <c r="V206" s="8"/>
      <c r="W206" s="8"/>
      <c r="X206" s="8"/>
      <c r="Y206" s="8"/>
      <c r="Z206" s="8"/>
      <c r="AA206" s="8"/>
      <c r="AB206" s="8"/>
      <c r="AC206" s="8"/>
    </row>
    <row r="207" spans="1:29" ht="15">
      <c r="A207" s="8"/>
      <c r="B207" s="69">
        <v>177</v>
      </c>
      <c r="C207" s="43" t="s">
        <v>551</v>
      </c>
      <c r="D207" s="43">
        <f>0.18*2^9.6</f>
        <v>139.68843876959826</v>
      </c>
      <c r="E207" s="43">
        <v>0.959393939472724</v>
      </c>
      <c r="F207" s="71">
        <f t="shared" si="2"/>
        <v>95.939393947272407</v>
      </c>
      <c r="G207" s="84">
        <f t="shared" si="3"/>
        <v>981.46000008059661</v>
      </c>
      <c r="H207" s="43"/>
      <c r="I207" s="8"/>
      <c r="J207" s="8"/>
      <c r="K207" s="8"/>
      <c r="L207" s="8"/>
      <c r="M207" s="8"/>
      <c r="N207" s="8"/>
      <c r="O207" s="8"/>
      <c r="P207" s="8"/>
      <c r="Q207" s="8"/>
      <c r="R207" s="8"/>
      <c r="S207" s="8"/>
      <c r="T207" s="8"/>
      <c r="U207" s="8"/>
      <c r="V207" s="8"/>
      <c r="W207" s="8"/>
      <c r="X207" s="8"/>
      <c r="Y207" s="8"/>
      <c r="Z207" s="8"/>
      <c r="AA207" s="8"/>
      <c r="AB207" s="8"/>
      <c r="AC207" s="8"/>
    </row>
    <row r="208" spans="1:29" ht="15">
      <c r="A208" s="8"/>
      <c r="B208" s="69">
        <v>178</v>
      </c>
      <c r="C208" s="43" t="s">
        <v>552</v>
      </c>
      <c r="D208" s="43">
        <f>0.18*2^9.7</f>
        <v>149.71436169638119</v>
      </c>
      <c r="E208" s="43">
        <v>0.96541915304105497</v>
      </c>
      <c r="F208" s="71">
        <f t="shared" si="2"/>
        <v>96.541915304105501</v>
      </c>
      <c r="G208" s="84">
        <f t="shared" si="3"/>
        <v>987.62379356099927</v>
      </c>
      <c r="H208" s="43"/>
      <c r="I208" s="8"/>
      <c r="J208" s="8"/>
      <c r="K208" s="8"/>
      <c r="L208" s="8"/>
      <c r="M208" s="8"/>
      <c r="N208" s="8"/>
      <c r="O208" s="8"/>
      <c r="P208" s="8"/>
      <c r="Q208" s="8"/>
      <c r="R208" s="8"/>
      <c r="S208" s="8"/>
      <c r="T208" s="8"/>
      <c r="U208" s="8"/>
      <c r="V208" s="8"/>
      <c r="W208" s="8"/>
      <c r="X208" s="8"/>
      <c r="Y208" s="8"/>
      <c r="Z208" s="8"/>
      <c r="AA208" s="8"/>
      <c r="AB208" s="8"/>
      <c r="AC208" s="8"/>
    </row>
    <row r="209" spans="1:29" ht="15">
      <c r="A209" s="8"/>
      <c r="B209" s="69">
        <v>179</v>
      </c>
      <c r="C209" s="43" t="s">
        <v>553</v>
      </c>
      <c r="D209" s="43">
        <f>0.18*2^9.8</f>
        <v>160.4598798267416</v>
      </c>
      <c r="E209" s="43">
        <v>0.97144438194120797</v>
      </c>
      <c r="F209" s="71">
        <f t="shared" si="2"/>
        <v>97.144438194120795</v>
      </c>
      <c r="G209" s="84">
        <f t="shared" si="3"/>
        <v>993.78760272585578</v>
      </c>
      <c r="H209" s="43"/>
      <c r="I209" s="8"/>
      <c r="J209" s="8"/>
      <c r="K209" s="8"/>
      <c r="L209" s="8"/>
      <c r="M209" s="8"/>
      <c r="N209" s="8"/>
      <c r="O209" s="8"/>
      <c r="P209" s="8"/>
      <c r="Q209" s="8"/>
      <c r="R209" s="8"/>
      <c r="S209" s="8"/>
      <c r="T209" s="8"/>
      <c r="U209" s="8"/>
      <c r="V209" s="8"/>
      <c r="W209" s="8"/>
      <c r="X209" s="8"/>
      <c r="Y209" s="8"/>
      <c r="Z209" s="8"/>
      <c r="AA209" s="8"/>
      <c r="AB209" s="8"/>
      <c r="AC209" s="8"/>
    </row>
    <row r="210" spans="1:29" ht="15">
      <c r="A210" s="8"/>
      <c r="B210" s="69">
        <v>180</v>
      </c>
      <c r="C210" s="43" t="s">
        <v>554</v>
      </c>
      <c r="D210" s="43">
        <f>0.18*2^9.9</f>
        <v>171.97664100006435</v>
      </c>
      <c r="E210" s="43">
        <v>0.97746962517735503</v>
      </c>
      <c r="F210" s="71">
        <f t="shared" si="2"/>
        <v>97.746962517735497</v>
      </c>
      <c r="G210" s="84">
        <f t="shared" si="3"/>
        <v>999.95142655643417</v>
      </c>
      <c r="H210" s="43"/>
      <c r="I210" s="8"/>
      <c r="J210" s="8"/>
      <c r="K210" s="8"/>
      <c r="L210" s="8"/>
      <c r="M210" s="8"/>
      <c r="N210" s="8"/>
      <c r="O210" s="8"/>
      <c r="P210" s="8"/>
      <c r="Q210" s="8"/>
      <c r="R210" s="8"/>
      <c r="S210" s="8"/>
      <c r="T210" s="8"/>
      <c r="U210" s="8"/>
      <c r="V210" s="8"/>
      <c r="W210" s="8"/>
      <c r="X210" s="8"/>
      <c r="Y210" s="8"/>
      <c r="Z210" s="8"/>
      <c r="AA210" s="8"/>
      <c r="AB210" s="8"/>
      <c r="AC210" s="8"/>
    </row>
    <row r="211" spans="1:29" ht="15">
      <c r="A211" s="8"/>
      <c r="B211" s="69">
        <v>181</v>
      </c>
      <c r="C211" s="43" t="s">
        <v>555</v>
      </c>
      <c r="D211" s="43">
        <f>0.18*2^10</f>
        <v>184.32</v>
      </c>
      <c r="E211" s="43">
        <v>0.98349488174613597</v>
      </c>
      <c r="F211" s="71">
        <f t="shared" si="2"/>
        <v>98.349488174613597</v>
      </c>
      <c r="G211" s="84">
        <f t="shared" si="3"/>
        <v>1006.1152640262972</v>
      </c>
      <c r="H211" s="43"/>
      <c r="I211" s="8"/>
      <c r="J211" s="8"/>
      <c r="K211" s="8"/>
      <c r="L211" s="8"/>
      <c r="M211" s="8"/>
      <c r="N211" s="8"/>
      <c r="O211" s="8"/>
      <c r="P211" s="8"/>
      <c r="Q211" s="8"/>
      <c r="R211" s="8"/>
      <c r="S211" s="8"/>
      <c r="T211" s="8"/>
      <c r="U211" s="8"/>
      <c r="V211" s="8"/>
      <c r="W211" s="8"/>
      <c r="X211" s="8"/>
      <c r="Y211" s="8"/>
      <c r="Z211" s="8"/>
      <c r="AA211" s="8"/>
      <c r="AB211" s="8"/>
      <c r="AC211" s="8"/>
    </row>
    <row r="212" spans="1:29" ht="15">
      <c r="A212" s="8"/>
      <c r="B212" s="69">
        <v>182</v>
      </c>
      <c r="C212" s="43" t="s">
        <v>556</v>
      </c>
      <c r="D212" s="43">
        <f>0.18*2^10.1</f>
        <v>197.54928461468938</v>
      </c>
      <c r="E212" s="43">
        <v>0.98952015076171496</v>
      </c>
      <c r="F212" s="71">
        <f t="shared" si="2"/>
        <v>98.952015076171492</v>
      </c>
      <c r="G212" s="84">
        <f t="shared" si="3"/>
        <v>1012.2791142292344</v>
      </c>
      <c r="H212" s="43"/>
      <c r="I212" s="8"/>
      <c r="J212" s="8"/>
      <c r="K212" s="8"/>
      <c r="L212" s="8"/>
      <c r="M212" s="8"/>
      <c r="N212" s="8"/>
      <c r="O212" s="8"/>
      <c r="P212" s="8"/>
      <c r="Q212" s="8"/>
      <c r="R212" s="8"/>
      <c r="S212" s="8"/>
      <c r="T212" s="8"/>
      <c r="U212" s="8"/>
      <c r="V212" s="8"/>
      <c r="W212" s="8"/>
      <c r="X212" s="8"/>
      <c r="Y212" s="8"/>
      <c r="Z212" s="8"/>
      <c r="AA212" s="8"/>
      <c r="AB212" s="8"/>
      <c r="AC212" s="8"/>
    </row>
    <row r="213" spans="1:29" ht="15">
      <c r="A213" s="8"/>
      <c r="B213" s="69">
        <v>183</v>
      </c>
      <c r="C213" s="43" t="s">
        <v>557</v>
      </c>
      <c r="D213" s="43">
        <f>0.18*2^10.2</f>
        <v>211.72808079305329</v>
      </c>
      <c r="E213" s="43">
        <v>0.995545431412455</v>
      </c>
      <c r="F213" s="71">
        <f t="shared" si="2"/>
        <v>99.554543141245503</v>
      </c>
      <c r="G213" s="84">
        <f t="shared" si="3"/>
        <v>1018.4429763349415</v>
      </c>
      <c r="H213" s="43"/>
      <c r="I213" s="8"/>
      <c r="J213" s="8"/>
      <c r="K213" s="8"/>
      <c r="L213" s="8"/>
      <c r="M213" s="8"/>
      <c r="N213" s="8"/>
      <c r="O213" s="8"/>
      <c r="P213" s="8"/>
      <c r="Q213" s="8"/>
      <c r="R213" s="8"/>
      <c r="S213" s="8"/>
      <c r="T213" s="8"/>
      <c r="U213" s="8"/>
      <c r="V213" s="8"/>
      <c r="W213" s="8"/>
      <c r="X213" s="8"/>
      <c r="Y213" s="8"/>
      <c r="Z213" s="8"/>
      <c r="AA213" s="8"/>
      <c r="AB213" s="8"/>
      <c r="AC213" s="8"/>
    </row>
    <row r="214" spans="1:29" ht="15">
      <c r="A214" s="8"/>
      <c r="B214" s="69">
        <v>184</v>
      </c>
      <c r="C214" s="43" t="s">
        <v>558</v>
      </c>
      <c r="D214" s="43">
        <f>0.18*2^10.3</f>
        <v>226.92453826773496</v>
      </c>
      <c r="E214" s="43">
        <v>1.00157072290469</v>
      </c>
      <c r="F214" s="71">
        <f t="shared" si="2"/>
        <v>100.15707229046899</v>
      </c>
      <c r="G214" s="84">
        <f t="shared" si="3"/>
        <v>1024.6068495314978</v>
      </c>
      <c r="H214" s="5"/>
      <c r="I214" s="8"/>
      <c r="J214" s="8"/>
      <c r="K214" s="8"/>
      <c r="L214" s="8"/>
      <c r="M214" s="8"/>
      <c r="N214" s="8"/>
      <c r="O214" s="8"/>
      <c r="P214" s="8"/>
      <c r="Q214" s="8"/>
      <c r="R214" s="8"/>
      <c r="S214" s="8"/>
      <c r="T214" s="8"/>
      <c r="U214" s="8"/>
      <c r="V214" s="8"/>
      <c r="W214" s="8"/>
      <c r="X214" s="8"/>
      <c r="Y214" s="8"/>
      <c r="Z214" s="8"/>
      <c r="AA214" s="8"/>
      <c r="AB214" s="8"/>
      <c r="AC214" s="8"/>
    </row>
    <row r="215" spans="1:29" ht="15">
      <c r="A215" s="8"/>
      <c r="B215" s="69">
        <v>185</v>
      </c>
      <c r="C215" s="43" t="s">
        <v>559</v>
      </c>
      <c r="D215" s="43">
        <f>0.18*2^10.4</f>
        <v>243.21169811365985</v>
      </c>
      <c r="E215" s="43">
        <v>1.00759602448551</v>
      </c>
      <c r="F215" s="71">
        <f t="shared" si="2"/>
        <v>100.75960244855099</v>
      </c>
      <c r="G215" s="84">
        <f t="shared" si="3"/>
        <v>1030.7707330486767</v>
      </c>
      <c r="H215" s="43"/>
      <c r="I215" s="8"/>
      <c r="J215" s="8"/>
      <c r="K215" s="8"/>
      <c r="L215" s="8"/>
      <c r="M215" s="8"/>
      <c r="N215" s="8"/>
      <c r="O215" s="8"/>
      <c r="P215" s="8"/>
      <c r="Q215" s="8"/>
      <c r="R215" s="8"/>
      <c r="S215" s="8"/>
      <c r="T215" s="8"/>
      <c r="U215" s="8"/>
      <c r="V215" s="8"/>
      <c r="W215" s="8"/>
      <c r="X215" s="8"/>
      <c r="Y215" s="8"/>
      <c r="Z215" s="8"/>
      <c r="AA215" s="8"/>
      <c r="AB215" s="8"/>
      <c r="AC215" s="8"/>
    </row>
    <row r="216" spans="1:29" ht="15">
      <c r="A216" s="8"/>
      <c r="B216" s="69">
        <v>186</v>
      </c>
      <c r="C216" s="43" t="s">
        <v>560</v>
      </c>
      <c r="D216" s="43">
        <f>0.18*2^10.5</f>
        <v>260.66784381660887</v>
      </c>
      <c r="E216" s="43">
        <v>1.0136213355208901</v>
      </c>
      <c r="F216" s="71">
        <f t="shared" si="2"/>
        <v>101.36213355208901</v>
      </c>
      <c r="G216" s="84">
        <f t="shared" si="3"/>
        <v>1036.9346262378706</v>
      </c>
      <c r="H216" s="43"/>
      <c r="I216" s="8"/>
      <c r="J216" s="8"/>
      <c r="K216" s="8"/>
      <c r="L216" s="8"/>
      <c r="M216" s="8"/>
      <c r="N216" s="8"/>
      <c r="O216" s="8"/>
      <c r="P216" s="8"/>
      <c r="Q216" s="8"/>
      <c r="R216" s="8"/>
      <c r="S216" s="8"/>
      <c r="T216" s="8"/>
      <c r="U216" s="8"/>
      <c r="V216" s="8"/>
      <c r="W216" s="8"/>
      <c r="X216" s="8"/>
      <c r="Y216" s="8"/>
      <c r="Z216" s="8"/>
      <c r="AA216" s="8"/>
      <c r="AB216" s="8"/>
      <c r="AC216" s="8"/>
    </row>
    <row r="217" spans="1:29" ht="15">
      <c r="A217" s="8"/>
      <c r="B217" s="43">
        <v>187</v>
      </c>
      <c r="C217" s="43" t="s">
        <v>561</v>
      </c>
      <c r="D217" s="43">
        <f>0.18*2^10.273931</f>
        <v>222.8609151110781</v>
      </c>
      <c r="E217" s="43">
        <v>0.99999998864809703</v>
      </c>
      <c r="F217" s="71">
        <f t="shared" si="2"/>
        <v>99.999998864809697</v>
      </c>
      <c r="G217" s="84">
        <f t="shared" si="3"/>
        <v>1022.9999883870032</v>
      </c>
      <c r="H217" s="43" t="s">
        <v>562</v>
      </c>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D1005"/>
  <sheetViews>
    <sheetView zoomScale="116" workbookViewId="0">
      <selection activeCell="H19" sqref="H19"/>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12.1640625" bestFit="1" customWidth="1"/>
    <col min="10" max="10" width="3.6640625" customWidth="1"/>
  </cols>
  <sheetData>
    <row r="1" spans="1:30" ht="13">
      <c r="A1" s="8"/>
      <c r="B1" s="9"/>
      <c r="C1" s="9"/>
      <c r="D1" s="9"/>
      <c r="E1" s="9"/>
      <c r="F1" s="9"/>
      <c r="G1" s="9"/>
      <c r="H1" s="9"/>
      <c r="I1" s="185"/>
      <c r="J1" s="8"/>
      <c r="K1" s="8"/>
      <c r="L1" s="8"/>
      <c r="M1" s="8"/>
      <c r="N1" s="8"/>
      <c r="O1" s="8"/>
      <c r="P1" s="8"/>
      <c r="Q1" s="8"/>
      <c r="R1" s="8"/>
      <c r="S1" s="8"/>
      <c r="T1" s="8"/>
      <c r="U1" s="8"/>
      <c r="V1" s="8"/>
      <c r="W1" s="8"/>
      <c r="X1" s="8"/>
      <c r="Y1" s="8"/>
      <c r="Z1" s="8"/>
      <c r="AA1" s="8"/>
      <c r="AB1" s="8"/>
      <c r="AC1" s="8"/>
      <c r="AD1" s="8"/>
    </row>
    <row r="2" spans="1:30" ht="29.25" customHeight="1">
      <c r="A2" s="8"/>
      <c r="B2" s="56"/>
      <c r="C2" s="12" t="s">
        <v>563</v>
      </c>
      <c r="D2" s="174" t="s">
        <v>142</v>
      </c>
      <c r="E2" s="170"/>
      <c r="F2" s="170"/>
      <c r="G2" s="171"/>
      <c r="H2" s="102" t="s">
        <v>564</v>
      </c>
      <c r="I2" s="186"/>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188" t="s">
        <v>756</v>
      </c>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f t="shared" ref="E4:E28" si="0">0.224282*LOG10(((D4+0.01)*155.975327)+1)</f>
        <v>9.1559943249982831E-2</v>
      </c>
      <c r="F4" s="18">
        <f t="shared" ref="F4:F28" si="1">E4*100</f>
        <v>9.1559943249982823</v>
      </c>
      <c r="G4" s="33">
        <f t="shared" ref="G4:G28" si="2">E4*1023</f>
        <v>93.665821944732443</v>
      </c>
      <c r="H4" s="16"/>
      <c r="I4" s="189"/>
      <c r="J4" s="8"/>
      <c r="K4" s="64" t="s">
        <v>162</v>
      </c>
      <c r="L4" s="8"/>
      <c r="M4" s="8"/>
      <c r="N4" s="8"/>
      <c r="O4" s="8"/>
      <c r="P4" s="8"/>
      <c r="Q4" s="8"/>
      <c r="R4" s="8"/>
      <c r="S4" s="8"/>
      <c r="T4" s="8"/>
      <c r="U4" s="8"/>
      <c r="V4" s="8"/>
      <c r="W4" s="8"/>
      <c r="X4" s="8"/>
      <c r="Y4" s="8"/>
      <c r="Z4" s="8"/>
      <c r="AA4" s="8"/>
      <c r="AB4" s="8"/>
      <c r="AC4" s="8"/>
      <c r="AD4" s="8"/>
    </row>
    <row r="5" spans="1:30" ht="13">
      <c r="A5" s="58"/>
      <c r="B5" s="50">
        <v>2</v>
      </c>
      <c r="C5" s="16" t="s">
        <v>76</v>
      </c>
      <c r="D5" s="17">
        <v>7.0312499999999997E-4</v>
      </c>
      <c r="E5" s="43">
        <f t="shared" si="0"/>
        <v>9.5637762264851864E-2</v>
      </c>
      <c r="F5" s="18">
        <f t="shared" si="1"/>
        <v>9.5637762264851869</v>
      </c>
      <c r="G5" s="33">
        <f t="shared" si="2"/>
        <v>97.837430796943451</v>
      </c>
      <c r="H5" s="16" t="s">
        <v>565</v>
      </c>
      <c r="I5" s="189">
        <f t="shared" ref="I5:I28" si="3">E5*((2^16)-1)</f>
        <v>6267.6207500270666</v>
      </c>
      <c r="J5" s="8"/>
      <c r="K5" s="56" t="s">
        <v>165</v>
      </c>
      <c r="L5" s="8"/>
      <c r="M5" s="8"/>
      <c r="N5" s="8"/>
      <c r="O5" s="8"/>
      <c r="P5" s="8"/>
      <c r="Q5" s="8"/>
      <c r="R5" s="8"/>
      <c r="S5" s="8"/>
      <c r="T5" s="8"/>
      <c r="U5" s="8"/>
      <c r="V5" s="8"/>
      <c r="W5" s="8"/>
      <c r="X5" s="8"/>
      <c r="Y5" s="8"/>
      <c r="Z5" s="8"/>
      <c r="AA5" s="8"/>
      <c r="AB5" s="8"/>
      <c r="AC5" s="8"/>
      <c r="AD5" s="8"/>
    </row>
    <row r="6" spans="1:30" ht="13">
      <c r="A6" s="58"/>
      <c r="B6" s="50">
        <v>3</v>
      </c>
      <c r="C6" s="16" t="s">
        <v>77</v>
      </c>
      <c r="D6" s="17">
        <v>1.4062499999999999E-3</v>
      </c>
      <c r="E6" s="43">
        <f t="shared" si="0"/>
        <v>9.9559490763897446E-2</v>
      </c>
      <c r="F6" s="18">
        <f t="shared" si="1"/>
        <v>9.9559490763897447</v>
      </c>
      <c r="G6" s="33">
        <f t="shared" si="2"/>
        <v>101.84935905146709</v>
      </c>
      <c r="H6" s="16" t="s">
        <v>566</v>
      </c>
      <c r="I6" s="189">
        <f t="shared" si="3"/>
        <v>6524.6312272120194</v>
      </c>
      <c r="J6" s="8"/>
      <c r="K6" s="8"/>
      <c r="L6" s="8"/>
      <c r="M6" s="8"/>
      <c r="N6" s="8"/>
      <c r="O6" s="8"/>
      <c r="P6" s="8"/>
      <c r="Q6" s="8"/>
      <c r="R6" s="8"/>
      <c r="S6" s="8"/>
      <c r="T6" s="8"/>
      <c r="U6" s="8"/>
      <c r="V6" s="8"/>
      <c r="W6" s="8"/>
      <c r="X6" s="8"/>
      <c r="Y6" s="8"/>
      <c r="Z6" s="8"/>
      <c r="AA6" s="8"/>
      <c r="AB6" s="8"/>
      <c r="AC6" s="8"/>
      <c r="AD6" s="8"/>
    </row>
    <row r="7" spans="1:30" ht="13">
      <c r="A7" s="58"/>
      <c r="B7" s="50">
        <v>4</v>
      </c>
      <c r="C7" s="16" t="s">
        <v>78</v>
      </c>
      <c r="D7" s="17">
        <v>2.8124999999999999E-3</v>
      </c>
      <c r="E7" s="43">
        <f t="shared" si="0"/>
        <v>0.10695884687119873</v>
      </c>
      <c r="F7" s="18">
        <f t="shared" si="1"/>
        <v>10.695884687119873</v>
      </c>
      <c r="G7" s="33">
        <f t="shared" si="2"/>
        <v>109.41890034923631</v>
      </c>
      <c r="H7" s="16"/>
      <c r="I7" s="189">
        <f t="shared" si="3"/>
        <v>7009.5480297040094</v>
      </c>
      <c r="J7" s="8"/>
      <c r="K7" s="8" t="s">
        <v>567</v>
      </c>
      <c r="L7" s="8"/>
      <c r="M7" s="8"/>
      <c r="N7" s="8"/>
      <c r="O7" s="8"/>
      <c r="P7" s="8"/>
      <c r="Q7" s="8"/>
      <c r="R7" s="8"/>
      <c r="S7" s="8"/>
      <c r="T7" s="8"/>
      <c r="U7" s="8"/>
      <c r="V7" s="8"/>
      <c r="W7" s="8"/>
      <c r="X7" s="8"/>
      <c r="Y7" s="8"/>
      <c r="Z7" s="8"/>
      <c r="AA7" s="8"/>
      <c r="AB7" s="8"/>
      <c r="AC7" s="8"/>
      <c r="AD7" s="8"/>
    </row>
    <row r="8" spans="1:30" ht="13">
      <c r="A8" s="58"/>
      <c r="B8" s="50">
        <v>5</v>
      </c>
      <c r="C8" s="16" t="s">
        <v>79</v>
      </c>
      <c r="D8" s="17">
        <v>5.6249999999999998E-3</v>
      </c>
      <c r="E8" s="43">
        <f t="shared" si="0"/>
        <v>0.12025866225512383</v>
      </c>
      <c r="F8" s="18">
        <f t="shared" si="1"/>
        <v>12.025866225512383</v>
      </c>
      <c r="G8" s="33">
        <f t="shared" si="2"/>
        <v>123.02461148699167</v>
      </c>
      <c r="H8" s="16"/>
      <c r="I8" s="189">
        <f t="shared" si="3"/>
        <v>7881.1514308895403</v>
      </c>
      <c r="J8" s="8"/>
      <c r="K8" s="8" t="s">
        <v>568</v>
      </c>
      <c r="L8" s="8"/>
      <c r="M8" s="8"/>
      <c r="N8" s="8"/>
      <c r="O8" s="8"/>
      <c r="P8" s="8"/>
      <c r="Q8" s="8"/>
      <c r="R8" s="8"/>
      <c r="S8" s="8"/>
      <c r="T8" s="8"/>
      <c r="U8" s="8"/>
      <c r="V8" s="8"/>
      <c r="W8" s="8"/>
      <c r="X8" s="8"/>
      <c r="Y8" s="8"/>
      <c r="Z8" s="8"/>
      <c r="AA8" s="8"/>
      <c r="AB8" s="8"/>
      <c r="AC8" s="8"/>
      <c r="AD8" s="8"/>
    </row>
    <row r="9" spans="1:30" ht="13">
      <c r="A9" s="58"/>
      <c r="B9" s="50">
        <v>6</v>
      </c>
      <c r="C9" s="16" t="s">
        <v>80</v>
      </c>
      <c r="D9" s="17">
        <v>1.125E-2</v>
      </c>
      <c r="E9" s="43">
        <f t="shared" si="0"/>
        <v>0.1424029277901602</v>
      </c>
      <c r="F9" s="18">
        <f t="shared" si="1"/>
        <v>14.24029277901602</v>
      </c>
      <c r="G9" s="33">
        <f t="shared" si="2"/>
        <v>145.67819512933389</v>
      </c>
      <c r="H9" s="16"/>
      <c r="I9" s="189">
        <f t="shared" si="3"/>
        <v>9332.3758727281493</v>
      </c>
      <c r="J9" s="8"/>
      <c r="K9" s="8" t="s">
        <v>569</v>
      </c>
      <c r="L9" s="8"/>
      <c r="M9" s="8"/>
      <c r="N9" s="8"/>
      <c r="O9" s="8"/>
      <c r="P9" s="8"/>
      <c r="Q9" s="8"/>
      <c r="R9" s="8"/>
      <c r="S9" s="8"/>
      <c r="T9" s="8"/>
      <c r="U9" s="8"/>
      <c r="V9" s="8"/>
      <c r="W9" s="8"/>
      <c r="X9" s="8"/>
      <c r="Y9" s="8"/>
      <c r="Z9" s="8"/>
      <c r="AA9" s="8"/>
      <c r="AB9" s="8"/>
      <c r="AC9" s="8"/>
      <c r="AD9" s="8"/>
    </row>
    <row r="10" spans="1:30" ht="13">
      <c r="A10" s="58"/>
      <c r="B10" s="50">
        <v>7</v>
      </c>
      <c r="C10" s="16" t="s">
        <v>81</v>
      </c>
      <c r="D10" s="17">
        <v>2.2499999999999999E-2</v>
      </c>
      <c r="E10" s="43">
        <f t="shared" si="0"/>
        <v>0.17564225762668123</v>
      </c>
      <c r="F10" s="18">
        <f t="shared" si="1"/>
        <v>17.564225762668123</v>
      </c>
      <c r="G10" s="33">
        <f t="shared" si="2"/>
        <v>179.68202955209489</v>
      </c>
      <c r="H10" s="16"/>
      <c r="I10" s="189">
        <f t="shared" si="3"/>
        <v>11510.715353564554</v>
      </c>
      <c r="J10" s="8"/>
      <c r="K10" s="8" t="s">
        <v>570</v>
      </c>
      <c r="L10" s="8"/>
      <c r="M10" s="8"/>
      <c r="N10" s="8"/>
      <c r="O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f t="shared" si="0"/>
        <v>0.22008882071029764</v>
      </c>
      <c r="F11" s="18">
        <f t="shared" si="1"/>
        <v>22.008882071029763</v>
      </c>
      <c r="G11" s="33">
        <f t="shared" si="2"/>
        <v>225.1508635866345</v>
      </c>
      <c r="H11" s="16"/>
      <c r="I11" s="189">
        <f t="shared" si="3"/>
        <v>14423.520865249357</v>
      </c>
      <c r="J11" s="8"/>
      <c r="K11" s="8" t="s">
        <v>571</v>
      </c>
      <c r="L11" s="8"/>
      <c r="M11" s="8"/>
      <c r="N11" s="8"/>
      <c r="O11" s="8"/>
      <c r="P11" s="8"/>
      <c r="Q11" s="8"/>
      <c r="R11" s="8"/>
      <c r="S11" s="8"/>
      <c r="T11" s="8"/>
      <c r="U11" s="8"/>
      <c r="V11" s="8"/>
      <c r="W11" s="8"/>
      <c r="X11" s="8"/>
      <c r="Y11" s="8"/>
      <c r="Z11" s="8"/>
      <c r="AA11" s="8"/>
      <c r="AB11" s="8"/>
      <c r="AC11" s="8"/>
      <c r="AD11" s="8"/>
    </row>
    <row r="12" spans="1:30" ht="13">
      <c r="A12" s="58"/>
      <c r="B12" s="50">
        <v>9</v>
      </c>
      <c r="C12" s="16" t="s">
        <v>83</v>
      </c>
      <c r="D12" s="17">
        <v>0.09</v>
      </c>
      <c r="E12" s="43">
        <f t="shared" si="0"/>
        <v>0.27363380365816414</v>
      </c>
      <c r="F12" s="18">
        <f t="shared" si="1"/>
        <v>27.363380365816415</v>
      </c>
      <c r="G12" s="33">
        <f t="shared" si="2"/>
        <v>279.9273811423019</v>
      </c>
      <c r="H12" s="16"/>
      <c r="I12" s="189">
        <f t="shared" si="3"/>
        <v>17932.591322737786</v>
      </c>
      <c r="J12" s="8"/>
      <c r="K12" s="8"/>
      <c r="L12" s="8"/>
      <c r="M12" s="8"/>
      <c r="N12" s="8"/>
      <c r="O12" s="8"/>
      <c r="P12" s="8"/>
      <c r="Q12" s="8"/>
      <c r="R12" s="8"/>
      <c r="S12" s="8"/>
      <c r="T12" s="8"/>
      <c r="U12" s="8"/>
      <c r="V12" s="8"/>
      <c r="W12" s="8"/>
      <c r="X12" s="8"/>
      <c r="Y12" s="8"/>
      <c r="Z12" s="8"/>
      <c r="AA12" s="8"/>
      <c r="AB12" s="8"/>
      <c r="AC12" s="8"/>
      <c r="AD12" s="8"/>
    </row>
    <row r="13" spans="1:30" ht="13">
      <c r="A13" s="58"/>
      <c r="B13" s="50">
        <v>10</v>
      </c>
      <c r="C13" s="16" t="s">
        <v>84</v>
      </c>
      <c r="D13" s="69">
        <v>0.12727922061357799</v>
      </c>
      <c r="E13" s="43">
        <f t="shared" si="0"/>
        <v>0.30288923761549519</v>
      </c>
      <c r="F13" s="18">
        <f t="shared" si="1"/>
        <v>30.288923761549519</v>
      </c>
      <c r="G13" s="33">
        <f t="shared" si="2"/>
        <v>309.85569008065158</v>
      </c>
      <c r="H13" s="16"/>
      <c r="I13" s="189">
        <f t="shared" si="3"/>
        <v>19849.846187131476</v>
      </c>
      <c r="J13" s="8"/>
      <c r="K13" s="8" t="s">
        <v>572</v>
      </c>
      <c r="L13" s="8"/>
      <c r="M13" s="8"/>
      <c r="N13" s="8"/>
      <c r="O13" s="8"/>
      <c r="P13" s="8"/>
      <c r="Q13" s="8"/>
      <c r="R13" s="8"/>
      <c r="S13" s="8"/>
      <c r="T13" s="8"/>
      <c r="U13" s="8"/>
      <c r="V13" s="8"/>
      <c r="W13" s="8"/>
      <c r="X13" s="8"/>
      <c r="Y13" s="8"/>
      <c r="Z13" s="8"/>
      <c r="AA13" s="8"/>
      <c r="AB13" s="8"/>
      <c r="AC13" s="8"/>
      <c r="AD13" s="8"/>
    </row>
    <row r="14" spans="1:30" ht="15">
      <c r="A14" s="58"/>
      <c r="B14" s="50">
        <v>11</v>
      </c>
      <c r="C14" s="43" t="s">
        <v>85</v>
      </c>
      <c r="D14" s="69">
        <v>0.16794593847662501</v>
      </c>
      <c r="E14" s="43">
        <f t="shared" si="0"/>
        <v>0.32716374846733259</v>
      </c>
      <c r="F14" s="99">
        <f t="shared" si="1"/>
        <v>32.71637484673326</v>
      </c>
      <c r="G14" s="72">
        <f t="shared" si="2"/>
        <v>334.68851468208123</v>
      </c>
      <c r="H14" s="16"/>
      <c r="I14" s="189"/>
      <c r="J14" s="8"/>
      <c r="K14" s="8" t="s">
        <v>573</v>
      </c>
      <c r="L14" s="8"/>
      <c r="M14" s="8"/>
      <c r="N14" s="8"/>
      <c r="O14" s="8"/>
      <c r="P14" s="8"/>
      <c r="Q14" s="8"/>
      <c r="R14" s="8"/>
      <c r="S14" s="8"/>
      <c r="T14" s="8"/>
      <c r="U14" s="8"/>
      <c r="V14" s="8"/>
      <c r="W14" s="8"/>
      <c r="X14" s="8"/>
      <c r="Y14" s="8"/>
      <c r="Z14" s="8"/>
      <c r="AA14" s="8"/>
      <c r="AB14" s="8"/>
      <c r="AC14" s="8"/>
      <c r="AD14" s="8"/>
    </row>
    <row r="15" spans="1:30" ht="13">
      <c r="A15" s="58"/>
      <c r="B15" s="50">
        <v>12</v>
      </c>
      <c r="C15" s="16" t="s">
        <v>86</v>
      </c>
      <c r="D15" s="17">
        <v>0.18</v>
      </c>
      <c r="E15" s="43">
        <f t="shared" si="0"/>
        <v>0.33333291202599186</v>
      </c>
      <c r="F15" s="18">
        <f t="shared" si="1"/>
        <v>33.333291202599185</v>
      </c>
      <c r="G15" s="33">
        <f t="shared" si="2"/>
        <v>340.99956900258968</v>
      </c>
      <c r="H15" s="16"/>
      <c r="I15" s="189">
        <f t="shared" si="3"/>
        <v>21844.972389623377</v>
      </c>
      <c r="J15" s="8"/>
      <c r="K15" s="8" t="s">
        <v>574</v>
      </c>
      <c r="L15" s="8"/>
      <c r="M15" s="8"/>
      <c r="N15" s="8"/>
      <c r="O15" s="8"/>
      <c r="P15" s="8"/>
      <c r="Q15" s="8"/>
      <c r="R15" s="8"/>
      <c r="S15" s="8"/>
      <c r="T15" s="8"/>
      <c r="U15" s="8"/>
      <c r="V15" s="8"/>
      <c r="W15" s="8"/>
      <c r="X15" s="8"/>
      <c r="Y15" s="8"/>
      <c r="Z15" s="8"/>
      <c r="AA15" s="8"/>
      <c r="AB15" s="8"/>
      <c r="AC15" s="8"/>
      <c r="AD15" s="8"/>
    </row>
    <row r="16" spans="1:30" ht="15">
      <c r="A16" s="58"/>
      <c r="B16" s="50">
        <v>13</v>
      </c>
      <c r="C16" s="43" t="s">
        <v>87</v>
      </c>
      <c r="D16" s="69">
        <v>0.206765703899466</v>
      </c>
      <c r="E16" s="43">
        <f t="shared" si="0"/>
        <v>0.34577674589909208</v>
      </c>
      <c r="F16" s="99">
        <f t="shared" si="1"/>
        <v>34.577674589909208</v>
      </c>
      <c r="G16" s="72">
        <f t="shared" si="2"/>
        <v>353.72961105477117</v>
      </c>
      <c r="H16" s="16"/>
      <c r="I16" s="189"/>
      <c r="J16" s="8"/>
      <c r="K16" s="8" t="s">
        <v>575</v>
      </c>
      <c r="L16" s="8"/>
      <c r="M16" s="8"/>
      <c r="N16" s="8"/>
      <c r="O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f t="shared" si="0"/>
        <v>0.36467729590596776</v>
      </c>
      <c r="F17" s="18">
        <f t="shared" si="1"/>
        <v>36.467729590596775</v>
      </c>
      <c r="G17" s="33">
        <f t="shared" si="2"/>
        <v>373.06487371180503</v>
      </c>
      <c r="H17" s="16"/>
      <c r="I17" s="189">
        <f t="shared" si="3"/>
        <v>23899.126587197596</v>
      </c>
      <c r="J17" s="8"/>
      <c r="K17" s="8" t="s">
        <v>576</v>
      </c>
      <c r="L17" s="8"/>
      <c r="M17" s="8"/>
      <c r="N17" s="8"/>
      <c r="O17" s="8"/>
      <c r="P17" s="8"/>
      <c r="Q17" s="8"/>
      <c r="R17" s="8"/>
      <c r="S17" s="8"/>
      <c r="T17" s="8"/>
      <c r="U17" s="8"/>
      <c r="V17" s="8"/>
      <c r="W17" s="8"/>
      <c r="X17" s="8"/>
      <c r="Y17" s="8"/>
      <c r="Z17" s="8"/>
      <c r="AA17" s="8"/>
      <c r="AB17" s="8"/>
      <c r="AC17" s="8"/>
      <c r="AD17" s="8"/>
    </row>
    <row r="18" spans="1:30" ht="13">
      <c r="A18" s="58"/>
      <c r="B18" s="50">
        <v>15</v>
      </c>
      <c r="C18" s="16" t="s">
        <v>89</v>
      </c>
      <c r="D18" s="17">
        <v>0.36</v>
      </c>
      <c r="E18" s="43">
        <f t="shared" si="0"/>
        <v>0.39669172784038137</v>
      </c>
      <c r="F18" s="18">
        <f t="shared" si="1"/>
        <v>39.669172784038139</v>
      </c>
      <c r="G18" s="33">
        <f t="shared" si="2"/>
        <v>405.81563758071013</v>
      </c>
      <c r="H18" s="16"/>
      <c r="I18" s="189">
        <f t="shared" si="3"/>
        <v>25997.192384019392</v>
      </c>
      <c r="J18" s="8"/>
      <c r="K18" s="8"/>
      <c r="L18" s="8"/>
      <c r="M18" s="8"/>
      <c r="N18" s="8"/>
      <c r="O18" s="8"/>
      <c r="P18" s="8"/>
      <c r="Q18" s="8"/>
      <c r="R18" s="8"/>
      <c r="S18" s="8"/>
      <c r="T18" s="8"/>
      <c r="U18" s="8"/>
      <c r="V18" s="8"/>
      <c r="W18" s="8"/>
      <c r="X18" s="8"/>
      <c r="Y18" s="8"/>
      <c r="Z18" s="8"/>
      <c r="AA18" s="8"/>
      <c r="AB18" s="8"/>
      <c r="AC18" s="8"/>
      <c r="AD18" s="8"/>
    </row>
    <row r="19" spans="1:30" ht="13">
      <c r="A19" s="58"/>
      <c r="B19" s="50">
        <v>16</v>
      </c>
      <c r="C19" s="16" t="s">
        <v>90</v>
      </c>
      <c r="D19" s="17">
        <v>0.72</v>
      </c>
      <c r="E19" s="43">
        <f t="shared" si="0"/>
        <v>0.46206046794678785</v>
      </c>
      <c r="F19" s="18">
        <f t="shared" si="1"/>
        <v>46.206046794678784</v>
      </c>
      <c r="G19" s="33">
        <f t="shared" si="2"/>
        <v>472.68785870956395</v>
      </c>
      <c r="H19" s="16"/>
      <c r="I19" s="189">
        <f t="shared" si="3"/>
        <v>30281.132766892741</v>
      </c>
      <c r="J19" s="8"/>
      <c r="K19" s="8" t="s">
        <v>577</v>
      </c>
      <c r="L19" s="8"/>
      <c r="M19" s="8"/>
      <c r="N19" s="8"/>
      <c r="O19" s="8"/>
      <c r="P19" s="8"/>
      <c r="Q19" s="8"/>
      <c r="R19" s="8"/>
      <c r="S19" s="8"/>
      <c r="T19" s="8"/>
      <c r="U19" s="8"/>
      <c r="V19" s="8"/>
      <c r="W19" s="8"/>
      <c r="X19" s="8"/>
      <c r="Y19" s="8"/>
      <c r="Z19" s="8"/>
      <c r="AA19" s="8"/>
      <c r="AB19" s="8"/>
      <c r="AC19" s="8"/>
      <c r="AD19" s="8"/>
    </row>
    <row r="20" spans="1:30" ht="13">
      <c r="A20" s="58"/>
      <c r="B20" s="82">
        <v>17</v>
      </c>
      <c r="C20" s="73" t="s">
        <v>91</v>
      </c>
      <c r="D20" s="74">
        <v>0.9</v>
      </c>
      <c r="E20" s="43">
        <f t="shared" si="0"/>
        <v>0.4833605283967578</v>
      </c>
      <c r="F20" s="76">
        <f t="shared" si="1"/>
        <v>48.33605283967578</v>
      </c>
      <c r="G20" s="77">
        <f t="shared" si="2"/>
        <v>494.47782054988323</v>
      </c>
      <c r="H20" s="73" t="s">
        <v>205</v>
      </c>
      <c r="I20" s="189"/>
      <c r="J20" s="8"/>
      <c r="K20" s="8" t="s">
        <v>578</v>
      </c>
      <c r="L20" s="8"/>
      <c r="M20" s="8"/>
      <c r="N20" s="8"/>
      <c r="O20" s="8"/>
      <c r="P20" s="8"/>
      <c r="Q20" s="8"/>
      <c r="R20" s="8"/>
      <c r="S20" s="8"/>
      <c r="T20" s="8"/>
      <c r="U20" s="8"/>
      <c r="V20" s="8"/>
      <c r="W20" s="8"/>
      <c r="X20" s="8"/>
      <c r="Y20" s="8"/>
      <c r="Z20" s="8"/>
      <c r="AA20" s="8"/>
      <c r="AB20" s="8"/>
      <c r="AC20" s="8"/>
      <c r="AD20" s="8"/>
    </row>
    <row r="21" spans="1:30" ht="13">
      <c r="A21" s="58"/>
      <c r="B21" s="50">
        <v>18</v>
      </c>
      <c r="C21" s="16" t="s">
        <v>92</v>
      </c>
      <c r="D21" s="17">
        <v>1.44</v>
      </c>
      <c r="E21" s="43">
        <f t="shared" si="0"/>
        <v>0.52848463349279107</v>
      </c>
      <c r="F21" s="18">
        <f t="shared" si="1"/>
        <v>52.848463349279108</v>
      </c>
      <c r="G21" s="33">
        <f t="shared" si="2"/>
        <v>540.63978006312527</v>
      </c>
      <c r="H21" s="16"/>
      <c r="I21" s="189">
        <f t="shared" si="3"/>
        <v>34634.240455950065</v>
      </c>
      <c r="J21" s="8"/>
      <c r="K21" s="8" t="s">
        <v>579</v>
      </c>
      <c r="L21" s="8"/>
      <c r="M21" s="8"/>
      <c r="N21" s="8"/>
      <c r="O21" s="8"/>
      <c r="P21" s="8"/>
      <c r="Q21" s="8"/>
      <c r="R21" s="8"/>
      <c r="S21" s="8"/>
      <c r="T21" s="8"/>
      <c r="U21" s="8"/>
      <c r="V21" s="8"/>
      <c r="W21" s="8"/>
      <c r="X21" s="8"/>
      <c r="Y21" s="8"/>
      <c r="Z21" s="8"/>
      <c r="AA21" s="8"/>
      <c r="AB21" s="8"/>
      <c r="AC21" s="8"/>
      <c r="AD21" s="8"/>
    </row>
    <row r="22" spans="1:30" ht="13">
      <c r="A22" s="58"/>
      <c r="B22" s="50">
        <v>19</v>
      </c>
      <c r="C22" s="16" t="s">
        <v>93</v>
      </c>
      <c r="D22" s="17">
        <v>2.88</v>
      </c>
      <c r="E22" s="43">
        <f t="shared" si="0"/>
        <v>0.59544990025798716</v>
      </c>
      <c r="F22" s="18">
        <f t="shared" si="1"/>
        <v>59.544990025798718</v>
      </c>
      <c r="G22" s="33">
        <f t="shared" si="2"/>
        <v>609.14524796392084</v>
      </c>
      <c r="H22" s="16"/>
      <c r="I22" s="189">
        <f t="shared" si="3"/>
        <v>39022.809213407192</v>
      </c>
      <c r="J22" s="8"/>
      <c r="K22" s="8" t="s">
        <v>580</v>
      </c>
      <c r="L22" s="8"/>
      <c r="M22" s="8"/>
      <c r="N22" s="8"/>
      <c r="O22" s="8"/>
      <c r="P22" s="8"/>
      <c r="Q22" s="8"/>
      <c r="R22" s="8"/>
      <c r="S22" s="8"/>
      <c r="T22" s="8"/>
      <c r="U22" s="8"/>
      <c r="V22" s="8"/>
      <c r="W22" s="8"/>
      <c r="X22" s="8"/>
      <c r="Y22" s="8"/>
      <c r="Z22" s="8"/>
      <c r="AA22" s="8"/>
      <c r="AB22" s="8"/>
      <c r="AC22" s="8"/>
      <c r="AD22" s="8"/>
    </row>
    <row r="23" spans="1:30" ht="13">
      <c r="A23" s="58"/>
      <c r="B23" s="50">
        <v>20</v>
      </c>
      <c r="C23" s="16" t="s">
        <v>94</v>
      </c>
      <c r="D23" s="17">
        <v>5.76</v>
      </c>
      <c r="E23" s="43">
        <f t="shared" si="0"/>
        <v>0.66268916792012433</v>
      </c>
      <c r="F23" s="18">
        <f t="shared" si="1"/>
        <v>66.268916792012433</v>
      </c>
      <c r="G23" s="33">
        <f t="shared" si="2"/>
        <v>677.9310187822872</v>
      </c>
      <c r="H23" s="16" t="s">
        <v>581</v>
      </c>
      <c r="I23" s="189">
        <f t="shared" si="3"/>
        <v>43429.334619645349</v>
      </c>
      <c r="J23" s="8"/>
      <c r="K23" s="8" t="s">
        <v>582</v>
      </c>
      <c r="L23" s="8"/>
      <c r="M23" s="8"/>
      <c r="N23" s="8"/>
      <c r="O23" s="8"/>
      <c r="P23" s="8"/>
      <c r="Q23" s="8"/>
      <c r="R23" s="8"/>
      <c r="S23" s="8"/>
      <c r="T23" s="8"/>
      <c r="U23" s="8"/>
      <c r="V23" s="8"/>
      <c r="W23" s="8"/>
      <c r="X23" s="8"/>
      <c r="Y23" s="8"/>
      <c r="Z23" s="8"/>
      <c r="AA23" s="8"/>
      <c r="AB23" s="8"/>
      <c r="AC23" s="8"/>
      <c r="AD23" s="8"/>
    </row>
    <row r="24" spans="1:30" ht="13">
      <c r="A24" s="58"/>
      <c r="B24" s="50">
        <v>21</v>
      </c>
      <c r="C24" s="16" t="s">
        <v>95</v>
      </c>
      <c r="D24" s="17">
        <v>11.52</v>
      </c>
      <c r="E24" s="43">
        <f t="shared" si="0"/>
        <v>0.73006631193884908</v>
      </c>
      <c r="F24" s="18">
        <f t="shared" si="1"/>
        <v>73.006631193884914</v>
      </c>
      <c r="G24" s="33">
        <f t="shared" si="2"/>
        <v>746.85783711344266</v>
      </c>
      <c r="H24" s="16" t="s">
        <v>583</v>
      </c>
      <c r="I24" s="189">
        <f t="shared" si="3"/>
        <v>47844.895752912475</v>
      </c>
      <c r="J24" s="8"/>
      <c r="K24" s="8" t="s">
        <v>584</v>
      </c>
      <c r="L24" s="8"/>
      <c r="M24" s="8"/>
      <c r="N24" s="8"/>
      <c r="O24" s="8"/>
      <c r="P24" s="8"/>
      <c r="Q24" s="8"/>
      <c r="R24" s="8"/>
      <c r="S24" s="8"/>
      <c r="T24" s="8"/>
      <c r="U24" s="8"/>
      <c r="V24" s="8"/>
      <c r="W24" s="8"/>
      <c r="X24" s="8"/>
      <c r="Y24" s="8"/>
      <c r="Z24" s="8"/>
      <c r="AA24" s="8"/>
      <c r="AB24" s="8"/>
      <c r="AC24" s="8"/>
      <c r="AD24" s="8"/>
    </row>
    <row r="25" spans="1:30" ht="28">
      <c r="A25" s="58"/>
      <c r="B25" s="50">
        <v>22</v>
      </c>
      <c r="C25" s="16" t="s">
        <v>96</v>
      </c>
      <c r="D25" s="17">
        <v>23.04</v>
      </c>
      <c r="E25" s="43">
        <f t="shared" si="0"/>
        <v>0.79751261480849578</v>
      </c>
      <c r="F25" s="18">
        <f t="shared" si="1"/>
        <v>79.751261480849578</v>
      </c>
      <c r="G25" s="33">
        <f t="shared" si="2"/>
        <v>815.85540494909117</v>
      </c>
      <c r="H25" s="102" t="s">
        <v>585</v>
      </c>
      <c r="I25" s="189">
        <f t="shared" si="3"/>
        <v>52264.989211474771</v>
      </c>
      <c r="J25" s="8"/>
      <c r="K25" s="8" t="s">
        <v>586</v>
      </c>
      <c r="L25" s="8"/>
      <c r="M25" s="8"/>
      <c r="N25" s="8"/>
      <c r="O25" s="8"/>
      <c r="P25" s="8"/>
      <c r="Q25" s="8"/>
      <c r="R25" s="8"/>
      <c r="S25" s="8"/>
      <c r="T25" s="8"/>
      <c r="U25" s="8"/>
      <c r="V25" s="8"/>
      <c r="W25" s="8"/>
      <c r="X25" s="8"/>
      <c r="Y25" s="8"/>
      <c r="Z25" s="8"/>
      <c r="AA25" s="8"/>
      <c r="AB25" s="8"/>
      <c r="AC25" s="8"/>
      <c r="AD25" s="8"/>
    </row>
    <row r="26" spans="1:30" ht="13">
      <c r="A26" s="58"/>
      <c r="B26" s="50">
        <v>23</v>
      </c>
      <c r="C26" s="16" t="s">
        <v>97</v>
      </c>
      <c r="D26" s="17">
        <v>46.08</v>
      </c>
      <c r="E26" s="43">
        <f t="shared" si="0"/>
        <v>0.86499355248552801</v>
      </c>
      <c r="F26" s="18">
        <f t="shared" si="1"/>
        <v>86.499355248552803</v>
      </c>
      <c r="G26" s="33">
        <f t="shared" si="2"/>
        <v>884.88840419269513</v>
      </c>
      <c r="H26" s="16"/>
      <c r="I26" s="189">
        <f t="shared" si="3"/>
        <v>56687.352462139075</v>
      </c>
      <c r="J26" s="8"/>
      <c r="K26" s="8"/>
      <c r="L26" s="8"/>
      <c r="M26" s="8"/>
      <c r="N26" s="8"/>
      <c r="O26" s="8"/>
      <c r="P26" s="8"/>
      <c r="Q26" s="8"/>
      <c r="R26" s="8"/>
      <c r="S26" s="8"/>
      <c r="T26" s="8"/>
      <c r="U26" s="8"/>
      <c r="V26" s="8"/>
      <c r="W26" s="8"/>
      <c r="X26" s="8"/>
      <c r="Y26" s="8"/>
      <c r="Z26" s="8"/>
      <c r="AA26" s="8"/>
      <c r="AB26" s="8"/>
      <c r="AC26" s="8"/>
      <c r="AD26" s="8"/>
    </row>
    <row r="27" spans="1:30" ht="13">
      <c r="A27" s="58"/>
      <c r="B27" s="69">
        <v>24</v>
      </c>
      <c r="C27" s="43" t="s">
        <v>98</v>
      </c>
      <c r="D27" s="5">
        <f>0.18*2^9</f>
        <v>92.16</v>
      </c>
      <c r="E27" s="43">
        <f t="shared" si="0"/>
        <v>0.93249182143856968</v>
      </c>
      <c r="F27" s="99">
        <f t="shared" si="1"/>
        <v>93.24918214385697</v>
      </c>
      <c r="G27" s="103">
        <f t="shared" si="2"/>
        <v>953.93913333165676</v>
      </c>
      <c r="H27" s="43"/>
      <c r="I27" s="189">
        <f t="shared" si="3"/>
        <v>61110.851517976662</v>
      </c>
      <c r="J27" s="8"/>
      <c r="K27" s="8"/>
      <c r="L27" s="8"/>
      <c r="M27" s="8"/>
      <c r="N27" s="8"/>
      <c r="O27" s="8"/>
      <c r="P27" s="8"/>
      <c r="Q27" s="8"/>
      <c r="R27" s="8"/>
      <c r="S27" s="8"/>
      <c r="T27" s="8"/>
      <c r="U27" s="8"/>
      <c r="V27" s="8"/>
      <c r="W27" s="8"/>
      <c r="X27" s="8"/>
      <c r="Y27" s="8"/>
      <c r="Z27" s="8"/>
      <c r="AA27" s="8"/>
      <c r="AB27" s="8"/>
      <c r="AC27" s="8"/>
      <c r="AD27" s="8"/>
    </row>
    <row r="28" spans="1:30" ht="13">
      <c r="A28" s="104"/>
      <c r="B28" s="50">
        <v>25</v>
      </c>
      <c r="C28" s="16" t="s">
        <v>587</v>
      </c>
      <c r="D28" s="105">
        <f>0.18*2^10</f>
        <v>184.32</v>
      </c>
      <c r="E28" s="43">
        <f t="shared" si="0"/>
        <v>0.9999987595010571</v>
      </c>
      <c r="F28" s="18">
        <f t="shared" si="1"/>
        <v>99.999875950105704</v>
      </c>
      <c r="G28" s="33">
        <f t="shared" si="2"/>
        <v>1022.9987309695814</v>
      </c>
      <c r="H28" s="105"/>
      <c r="I28" s="189">
        <f t="shared" si="3"/>
        <v>65534.918703901778</v>
      </c>
      <c r="J28" s="104"/>
      <c r="K28" s="104"/>
      <c r="L28" s="104"/>
      <c r="M28" s="104"/>
      <c r="N28" s="104"/>
      <c r="O28" s="104"/>
      <c r="P28" s="104"/>
      <c r="Q28" s="104"/>
      <c r="R28" s="104"/>
      <c r="S28" s="104"/>
      <c r="T28" s="104"/>
      <c r="U28" s="104"/>
      <c r="V28" s="104"/>
      <c r="W28" s="104"/>
      <c r="X28" s="104"/>
      <c r="Y28" s="104"/>
      <c r="Z28" s="104"/>
      <c r="AA28" s="104"/>
      <c r="AB28" s="104"/>
      <c r="AC28" s="104"/>
      <c r="AD28" s="104"/>
    </row>
    <row r="29" spans="1:30" ht="13">
      <c r="A29" s="81"/>
      <c r="B29" s="81"/>
      <c r="C29" s="81"/>
      <c r="D29" s="81"/>
      <c r="E29" s="106"/>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row>
    <row r="30" spans="1:30" ht="13">
      <c r="A30" s="8"/>
      <c r="B30" s="43"/>
      <c r="C30" s="12" t="s">
        <v>563</v>
      </c>
      <c r="D30" s="173" t="s">
        <v>142</v>
      </c>
      <c r="E30" s="166"/>
      <c r="F30" s="166"/>
      <c r="G30" s="167"/>
      <c r="H30" s="41" t="s">
        <v>228</v>
      </c>
      <c r="I30" s="187"/>
      <c r="J30" s="8"/>
      <c r="K30" s="8"/>
      <c r="L30" s="8"/>
      <c r="M30" s="8"/>
      <c r="N30" s="8"/>
      <c r="O30" s="8"/>
      <c r="P30" s="8"/>
      <c r="Q30" s="8"/>
      <c r="R30" s="8"/>
      <c r="S30" s="8"/>
      <c r="T30" s="8"/>
      <c r="U30" s="8"/>
      <c r="V30" s="8"/>
      <c r="W30" s="8"/>
      <c r="X30" s="8"/>
      <c r="Y30" s="8"/>
      <c r="Z30" s="8"/>
      <c r="AA30" s="8"/>
      <c r="AB30" s="8"/>
      <c r="AC30" s="8"/>
      <c r="AD30" s="8"/>
    </row>
    <row r="31" spans="1:30" ht="42">
      <c r="A31" s="8"/>
      <c r="B31" s="41" t="s">
        <v>58</v>
      </c>
      <c r="C31" s="41" t="s">
        <v>59</v>
      </c>
      <c r="D31" s="41" t="s">
        <v>143</v>
      </c>
      <c r="E31" s="83" t="s">
        <v>144</v>
      </c>
      <c r="F31" s="83" t="s">
        <v>145</v>
      </c>
      <c r="G31" s="83" t="s">
        <v>146</v>
      </c>
      <c r="H31" s="43"/>
      <c r="I31" s="185"/>
      <c r="J31" s="8"/>
      <c r="K31" s="8"/>
      <c r="L31" s="8"/>
      <c r="M31" s="8"/>
      <c r="N31" s="8"/>
      <c r="O31" s="8"/>
      <c r="P31" s="8"/>
      <c r="Q31" s="8"/>
      <c r="R31" s="8"/>
      <c r="S31" s="8"/>
      <c r="T31" s="8"/>
      <c r="U31" s="8"/>
      <c r="V31" s="8"/>
      <c r="W31" s="8"/>
      <c r="X31" s="8"/>
      <c r="Y31" s="8"/>
      <c r="Z31" s="8"/>
      <c r="AA31" s="8"/>
      <c r="AB31" s="8"/>
      <c r="AC31" s="8"/>
      <c r="AD31" s="8"/>
    </row>
    <row r="32" spans="1:30" ht="15">
      <c r="A32" s="58"/>
      <c r="B32" s="69">
        <v>1</v>
      </c>
      <c r="C32" s="43" t="s">
        <v>229</v>
      </c>
      <c r="D32" s="69">
        <v>7.0312499999999997E-4</v>
      </c>
      <c r="E32" s="43">
        <f t="shared" ref="E32:E212" si="4">0.224282*LOG10(((D32+0.01)*155.975327)+1)</f>
        <v>9.5637762264851864E-2</v>
      </c>
      <c r="F32" s="71">
        <f t="shared" ref="F32:F212" si="5">E32*100</f>
        <v>9.5637762264851869</v>
      </c>
      <c r="G32" s="84">
        <f t="shared" ref="G32:G212" si="6">E32*1023</f>
        <v>97.837430796943451</v>
      </c>
      <c r="H32" s="43"/>
      <c r="I32" s="185">
        <f t="shared" ref="I32:I95" si="7">E32*((2^16)-1)</f>
        <v>6267.6207500270666</v>
      </c>
      <c r="J32" s="8"/>
      <c r="K32" s="8"/>
      <c r="L32" s="8"/>
      <c r="M32" s="8"/>
      <c r="N32" s="8"/>
      <c r="O32" s="8"/>
      <c r="P32" s="8"/>
      <c r="Q32" s="8"/>
      <c r="R32" s="8"/>
      <c r="S32" s="8"/>
      <c r="T32" s="8"/>
      <c r="U32" s="8"/>
      <c r="V32" s="8"/>
      <c r="W32" s="8"/>
      <c r="X32" s="8"/>
      <c r="Y32" s="8"/>
      <c r="Z32" s="8"/>
      <c r="AA32" s="8"/>
      <c r="AB32" s="8"/>
      <c r="AC32" s="8"/>
      <c r="AD32" s="8"/>
    </row>
    <row r="33" spans="1:30" ht="15">
      <c r="A33" s="58"/>
      <c r="B33" s="69">
        <v>2</v>
      </c>
      <c r="C33" s="43" t="s">
        <v>230</v>
      </c>
      <c r="D33" s="69">
        <v>7.5359071584583004E-4</v>
      </c>
      <c r="E33" s="43">
        <f t="shared" si="4"/>
        <v>9.5924558921719832E-2</v>
      </c>
      <c r="F33" s="71">
        <f t="shared" si="5"/>
        <v>9.5924558921719836</v>
      </c>
      <c r="G33" s="84">
        <f t="shared" si="6"/>
        <v>98.130823776919385</v>
      </c>
      <c r="H33" s="43"/>
      <c r="I33" s="185">
        <f t="shared" si="7"/>
        <v>6286.415968934909</v>
      </c>
      <c r="J33" s="8"/>
      <c r="K33" s="8"/>
      <c r="L33" s="8"/>
      <c r="M33" s="8"/>
      <c r="N33" s="8"/>
      <c r="O33" s="8"/>
      <c r="P33" s="8"/>
      <c r="Q33" s="8"/>
      <c r="R33" s="8"/>
      <c r="S33" s="8"/>
      <c r="T33" s="8"/>
      <c r="U33" s="8"/>
      <c r="V33" s="8"/>
      <c r="W33" s="8"/>
      <c r="X33" s="8"/>
      <c r="Y33" s="8"/>
      <c r="Z33" s="8"/>
      <c r="AA33" s="8"/>
      <c r="AB33" s="8"/>
      <c r="AC33" s="8"/>
      <c r="AD33" s="8"/>
    </row>
    <row r="34" spans="1:30" ht="15">
      <c r="A34" s="58"/>
      <c r="B34" s="69">
        <v>3</v>
      </c>
      <c r="C34" s="43" t="s">
        <v>231</v>
      </c>
      <c r="D34" s="69">
        <v>8.0767853085729003E-4</v>
      </c>
      <c r="E34" s="43">
        <f t="shared" si="4"/>
        <v>9.6231005321570806E-2</v>
      </c>
      <c r="F34" s="71">
        <f t="shared" si="5"/>
        <v>9.6231005321570802</v>
      </c>
      <c r="G34" s="84">
        <f t="shared" si="6"/>
        <v>98.444318443966935</v>
      </c>
      <c r="H34" s="43"/>
      <c r="I34" s="185">
        <f t="shared" si="7"/>
        <v>6306.4989337491425</v>
      </c>
      <c r="J34" s="8"/>
      <c r="K34" s="8"/>
      <c r="L34" s="8"/>
      <c r="M34" s="8"/>
      <c r="N34" s="8"/>
      <c r="O34" s="8"/>
      <c r="P34" s="8"/>
      <c r="Q34" s="8"/>
      <c r="R34" s="8"/>
      <c r="S34" s="8"/>
      <c r="T34" s="8"/>
      <c r="U34" s="8"/>
      <c r="V34" s="8"/>
      <c r="W34" s="8"/>
      <c r="X34" s="8"/>
      <c r="Y34" s="8"/>
      <c r="Z34" s="8"/>
      <c r="AA34" s="8"/>
      <c r="AB34" s="8"/>
      <c r="AC34" s="8"/>
      <c r="AD34" s="8"/>
    </row>
    <row r="35" spans="1:30" ht="15">
      <c r="A35" s="58"/>
      <c r="B35" s="69">
        <v>4</v>
      </c>
      <c r="C35" s="43" t="s">
        <v>232</v>
      </c>
      <c r="D35" s="69">
        <v>8.6564841563314401E-4</v>
      </c>
      <c r="E35" s="43">
        <f t="shared" si="4"/>
        <v>9.6558379558035728E-2</v>
      </c>
      <c r="F35" s="71">
        <f t="shared" si="5"/>
        <v>9.6558379558035732</v>
      </c>
      <c r="G35" s="84">
        <f t="shared" si="6"/>
        <v>98.779222287870553</v>
      </c>
      <c r="H35" s="43"/>
      <c r="I35" s="185">
        <f t="shared" si="7"/>
        <v>6327.9534043358717</v>
      </c>
      <c r="J35" s="8"/>
      <c r="K35" s="8"/>
      <c r="L35" s="8"/>
      <c r="M35" s="8"/>
      <c r="N35" s="8"/>
      <c r="O35" s="8"/>
      <c r="P35" s="8"/>
      <c r="Q35" s="8"/>
      <c r="R35" s="8"/>
      <c r="S35" s="8"/>
      <c r="T35" s="8"/>
      <c r="U35" s="8"/>
      <c r="V35" s="8"/>
      <c r="W35" s="8"/>
      <c r="X35" s="8"/>
      <c r="Y35" s="8"/>
      <c r="Z35" s="8"/>
      <c r="AA35" s="8"/>
      <c r="AB35" s="8"/>
      <c r="AC35" s="8"/>
      <c r="AD35" s="8"/>
    </row>
    <row r="36" spans="1:30" ht="15">
      <c r="A36" s="58"/>
      <c r="B36" s="69">
        <v>5</v>
      </c>
      <c r="C36" s="43" t="s">
        <v>233</v>
      </c>
      <c r="D36" s="69">
        <v>9.2777899976219098E-4</v>
      </c>
      <c r="E36" s="43">
        <f t="shared" si="4"/>
        <v>9.6908033272600599E-2</v>
      </c>
      <c r="F36" s="71">
        <f t="shared" si="5"/>
        <v>9.6908033272600598</v>
      </c>
      <c r="G36" s="84">
        <f t="shared" si="6"/>
        <v>99.136918037870416</v>
      </c>
      <c r="H36" s="43"/>
      <c r="I36" s="185">
        <f t="shared" si="7"/>
        <v>6350.8679605198804</v>
      </c>
      <c r="J36" s="8"/>
      <c r="K36" s="8"/>
      <c r="L36" s="8"/>
      <c r="M36" s="8"/>
      <c r="N36" s="8"/>
      <c r="O36" s="8"/>
      <c r="P36" s="8"/>
      <c r="Q36" s="8"/>
      <c r="R36" s="8"/>
      <c r="S36" s="8"/>
      <c r="T36" s="8"/>
      <c r="U36" s="8"/>
      <c r="V36" s="8"/>
      <c r="W36" s="8"/>
      <c r="X36" s="8"/>
      <c r="Y36" s="8"/>
      <c r="Z36" s="8"/>
      <c r="AA36" s="8"/>
      <c r="AB36" s="8"/>
      <c r="AC36" s="8"/>
      <c r="AD36" s="8"/>
    </row>
    <row r="37" spans="1:30" ht="15">
      <c r="A37" s="58"/>
      <c r="B37" s="69">
        <v>6</v>
      </c>
      <c r="C37" s="43" t="s">
        <v>234</v>
      </c>
      <c r="D37" s="69">
        <v>9.9436891104358197E-4</v>
      </c>
      <c r="E37" s="43">
        <f t="shared" si="4"/>
        <v>9.7281394546497674E-2</v>
      </c>
      <c r="F37" s="71">
        <f t="shared" si="5"/>
        <v>9.7281394546497673</v>
      </c>
      <c r="G37" s="84">
        <f t="shared" si="6"/>
        <v>99.518866621067119</v>
      </c>
      <c r="H37" s="43"/>
      <c r="I37" s="185">
        <f t="shared" si="7"/>
        <v>6375.3361916047252</v>
      </c>
      <c r="J37" s="8"/>
      <c r="K37" s="8"/>
      <c r="L37" s="8"/>
      <c r="M37" s="8"/>
      <c r="N37" s="8"/>
      <c r="O37" s="8"/>
      <c r="P37" s="8"/>
      <c r="Q37" s="8"/>
      <c r="R37" s="8"/>
      <c r="S37" s="8"/>
      <c r="T37" s="8"/>
      <c r="U37" s="8"/>
      <c r="V37" s="8"/>
      <c r="W37" s="8"/>
      <c r="X37" s="8"/>
      <c r="Y37" s="8"/>
      <c r="Z37" s="8"/>
      <c r="AA37" s="8"/>
      <c r="AB37" s="8"/>
      <c r="AC37" s="8"/>
      <c r="AD37" s="8"/>
    </row>
    <row r="38" spans="1:30" ht="15">
      <c r="A38" s="58"/>
      <c r="B38" s="69">
        <v>7</v>
      </c>
      <c r="C38" s="43" t="s">
        <v>235</v>
      </c>
      <c r="D38" s="69">
        <v>1.06573821082762E-3</v>
      </c>
      <c r="E38" s="43">
        <f t="shared" si="4"/>
        <v>9.7679970711322464E-2</v>
      </c>
      <c r="F38" s="71">
        <f t="shared" si="5"/>
        <v>9.7679970711322461</v>
      </c>
      <c r="G38" s="84">
        <f t="shared" si="6"/>
        <v>99.926610037682877</v>
      </c>
      <c r="H38" s="43"/>
      <c r="I38" s="185">
        <f t="shared" si="7"/>
        <v>6401.4568805665176</v>
      </c>
      <c r="J38" s="8"/>
      <c r="K38" s="8"/>
      <c r="L38" s="8"/>
      <c r="M38" s="8"/>
      <c r="N38" s="8"/>
      <c r="O38" s="8"/>
      <c r="P38" s="8"/>
      <c r="Q38" s="8"/>
      <c r="R38" s="8"/>
      <c r="S38" s="8"/>
      <c r="T38" s="8"/>
      <c r="U38" s="8"/>
      <c r="V38" s="8"/>
      <c r="W38" s="8"/>
      <c r="X38" s="8"/>
      <c r="Y38" s="8"/>
      <c r="Z38" s="8"/>
      <c r="AA38" s="8"/>
      <c r="AB38" s="8"/>
      <c r="AC38" s="8"/>
      <c r="AD38" s="8"/>
    </row>
    <row r="39" spans="1:30" ht="15">
      <c r="A39" s="58"/>
      <c r="B39" s="69">
        <v>8</v>
      </c>
      <c r="C39" s="43" t="s">
        <v>236</v>
      </c>
      <c r="D39" s="69">
        <v>1.1422299323759499E-3</v>
      </c>
      <c r="E39" s="43">
        <f t="shared" si="4"/>
        <v>9.8105351042773042E-2</v>
      </c>
      <c r="F39" s="71">
        <f t="shared" si="5"/>
        <v>9.8105351042773048</v>
      </c>
      <c r="G39" s="84">
        <f t="shared" si="6"/>
        <v>100.36177411675682</v>
      </c>
      <c r="H39" s="43"/>
      <c r="I39" s="185">
        <f t="shared" si="7"/>
        <v>6429.3341805881309</v>
      </c>
      <c r="J39" s="8"/>
      <c r="K39" s="8"/>
      <c r="L39" s="8"/>
      <c r="M39" s="8"/>
      <c r="N39" s="8"/>
      <c r="O39" s="8"/>
      <c r="P39" s="8"/>
      <c r="Q39" s="8"/>
      <c r="R39" s="8"/>
      <c r="S39" s="8"/>
      <c r="T39" s="8"/>
      <c r="U39" s="8"/>
      <c r="V39" s="8"/>
      <c r="W39" s="8"/>
      <c r="X39" s="8"/>
      <c r="Y39" s="8"/>
      <c r="Z39" s="8"/>
      <c r="AA39" s="8"/>
      <c r="AB39" s="8"/>
      <c r="AC39" s="8"/>
      <c r="AD39" s="8"/>
    </row>
    <row r="40" spans="1:30" ht="15">
      <c r="A40" s="58"/>
      <c r="B40" s="69">
        <v>9</v>
      </c>
      <c r="C40" s="43" t="s">
        <v>237</v>
      </c>
      <c r="D40" s="69">
        <v>1.22421172963517E-3</v>
      </c>
      <c r="E40" s="43">
        <f t="shared" si="4"/>
        <v>9.8559209297381142E-2</v>
      </c>
      <c r="F40" s="71">
        <f t="shared" si="5"/>
        <v>9.8559209297381134</v>
      </c>
      <c r="G40" s="84">
        <f t="shared" si="6"/>
        <v>100.82607111122091</v>
      </c>
      <c r="H40" s="43"/>
      <c r="I40" s="185">
        <f t="shared" si="7"/>
        <v>6459.0777813038731</v>
      </c>
      <c r="J40" s="8"/>
      <c r="K40" s="8"/>
      <c r="L40" s="8"/>
      <c r="M40" s="8"/>
      <c r="N40" s="8"/>
      <c r="O40" s="8"/>
      <c r="P40" s="8"/>
      <c r="Q40" s="8"/>
      <c r="R40" s="8"/>
      <c r="S40" s="8"/>
      <c r="T40" s="8"/>
      <c r="U40" s="8"/>
      <c r="V40" s="8"/>
      <c r="W40" s="8"/>
      <c r="X40" s="8"/>
      <c r="Y40" s="8"/>
      <c r="Z40" s="8"/>
      <c r="AA40" s="8"/>
      <c r="AB40" s="8"/>
      <c r="AC40" s="8"/>
      <c r="AD40" s="8"/>
    </row>
    <row r="41" spans="1:30" ht="15">
      <c r="A41" s="58"/>
      <c r="B41" s="69">
        <v>10</v>
      </c>
      <c r="C41" s="43" t="s">
        <v>238</v>
      </c>
      <c r="D41" s="69">
        <v>1.31207764434863E-3</v>
      </c>
      <c r="E41" s="43">
        <f t="shared" si="4"/>
        <v>9.9043306047371577E-2</v>
      </c>
      <c r="F41" s="71">
        <f t="shared" si="5"/>
        <v>9.904330604737158</v>
      </c>
      <c r="G41" s="84">
        <f t="shared" si="6"/>
        <v>101.32130208646112</v>
      </c>
      <c r="H41" s="43"/>
      <c r="I41" s="185">
        <f t="shared" si="7"/>
        <v>6490.8030618144967</v>
      </c>
      <c r="J41" s="8"/>
      <c r="K41" s="8"/>
      <c r="L41" s="8"/>
      <c r="M41" s="8"/>
      <c r="N41" s="8"/>
      <c r="O41" s="8"/>
      <c r="P41" s="8"/>
      <c r="Q41" s="8"/>
      <c r="R41" s="8"/>
      <c r="S41" s="8"/>
      <c r="T41" s="8"/>
      <c r="U41" s="8"/>
      <c r="V41" s="8"/>
      <c r="W41" s="8"/>
      <c r="X41" s="8"/>
      <c r="Y41" s="8"/>
      <c r="Z41" s="8"/>
      <c r="AA41" s="8"/>
      <c r="AB41" s="8"/>
      <c r="AC41" s="8"/>
      <c r="AD41" s="8"/>
    </row>
    <row r="42" spans="1:30" ht="15">
      <c r="A42" s="58"/>
      <c r="B42" s="69">
        <v>11</v>
      </c>
      <c r="C42" s="43" t="s">
        <v>239</v>
      </c>
      <c r="D42" s="69">
        <v>1.4062499999999999E-3</v>
      </c>
      <c r="E42" s="43">
        <f t="shared" si="4"/>
        <v>9.9559490763897446E-2</v>
      </c>
      <c r="F42" s="71">
        <f t="shared" si="5"/>
        <v>9.9559490763897447</v>
      </c>
      <c r="G42" s="84">
        <f t="shared" si="6"/>
        <v>101.84935905146709</v>
      </c>
      <c r="H42" s="43"/>
      <c r="I42" s="185">
        <f t="shared" si="7"/>
        <v>6524.6312272120194</v>
      </c>
      <c r="J42" s="8"/>
      <c r="K42" s="8"/>
      <c r="L42" s="8"/>
      <c r="M42" s="8"/>
      <c r="N42" s="8"/>
      <c r="O42" s="8"/>
      <c r="P42" s="8"/>
      <c r="Q42" s="8"/>
      <c r="R42" s="8"/>
      <c r="S42" s="8"/>
      <c r="T42" s="8"/>
      <c r="U42" s="8"/>
      <c r="V42" s="8"/>
      <c r="W42" s="8"/>
      <c r="X42" s="8"/>
      <c r="Y42" s="8"/>
      <c r="Z42" s="8"/>
      <c r="AA42" s="8"/>
      <c r="AB42" s="8"/>
      <c r="AC42" s="8"/>
      <c r="AD42" s="8"/>
    </row>
    <row r="43" spans="1:30" ht="15">
      <c r="A43" s="58"/>
      <c r="B43" s="69">
        <v>12</v>
      </c>
      <c r="C43" s="43" t="s">
        <v>240</v>
      </c>
      <c r="D43" s="69">
        <v>1.5071814316916601E-3</v>
      </c>
      <c r="E43" s="43">
        <f t="shared" si="4"/>
        <v>0.10010970359393487</v>
      </c>
      <c r="F43" s="71">
        <f t="shared" si="5"/>
        <v>10.010970359393486</v>
      </c>
      <c r="G43" s="84">
        <f t="shared" si="6"/>
        <v>102.41222677659538</v>
      </c>
      <c r="H43" s="43"/>
      <c r="I43" s="185">
        <f t="shared" si="7"/>
        <v>6560.6894250285213</v>
      </c>
      <c r="J43" s="8"/>
      <c r="K43" s="8"/>
      <c r="L43" s="8"/>
      <c r="M43" s="8"/>
      <c r="N43" s="8"/>
      <c r="O43" s="8"/>
      <c r="P43" s="8"/>
      <c r="Q43" s="8"/>
      <c r="R43" s="8"/>
      <c r="S43" s="8"/>
      <c r="T43" s="8"/>
      <c r="U43" s="8"/>
      <c r="V43" s="8"/>
      <c r="W43" s="8"/>
      <c r="X43" s="8"/>
      <c r="Y43" s="8"/>
      <c r="Z43" s="8"/>
      <c r="AA43" s="8"/>
      <c r="AB43" s="8"/>
      <c r="AC43" s="8"/>
      <c r="AD43" s="8"/>
    </row>
    <row r="44" spans="1:30" ht="15">
      <c r="A44" s="58"/>
      <c r="B44" s="69">
        <v>13</v>
      </c>
      <c r="C44" s="43" t="s">
        <v>241</v>
      </c>
      <c r="D44" s="69">
        <v>1.6153570617145801E-3</v>
      </c>
      <c r="E44" s="43">
        <f t="shared" si="4"/>
        <v>0.10069597677117224</v>
      </c>
      <c r="F44" s="71">
        <f t="shared" si="5"/>
        <v>10.069597677117224</v>
      </c>
      <c r="G44" s="84">
        <f t="shared" si="6"/>
        <v>103.0119842369092</v>
      </c>
      <c r="H44" s="43"/>
      <c r="I44" s="185">
        <f t="shared" si="7"/>
        <v>6599.1108376987731</v>
      </c>
      <c r="J44" s="8"/>
      <c r="K44" s="8"/>
      <c r="L44" s="8"/>
      <c r="M44" s="8"/>
      <c r="N44" s="8"/>
      <c r="O44" s="8"/>
      <c r="P44" s="8"/>
      <c r="Q44" s="8"/>
      <c r="R44" s="8"/>
      <c r="S44" s="8"/>
      <c r="T44" s="8"/>
      <c r="U44" s="8"/>
      <c r="V44" s="8"/>
      <c r="W44" s="8"/>
      <c r="X44" s="8"/>
      <c r="Y44" s="8"/>
      <c r="Z44" s="8"/>
      <c r="AA44" s="8"/>
      <c r="AB44" s="8"/>
      <c r="AC44" s="8"/>
      <c r="AD44" s="8"/>
    </row>
    <row r="45" spans="1:30" ht="15">
      <c r="A45" s="58"/>
      <c r="B45" s="69">
        <v>14</v>
      </c>
      <c r="C45" s="43" t="s">
        <v>242</v>
      </c>
      <c r="D45" s="69">
        <v>1.73129683126628E-3</v>
      </c>
      <c r="E45" s="43">
        <f t="shared" si="4"/>
        <v>0.10132043559641489</v>
      </c>
      <c r="F45" s="71">
        <f t="shared" si="5"/>
        <v>10.132043559641488</v>
      </c>
      <c r="G45" s="84">
        <f t="shared" si="6"/>
        <v>103.65080561513243</v>
      </c>
      <c r="H45" s="43"/>
      <c r="I45" s="185">
        <f t="shared" si="7"/>
        <v>6640.0347468110494</v>
      </c>
      <c r="J45" s="8"/>
      <c r="K45" s="8"/>
      <c r="L45" s="8"/>
      <c r="M45" s="8"/>
      <c r="N45" s="8"/>
      <c r="O45" s="8"/>
      <c r="P45" s="8"/>
      <c r="Q45" s="8"/>
      <c r="R45" s="8"/>
      <c r="S45" s="8"/>
      <c r="T45" s="8"/>
      <c r="U45" s="8"/>
      <c r="V45" s="8"/>
      <c r="W45" s="8"/>
      <c r="X45" s="8"/>
      <c r="Y45" s="8"/>
      <c r="Z45" s="8"/>
      <c r="AA45" s="8"/>
      <c r="AB45" s="8"/>
      <c r="AC45" s="8"/>
      <c r="AD45" s="8"/>
    </row>
    <row r="46" spans="1:30" ht="15">
      <c r="A46" s="58"/>
      <c r="B46" s="69">
        <v>15</v>
      </c>
      <c r="C46" s="43" t="s">
        <v>243</v>
      </c>
      <c r="D46" s="69">
        <v>1.85555799952438E-3</v>
      </c>
      <c r="E46" s="43">
        <f t="shared" si="4"/>
        <v>0.1019852989184878</v>
      </c>
      <c r="F46" s="71">
        <f t="shared" si="5"/>
        <v>10.19852989184878</v>
      </c>
      <c r="G46" s="84">
        <f t="shared" si="6"/>
        <v>104.33096079361302</v>
      </c>
      <c r="H46" s="43"/>
      <c r="I46" s="185">
        <f t="shared" si="7"/>
        <v>6683.6065646230982</v>
      </c>
      <c r="J46" s="8"/>
      <c r="K46" s="8"/>
      <c r="L46" s="8"/>
      <c r="M46" s="8"/>
      <c r="N46" s="8"/>
      <c r="O46" s="8"/>
      <c r="P46" s="8"/>
      <c r="Q46" s="8"/>
      <c r="R46" s="8"/>
      <c r="S46" s="8"/>
      <c r="T46" s="8"/>
      <c r="U46" s="8"/>
      <c r="V46" s="8"/>
      <c r="W46" s="8"/>
      <c r="X46" s="8"/>
      <c r="Y46" s="8"/>
      <c r="Z46" s="8"/>
      <c r="AA46" s="8"/>
      <c r="AB46" s="8"/>
      <c r="AC46" s="8"/>
      <c r="AD46" s="8"/>
    </row>
    <row r="47" spans="1:30" ht="15">
      <c r="A47" s="58"/>
      <c r="B47" s="69">
        <v>16</v>
      </c>
      <c r="C47" s="43" t="s">
        <v>244</v>
      </c>
      <c r="D47" s="69">
        <v>1.98873782208716E-3</v>
      </c>
      <c r="E47" s="43">
        <f t="shared" si="4"/>
        <v>0.10269287904252179</v>
      </c>
      <c r="F47" s="71">
        <f t="shared" si="5"/>
        <v>10.269287904252179</v>
      </c>
      <c r="G47" s="84">
        <f t="shared" si="6"/>
        <v>105.05481526049979</v>
      </c>
      <c r="H47" s="43"/>
      <c r="I47" s="185">
        <f t="shared" si="7"/>
        <v>6729.9778280516657</v>
      </c>
      <c r="J47" s="8"/>
      <c r="K47" s="8"/>
      <c r="L47" s="8"/>
      <c r="M47" s="8"/>
      <c r="N47" s="8"/>
      <c r="O47" s="8"/>
      <c r="P47" s="8"/>
      <c r="Q47" s="8"/>
      <c r="R47" s="8"/>
      <c r="S47" s="8"/>
      <c r="T47" s="8"/>
      <c r="U47" s="8"/>
      <c r="V47" s="8"/>
      <c r="W47" s="8"/>
      <c r="X47" s="8"/>
      <c r="Y47" s="8"/>
      <c r="Z47" s="8"/>
      <c r="AA47" s="8"/>
      <c r="AB47" s="8"/>
      <c r="AC47" s="8"/>
      <c r="AD47" s="8"/>
    </row>
    <row r="48" spans="1:30" ht="15">
      <c r="A48" s="58"/>
      <c r="B48" s="69">
        <v>17</v>
      </c>
      <c r="C48" s="43" t="s">
        <v>245</v>
      </c>
      <c r="D48" s="69">
        <v>2.13147642165524E-3</v>
      </c>
      <c r="E48" s="43">
        <f t="shared" si="4"/>
        <v>0.10344558098904987</v>
      </c>
      <c r="F48" s="71">
        <f t="shared" si="5"/>
        <v>10.344558098904987</v>
      </c>
      <c r="G48" s="84">
        <f t="shared" si="6"/>
        <v>105.82482935179802</v>
      </c>
      <c r="H48" s="43"/>
      <c r="I48" s="185">
        <f t="shared" si="7"/>
        <v>6779.3061501173825</v>
      </c>
      <c r="J48" s="8"/>
      <c r="K48" s="8"/>
      <c r="L48" s="8"/>
      <c r="M48" s="8"/>
      <c r="N48" s="8"/>
      <c r="O48" s="8"/>
      <c r="P48" s="8"/>
      <c r="Q48" s="8"/>
      <c r="R48" s="8"/>
      <c r="S48" s="8"/>
      <c r="T48" s="8"/>
      <c r="U48" s="8"/>
      <c r="V48" s="8"/>
      <c r="W48" s="8"/>
      <c r="X48" s="8"/>
      <c r="Y48" s="8"/>
      <c r="Z48" s="8"/>
      <c r="AA48" s="8"/>
      <c r="AB48" s="8"/>
      <c r="AC48" s="8"/>
      <c r="AD48" s="8"/>
    </row>
    <row r="49" spans="1:30" ht="15">
      <c r="A49" s="58"/>
      <c r="B49" s="69">
        <v>18</v>
      </c>
      <c r="C49" s="43" t="s">
        <v>246</v>
      </c>
      <c r="D49" s="69">
        <v>2.2844598647519098E-3</v>
      </c>
      <c r="E49" s="43">
        <f t="shared" si="4"/>
        <v>0.10424590102472998</v>
      </c>
      <c r="F49" s="71">
        <f t="shared" si="5"/>
        <v>10.424590102472999</v>
      </c>
      <c r="G49" s="84">
        <f t="shared" si="6"/>
        <v>106.64355674829878</v>
      </c>
      <c r="H49" s="43"/>
      <c r="I49" s="185">
        <f t="shared" si="7"/>
        <v>6831.7551236556792</v>
      </c>
      <c r="J49" s="8"/>
      <c r="K49" s="8"/>
      <c r="L49" s="8"/>
      <c r="M49" s="8"/>
      <c r="N49" s="8"/>
      <c r="O49" s="8"/>
      <c r="P49" s="8"/>
      <c r="Q49" s="8"/>
      <c r="R49" s="8"/>
      <c r="S49" s="8"/>
      <c r="T49" s="8"/>
      <c r="U49" s="8"/>
      <c r="V49" s="8"/>
      <c r="W49" s="8"/>
      <c r="X49" s="8"/>
      <c r="Y49" s="8"/>
      <c r="Z49" s="8"/>
      <c r="AA49" s="8"/>
      <c r="AB49" s="8"/>
      <c r="AC49" s="8"/>
      <c r="AD49" s="8"/>
    </row>
    <row r="50" spans="1:30" ht="15">
      <c r="A50" s="58"/>
      <c r="B50" s="69">
        <v>19</v>
      </c>
      <c r="C50" s="43" t="s">
        <v>247</v>
      </c>
      <c r="D50" s="69">
        <v>2.44842345927034E-3</v>
      </c>
      <c r="E50" s="43">
        <f t="shared" si="4"/>
        <v>0.10509642438400266</v>
      </c>
      <c r="F50" s="71">
        <f t="shared" si="5"/>
        <v>10.509642438400265</v>
      </c>
      <c r="G50" s="84">
        <f t="shared" si="6"/>
        <v>107.51364214483472</v>
      </c>
      <c r="H50" s="43"/>
      <c r="I50" s="185">
        <f t="shared" si="7"/>
        <v>6887.494172005614</v>
      </c>
      <c r="J50" s="8"/>
      <c r="K50" s="8"/>
      <c r="L50" s="8"/>
      <c r="M50" s="8"/>
      <c r="N50" s="8"/>
      <c r="O50" s="8"/>
      <c r="P50" s="8"/>
      <c r="Q50" s="8"/>
      <c r="R50" s="8"/>
      <c r="S50" s="8"/>
      <c r="T50" s="8"/>
      <c r="U50" s="8"/>
      <c r="V50" s="8"/>
      <c r="W50" s="8"/>
      <c r="X50" s="8"/>
      <c r="Y50" s="8"/>
      <c r="Z50" s="8"/>
      <c r="AA50" s="8"/>
      <c r="AB50" s="8"/>
      <c r="AC50" s="8"/>
      <c r="AD50" s="8"/>
    </row>
    <row r="51" spans="1:30" ht="15">
      <c r="A51" s="58"/>
      <c r="B51" s="69">
        <v>20</v>
      </c>
      <c r="C51" s="43" t="s">
        <v>248</v>
      </c>
      <c r="D51" s="69">
        <v>2.6241552886972701E-3</v>
      </c>
      <c r="E51" s="43">
        <f t="shared" si="4"/>
        <v>0.10599982210083683</v>
      </c>
      <c r="F51" s="71">
        <f t="shared" si="5"/>
        <v>10.599982210083683</v>
      </c>
      <c r="G51" s="84">
        <f t="shared" si="6"/>
        <v>108.43781800915608</v>
      </c>
      <c r="H51" s="43"/>
      <c r="I51" s="185">
        <f t="shared" si="7"/>
        <v>6946.6983413783419</v>
      </c>
      <c r="J51" s="8"/>
      <c r="K51" s="8"/>
      <c r="L51" s="8"/>
      <c r="M51" s="8"/>
      <c r="N51" s="8"/>
      <c r="O51" s="8"/>
      <c r="P51" s="8"/>
      <c r="Q51" s="8"/>
      <c r="R51" s="8"/>
      <c r="S51" s="8"/>
      <c r="T51" s="8"/>
      <c r="U51" s="8"/>
      <c r="V51" s="8"/>
      <c r="W51" s="8"/>
      <c r="X51" s="8"/>
      <c r="Y51" s="8"/>
      <c r="Z51" s="8"/>
      <c r="AA51" s="8"/>
      <c r="AB51" s="8"/>
      <c r="AC51" s="8"/>
      <c r="AD51" s="8"/>
    </row>
    <row r="52" spans="1:30" ht="15">
      <c r="A52" s="58"/>
      <c r="B52" s="69">
        <v>21</v>
      </c>
      <c r="C52" s="43" t="s">
        <v>249</v>
      </c>
      <c r="D52" s="69">
        <v>2.8124999999999999E-3</v>
      </c>
      <c r="E52" s="43">
        <f t="shared" si="4"/>
        <v>0.10695884687119873</v>
      </c>
      <c r="F52" s="71">
        <f t="shared" si="5"/>
        <v>10.695884687119873</v>
      </c>
      <c r="G52" s="84">
        <f t="shared" si="6"/>
        <v>109.41890034923631</v>
      </c>
      <c r="H52" s="43"/>
      <c r="I52" s="185">
        <f t="shared" si="7"/>
        <v>7009.5480297040094</v>
      </c>
      <c r="J52" s="8"/>
      <c r="K52" s="8"/>
      <c r="L52" s="8"/>
      <c r="M52" s="8"/>
      <c r="N52" s="8"/>
      <c r="O52" s="8"/>
      <c r="P52" s="8"/>
      <c r="Q52" s="8"/>
      <c r="R52" s="8"/>
      <c r="S52" s="8"/>
      <c r="T52" s="8"/>
      <c r="U52" s="8"/>
      <c r="V52" s="8"/>
      <c r="W52" s="8"/>
      <c r="X52" s="8"/>
      <c r="Y52" s="8"/>
      <c r="Z52" s="8"/>
      <c r="AA52" s="8"/>
      <c r="AB52" s="8"/>
      <c r="AC52" s="8"/>
      <c r="AD52" s="8"/>
    </row>
    <row r="53" spans="1:30" ht="15">
      <c r="A53" s="58"/>
      <c r="B53" s="69">
        <v>22</v>
      </c>
      <c r="C53" s="43" t="s">
        <v>250</v>
      </c>
      <c r="D53" s="69">
        <v>3.0143628633833202E-3</v>
      </c>
      <c r="E53" s="43">
        <f t="shared" si="4"/>
        <v>0.10797632787028168</v>
      </c>
      <c r="F53" s="71">
        <f t="shared" si="5"/>
        <v>10.797632787028167</v>
      </c>
      <c r="G53" s="84">
        <f t="shared" si="6"/>
        <v>110.45978341129816</v>
      </c>
      <c r="H53" s="43"/>
      <c r="I53" s="185">
        <f t="shared" si="7"/>
        <v>7076.2286469789096</v>
      </c>
      <c r="J53" s="8"/>
      <c r="K53" s="8"/>
      <c r="L53" s="8"/>
      <c r="M53" s="8"/>
      <c r="N53" s="8"/>
      <c r="O53" s="8"/>
      <c r="P53" s="8"/>
      <c r="Q53" s="8"/>
      <c r="R53" s="8"/>
      <c r="S53" s="8"/>
      <c r="T53" s="8"/>
      <c r="U53" s="8"/>
      <c r="V53" s="8"/>
      <c r="W53" s="8"/>
      <c r="X53" s="8"/>
      <c r="Y53" s="8"/>
      <c r="Z53" s="8"/>
      <c r="AA53" s="8"/>
      <c r="AB53" s="8"/>
      <c r="AC53" s="8"/>
      <c r="AD53" s="8"/>
    </row>
    <row r="54" spans="1:30" ht="15">
      <c r="A54" s="58"/>
      <c r="B54" s="69">
        <v>23</v>
      </c>
      <c r="C54" s="43" t="s">
        <v>251</v>
      </c>
      <c r="D54" s="69">
        <v>3.2307141234291601E-3</v>
      </c>
      <c r="E54" s="43">
        <f t="shared" si="4"/>
        <v>0.10905516445413199</v>
      </c>
      <c r="F54" s="71">
        <f t="shared" si="5"/>
        <v>10.905516445413198</v>
      </c>
      <c r="G54" s="84">
        <f t="shared" si="6"/>
        <v>111.56343323657703</v>
      </c>
      <c r="H54" s="43"/>
      <c r="I54" s="185">
        <f t="shared" si="7"/>
        <v>7146.9302025015404</v>
      </c>
      <c r="J54" s="8"/>
      <c r="K54" s="8"/>
      <c r="L54" s="8"/>
      <c r="M54" s="8"/>
      <c r="N54" s="8"/>
      <c r="O54" s="8"/>
      <c r="P54" s="8"/>
      <c r="Q54" s="8"/>
      <c r="R54" s="8"/>
      <c r="S54" s="8"/>
      <c r="T54" s="8"/>
      <c r="U54" s="8"/>
      <c r="V54" s="8"/>
      <c r="W54" s="8"/>
      <c r="X54" s="8"/>
      <c r="Y54" s="8"/>
      <c r="Z54" s="8"/>
      <c r="AA54" s="8"/>
      <c r="AB54" s="8"/>
      <c r="AC54" s="8"/>
      <c r="AD54" s="8"/>
    </row>
    <row r="55" spans="1:30" ht="15">
      <c r="A55" s="58"/>
      <c r="B55" s="69">
        <v>24</v>
      </c>
      <c r="C55" s="43" t="s">
        <v>252</v>
      </c>
      <c r="D55" s="69">
        <v>3.46259366253257E-3</v>
      </c>
      <c r="E55" s="43">
        <f t="shared" si="4"/>
        <v>0.11019831868337192</v>
      </c>
      <c r="F55" s="71">
        <f t="shared" si="5"/>
        <v>11.019831868337192</v>
      </c>
      <c r="G55" s="84">
        <f t="shared" si="6"/>
        <v>112.73288001308947</v>
      </c>
      <c r="H55" s="43"/>
      <c r="I55" s="185">
        <f t="shared" si="7"/>
        <v>7221.8468149147784</v>
      </c>
      <c r="J55" s="8"/>
      <c r="K55" s="8"/>
      <c r="L55" s="8"/>
      <c r="M55" s="8"/>
      <c r="N55" s="8"/>
      <c r="O55" s="8"/>
      <c r="P55" s="8"/>
      <c r="Q55" s="8"/>
      <c r="R55" s="8"/>
      <c r="S55" s="8"/>
      <c r="T55" s="8"/>
      <c r="U55" s="8"/>
      <c r="V55" s="8"/>
      <c r="W55" s="8"/>
      <c r="X55" s="8"/>
      <c r="Y55" s="8"/>
      <c r="Z55" s="8"/>
      <c r="AA55" s="8"/>
      <c r="AB55" s="8"/>
      <c r="AC55" s="8"/>
      <c r="AD55" s="8"/>
    </row>
    <row r="56" spans="1:30" ht="15">
      <c r="A56" s="58"/>
      <c r="B56" s="69">
        <v>25</v>
      </c>
      <c r="C56" s="43" t="s">
        <v>253</v>
      </c>
      <c r="D56" s="69">
        <v>3.71111599904876E-3</v>
      </c>
      <c r="E56" s="43">
        <f t="shared" si="4"/>
        <v>0.1114088066174829</v>
      </c>
      <c r="F56" s="71">
        <f t="shared" si="5"/>
        <v>11.140880661748289</v>
      </c>
      <c r="G56" s="84">
        <f t="shared" si="6"/>
        <v>113.97120916968501</v>
      </c>
      <c r="H56" s="43"/>
      <c r="I56" s="185">
        <f t="shared" si="7"/>
        <v>7301.1761416767413</v>
      </c>
      <c r="J56" s="8"/>
      <c r="K56" s="8"/>
      <c r="L56" s="8"/>
      <c r="M56" s="8"/>
      <c r="N56" s="8"/>
      <c r="O56" s="8"/>
      <c r="P56" s="8"/>
      <c r="Q56" s="8"/>
      <c r="R56" s="8"/>
      <c r="S56" s="8"/>
      <c r="T56" s="8"/>
      <c r="U56" s="8"/>
      <c r="V56" s="8"/>
      <c r="W56" s="8"/>
      <c r="X56" s="8"/>
      <c r="Y56" s="8"/>
      <c r="Z56" s="8"/>
      <c r="AA56" s="8"/>
      <c r="AB56" s="8"/>
      <c r="AC56" s="8"/>
      <c r="AD56" s="8"/>
    </row>
    <row r="57" spans="1:30" ht="15">
      <c r="A57" s="58"/>
      <c r="B57" s="69">
        <v>26</v>
      </c>
      <c r="C57" s="43" t="s">
        <v>254</v>
      </c>
      <c r="D57" s="69">
        <v>3.9774756441743296E-3</v>
      </c>
      <c r="E57" s="43">
        <f t="shared" si="4"/>
        <v>0.11268968834175472</v>
      </c>
      <c r="F57" s="71">
        <f t="shared" si="5"/>
        <v>11.268968834175471</v>
      </c>
      <c r="G57" s="84">
        <f t="shared" si="6"/>
        <v>115.28155117361507</v>
      </c>
      <c r="H57" s="43"/>
      <c r="I57" s="185">
        <f t="shared" si="7"/>
        <v>7385.1187254768956</v>
      </c>
      <c r="J57" s="8"/>
      <c r="K57" s="8"/>
      <c r="L57" s="8"/>
      <c r="M57" s="8"/>
      <c r="N57" s="8"/>
      <c r="O57" s="8"/>
      <c r="P57" s="8"/>
      <c r="Q57" s="8"/>
      <c r="R57" s="8"/>
      <c r="S57" s="8"/>
      <c r="T57" s="8"/>
      <c r="U57" s="8"/>
      <c r="V57" s="8"/>
      <c r="W57" s="8"/>
      <c r="X57" s="8"/>
      <c r="Y57" s="8"/>
      <c r="Z57" s="8"/>
      <c r="AA57" s="8"/>
      <c r="AB57" s="8"/>
      <c r="AC57" s="8"/>
      <c r="AD57" s="8"/>
    </row>
    <row r="58" spans="1:30" ht="15">
      <c r="A58" s="58"/>
      <c r="B58" s="69">
        <v>27</v>
      </c>
      <c r="C58" s="43" t="s">
        <v>255</v>
      </c>
      <c r="D58" s="69">
        <v>4.2629528433104904E-3</v>
      </c>
      <c r="E58" s="43">
        <f t="shared" si="4"/>
        <v>0.11404405670565088</v>
      </c>
      <c r="F58" s="71">
        <f t="shared" si="5"/>
        <v>11.404405670565087</v>
      </c>
      <c r="G58" s="84">
        <f t="shared" si="6"/>
        <v>116.66707000988085</v>
      </c>
      <c r="H58" s="43"/>
      <c r="I58" s="185">
        <f t="shared" si="7"/>
        <v>7473.8772562048298</v>
      </c>
      <c r="J58" s="8"/>
      <c r="K58" s="8"/>
      <c r="L58" s="8"/>
      <c r="M58" s="8"/>
      <c r="N58" s="8"/>
      <c r="O58" s="8"/>
      <c r="P58" s="8"/>
      <c r="Q58" s="8"/>
      <c r="R58" s="8"/>
      <c r="S58" s="8"/>
      <c r="T58" s="8"/>
      <c r="U58" s="8"/>
      <c r="V58" s="8"/>
      <c r="W58" s="8"/>
      <c r="X58" s="8"/>
      <c r="Y58" s="8"/>
      <c r="Z58" s="8"/>
      <c r="AA58" s="8"/>
      <c r="AB58" s="8"/>
      <c r="AC58" s="8"/>
      <c r="AD58" s="8"/>
    </row>
    <row r="59" spans="1:30" ht="15">
      <c r="A59" s="58"/>
      <c r="B59" s="69">
        <v>28</v>
      </c>
      <c r="C59" s="43" t="s">
        <v>256</v>
      </c>
      <c r="D59" s="69">
        <v>4.5689197295038196E-3</v>
      </c>
      <c r="E59" s="43">
        <f t="shared" si="4"/>
        <v>0.11547502477100879</v>
      </c>
      <c r="F59" s="71">
        <f t="shared" si="5"/>
        <v>11.547502477100879</v>
      </c>
      <c r="G59" s="84">
        <f t="shared" si="6"/>
        <v>118.13095034074199</v>
      </c>
      <c r="H59" s="43"/>
      <c r="I59" s="185">
        <f t="shared" si="7"/>
        <v>7567.6557483680617</v>
      </c>
      <c r="J59" s="8"/>
      <c r="K59" s="8"/>
      <c r="L59" s="8"/>
      <c r="M59" s="8"/>
      <c r="N59" s="8"/>
      <c r="O59" s="8"/>
      <c r="P59" s="8"/>
      <c r="Q59" s="8"/>
      <c r="R59" s="8"/>
      <c r="S59" s="8"/>
      <c r="T59" s="8"/>
      <c r="U59" s="8"/>
      <c r="V59" s="8"/>
      <c r="W59" s="8"/>
      <c r="X59" s="8"/>
      <c r="Y59" s="8"/>
      <c r="Z59" s="8"/>
      <c r="AA59" s="8"/>
      <c r="AB59" s="8"/>
      <c r="AC59" s="8"/>
      <c r="AD59" s="8"/>
    </row>
    <row r="60" spans="1:30" ht="15">
      <c r="A60" s="58"/>
      <c r="B60" s="69">
        <v>29</v>
      </c>
      <c r="C60" s="43" t="s">
        <v>257</v>
      </c>
      <c r="D60" s="69">
        <v>4.8968469185406904E-3</v>
      </c>
      <c r="E60" s="43">
        <f t="shared" si="4"/>
        <v>0.11698571199110745</v>
      </c>
      <c r="F60" s="71">
        <f t="shared" si="5"/>
        <v>11.698571199110745</v>
      </c>
      <c r="G60" s="84">
        <f t="shared" si="6"/>
        <v>119.67638336690293</v>
      </c>
      <c r="H60" s="43"/>
      <c r="I60" s="185">
        <f t="shared" si="7"/>
        <v>7666.6586353372268</v>
      </c>
      <c r="J60" s="8"/>
      <c r="K60" s="8"/>
      <c r="L60" s="8"/>
      <c r="M60" s="8"/>
      <c r="N60" s="8"/>
      <c r="O60" s="8"/>
      <c r="P60" s="8"/>
      <c r="Q60" s="8"/>
      <c r="R60" s="8"/>
      <c r="S60" s="8"/>
      <c r="T60" s="8"/>
      <c r="U60" s="8"/>
      <c r="V60" s="8"/>
      <c r="W60" s="8"/>
      <c r="X60" s="8"/>
      <c r="Y60" s="8"/>
      <c r="Z60" s="8"/>
      <c r="AA60" s="8"/>
      <c r="AB60" s="8"/>
      <c r="AC60" s="8"/>
      <c r="AD60" s="8"/>
    </row>
    <row r="61" spans="1:30" ht="15">
      <c r="A61" s="58"/>
      <c r="B61" s="69">
        <v>30</v>
      </c>
      <c r="C61" s="43" t="s">
        <v>258</v>
      </c>
      <c r="D61" s="69">
        <v>5.2483105773945401E-3</v>
      </c>
      <c r="E61" s="43">
        <f t="shared" si="4"/>
        <v>0.11857922916698588</v>
      </c>
      <c r="F61" s="71">
        <f t="shared" si="5"/>
        <v>11.857922916698588</v>
      </c>
      <c r="G61" s="84">
        <f t="shared" si="6"/>
        <v>121.30655143782656</v>
      </c>
      <c r="H61" s="43"/>
      <c r="I61" s="185">
        <f t="shared" si="7"/>
        <v>7771.0897834584193</v>
      </c>
      <c r="J61" s="8"/>
      <c r="K61" s="8"/>
      <c r="L61" s="8"/>
      <c r="M61" s="8"/>
      <c r="N61" s="8"/>
      <c r="O61" s="8"/>
      <c r="P61" s="8"/>
      <c r="Q61" s="8"/>
      <c r="R61" s="8"/>
      <c r="S61" s="8"/>
      <c r="T61" s="8"/>
      <c r="U61" s="8"/>
      <c r="V61" s="8"/>
      <c r="W61" s="8"/>
      <c r="X61" s="8"/>
      <c r="Y61" s="8"/>
      <c r="Z61" s="8"/>
      <c r="AA61" s="8"/>
      <c r="AB61" s="8"/>
      <c r="AC61" s="8"/>
      <c r="AD61" s="8"/>
    </row>
    <row r="62" spans="1:30" ht="15">
      <c r="A62" s="58"/>
      <c r="B62" s="69">
        <v>31</v>
      </c>
      <c r="C62" s="43" t="s">
        <v>259</v>
      </c>
      <c r="D62" s="69">
        <v>5.6249999999999998E-3</v>
      </c>
      <c r="E62" s="43">
        <f t="shared" si="4"/>
        <v>0.12025866225512383</v>
      </c>
      <c r="F62" s="71">
        <f t="shared" si="5"/>
        <v>12.025866225512383</v>
      </c>
      <c r="G62" s="84">
        <f t="shared" si="6"/>
        <v>123.02461148699167</v>
      </c>
      <c r="H62" s="43"/>
      <c r="I62" s="185">
        <f t="shared" si="7"/>
        <v>7881.1514308895403</v>
      </c>
      <c r="J62" s="8"/>
      <c r="K62" s="8"/>
      <c r="L62" s="8"/>
      <c r="M62" s="8"/>
      <c r="N62" s="8"/>
      <c r="O62" s="8"/>
      <c r="P62" s="8"/>
      <c r="Q62" s="8"/>
      <c r="R62" s="8"/>
      <c r="S62" s="8"/>
      <c r="T62" s="8"/>
      <c r="U62" s="8"/>
      <c r="V62" s="8"/>
      <c r="W62" s="8"/>
      <c r="X62" s="8"/>
      <c r="Y62" s="8"/>
      <c r="Z62" s="8"/>
      <c r="AA62" s="8"/>
      <c r="AB62" s="8"/>
      <c r="AC62" s="8"/>
      <c r="AD62" s="8"/>
    </row>
    <row r="63" spans="1:30" ht="15">
      <c r="A63" s="58"/>
      <c r="B63" s="69">
        <v>32</v>
      </c>
      <c r="C63" s="43" t="s">
        <v>260</v>
      </c>
      <c r="D63" s="69">
        <v>6.0287257267666403E-3</v>
      </c>
      <c r="E63" s="43">
        <f t="shared" si="4"/>
        <v>0.12202705513019836</v>
      </c>
      <c r="F63" s="71">
        <f t="shared" si="5"/>
        <v>12.202705513019836</v>
      </c>
      <c r="G63" s="84">
        <f t="shared" si="6"/>
        <v>124.83367739819292</v>
      </c>
      <c r="H63" s="43"/>
      <c r="I63" s="185">
        <f t="shared" si="7"/>
        <v>7997.0430579575495</v>
      </c>
      <c r="J63" s="8"/>
      <c r="K63" s="8"/>
      <c r="L63" s="8"/>
      <c r="M63" s="8"/>
      <c r="N63" s="8"/>
      <c r="O63" s="8"/>
      <c r="P63" s="8"/>
      <c r="Q63" s="8"/>
      <c r="R63" s="8"/>
      <c r="S63" s="8"/>
      <c r="T63" s="8"/>
      <c r="U63" s="8"/>
      <c r="V63" s="8"/>
      <c r="W63" s="8"/>
      <c r="X63" s="8"/>
      <c r="Y63" s="8"/>
      <c r="Z63" s="8"/>
      <c r="AA63" s="8"/>
      <c r="AB63" s="8"/>
      <c r="AC63" s="8"/>
      <c r="AD63" s="8"/>
    </row>
    <row r="64" spans="1:30" ht="15">
      <c r="A64" s="58"/>
      <c r="B64" s="69">
        <v>33</v>
      </c>
      <c r="C64" s="43" t="s">
        <v>261</v>
      </c>
      <c r="D64" s="69">
        <v>6.4614282468583202E-3</v>
      </c>
      <c r="E64" s="43">
        <f t="shared" si="4"/>
        <v>0.12388739143742615</v>
      </c>
      <c r="F64" s="71">
        <f t="shared" si="5"/>
        <v>12.388739143742615</v>
      </c>
      <c r="G64" s="84">
        <f t="shared" si="6"/>
        <v>126.73680144048696</v>
      </c>
      <c r="H64" s="43"/>
      <c r="I64" s="185">
        <f t="shared" si="7"/>
        <v>8118.960197851723</v>
      </c>
      <c r="J64" s="8"/>
      <c r="K64" s="8"/>
      <c r="L64" s="8"/>
      <c r="M64" s="8"/>
      <c r="N64" s="8"/>
      <c r="O64" s="8"/>
      <c r="P64" s="8"/>
      <c r="Q64" s="8"/>
      <c r="R64" s="8"/>
      <c r="S64" s="8"/>
      <c r="T64" s="8"/>
      <c r="U64" s="8"/>
      <c r="V64" s="8"/>
      <c r="W64" s="8"/>
      <c r="X64" s="8"/>
      <c r="Y64" s="8"/>
      <c r="Z64" s="8"/>
      <c r="AA64" s="8"/>
      <c r="AB64" s="8"/>
      <c r="AC64" s="8"/>
      <c r="AD64" s="8"/>
    </row>
    <row r="65" spans="1:30" ht="15">
      <c r="A65" s="58"/>
      <c r="B65" s="69">
        <v>34</v>
      </c>
      <c r="C65" s="43" t="s">
        <v>262</v>
      </c>
      <c r="D65" s="69">
        <v>6.9251873250651503E-3</v>
      </c>
      <c r="E65" s="43">
        <f t="shared" si="4"/>
        <v>0.12584257570017113</v>
      </c>
      <c r="F65" s="71">
        <f t="shared" si="5"/>
        <v>12.584257570017114</v>
      </c>
      <c r="G65" s="84">
        <f t="shared" si="6"/>
        <v>128.73695494127506</v>
      </c>
      <c r="H65" s="43"/>
      <c r="I65" s="185">
        <f t="shared" si="7"/>
        <v>8247.0931985107145</v>
      </c>
      <c r="J65" s="8"/>
      <c r="K65" s="8"/>
      <c r="L65" s="8"/>
      <c r="M65" s="8"/>
      <c r="N65" s="8"/>
      <c r="O65" s="8"/>
      <c r="P65" s="8"/>
      <c r="Q65" s="8"/>
      <c r="R65" s="8"/>
      <c r="S65" s="8"/>
      <c r="T65" s="8"/>
      <c r="U65" s="8"/>
      <c r="V65" s="8"/>
      <c r="W65" s="8"/>
      <c r="X65" s="8"/>
      <c r="Y65" s="8"/>
      <c r="Z65" s="8"/>
      <c r="AA65" s="8"/>
      <c r="AB65" s="8"/>
      <c r="AC65" s="8"/>
      <c r="AD65" s="8"/>
    </row>
    <row r="66" spans="1:30" ht="15">
      <c r="A66" s="58"/>
      <c r="B66" s="69">
        <v>35</v>
      </c>
      <c r="C66" s="43" t="s">
        <v>263</v>
      </c>
      <c r="D66" s="69">
        <v>7.4222319980975296E-3</v>
      </c>
      <c r="E66" s="43">
        <f t="shared" si="4"/>
        <v>0.12789541387906572</v>
      </c>
      <c r="F66" s="71">
        <f t="shared" si="5"/>
        <v>12.789541387906572</v>
      </c>
      <c r="G66" s="84">
        <f t="shared" si="6"/>
        <v>130.83700839828424</v>
      </c>
      <c r="H66" s="43"/>
      <c r="I66" s="185">
        <f t="shared" si="7"/>
        <v>8381.6259485645714</v>
      </c>
      <c r="J66" s="8"/>
      <c r="K66" s="8"/>
      <c r="L66" s="8"/>
      <c r="M66" s="8"/>
      <c r="N66" s="8"/>
      <c r="O66" s="8"/>
      <c r="P66" s="8"/>
      <c r="Q66" s="8"/>
      <c r="R66" s="8"/>
      <c r="S66" s="8"/>
      <c r="T66" s="8"/>
      <c r="U66" s="8"/>
      <c r="V66" s="8"/>
      <c r="W66" s="8"/>
      <c r="X66" s="8"/>
      <c r="Y66" s="8"/>
      <c r="Z66" s="8"/>
      <c r="AA66" s="8"/>
      <c r="AB66" s="8"/>
      <c r="AC66" s="8"/>
      <c r="AD66" s="8"/>
    </row>
    <row r="67" spans="1:30" ht="15">
      <c r="A67" s="58"/>
      <c r="B67" s="69">
        <v>36</v>
      </c>
      <c r="C67" s="43" t="s">
        <v>264</v>
      </c>
      <c r="D67" s="69">
        <v>7.9549512883486592E-3</v>
      </c>
      <c r="E67" s="43">
        <f t="shared" si="4"/>
        <v>0.13004859360777041</v>
      </c>
      <c r="F67" s="71">
        <f t="shared" si="5"/>
        <v>13.00485936077704</v>
      </c>
      <c r="G67" s="84">
        <f t="shared" si="6"/>
        <v>133.03971126074913</v>
      </c>
      <c r="H67" s="43"/>
      <c r="I67" s="185">
        <f t="shared" si="7"/>
        <v>8522.7345820852333</v>
      </c>
      <c r="J67" s="8"/>
      <c r="K67" s="8"/>
      <c r="L67" s="8"/>
      <c r="M67" s="8"/>
      <c r="N67" s="8"/>
      <c r="O67" s="8"/>
      <c r="P67" s="8"/>
      <c r="Q67" s="8"/>
      <c r="R67" s="8"/>
      <c r="S67" s="8"/>
      <c r="T67" s="8"/>
      <c r="U67" s="8"/>
      <c r="V67" s="8"/>
      <c r="W67" s="8"/>
      <c r="X67" s="8"/>
      <c r="Y67" s="8"/>
      <c r="Z67" s="8"/>
      <c r="AA67" s="8"/>
      <c r="AB67" s="8"/>
      <c r="AC67" s="8"/>
      <c r="AD67" s="8"/>
    </row>
    <row r="68" spans="1:30" ht="15">
      <c r="A68" s="58"/>
      <c r="B68" s="69">
        <v>37</v>
      </c>
      <c r="C68" s="43" t="s">
        <v>265</v>
      </c>
      <c r="D68" s="69">
        <v>8.5259056866209808E-3</v>
      </c>
      <c r="E68" s="43">
        <f t="shared" si="4"/>
        <v>0.13230466435651805</v>
      </c>
      <c r="F68" s="71">
        <f t="shared" si="5"/>
        <v>13.230466435651806</v>
      </c>
      <c r="G68" s="84">
        <f t="shared" si="6"/>
        <v>135.34767163671796</v>
      </c>
      <c r="H68" s="43"/>
      <c r="I68" s="185">
        <f t="shared" si="7"/>
        <v>8670.5861786044115</v>
      </c>
      <c r="J68" s="8"/>
      <c r="K68" s="8"/>
      <c r="L68" s="8"/>
      <c r="M68" s="8"/>
      <c r="N68" s="8"/>
      <c r="O68" s="8"/>
      <c r="P68" s="8"/>
      <c r="Q68" s="8"/>
      <c r="R68" s="8"/>
      <c r="S68" s="8"/>
      <c r="T68" s="8"/>
      <c r="U68" s="8"/>
      <c r="V68" s="8"/>
      <c r="W68" s="8"/>
      <c r="X68" s="8"/>
      <c r="Y68" s="8"/>
      <c r="Z68" s="8"/>
      <c r="AA68" s="8"/>
      <c r="AB68" s="8"/>
      <c r="AC68" s="8"/>
      <c r="AD68" s="8"/>
    </row>
    <row r="69" spans="1:30" ht="15">
      <c r="A69" s="58"/>
      <c r="B69" s="69">
        <v>38</v>
      </c>
      <c r="C69" s="43" t="s">
        <v>266</v>
      </c>
      <c r="D69" s="69">
        <v>9.1378394590076496E-3</v>
      </c>
      <c r="E69" s="43">
        <f t="shared" si="4"/>
        <v>0.1346660177965483</v>
      </c>
      <c r="F69" s="71">
        <f t="shared" si="5"/>
        <v>13.46660177965483</v>
      </c>
      <c r="G69" s="84">
        <f t="shared" si="6"/>
        <v>137.76333620586891</v>
      </c>
      <c r="H69" s="43"/>
      <c r="I69" s="185">
        <f t="shared" si="7"/>
        <v>8825.3374762967924</v>
      </c>
      <c r="J69" s="8"/>
      <c r="K69" s="8"/>
      <c r="L69" s="8"/>
      <c r="M69" s="8"/>
      <c r="N69" s="8"/>
      <c r="O69" s="8"/>
      <c r="P69" s="8"/>
      <c r="Q69" s="8"/>
      <c r="R69" s="8"/>
      <c r="S69" s="8"/>
      <c r="T69" s="8"/>
      <c r="U69" s="8"/>
      <c r="V69" s="8"/>
      <c r="W69" s="8"/>
      <c r="X69" s="8"/>
      <c r="Y69" s="8"/>
      <c r="Z69" s="8"/>
      <c r="AA69" s="8"/>
      <c r="AB69" s="8"/>
      <c r="AC69" s="8"/>
      <c r="AD69" s="8"/>
    </row>
    <row r="70" spans="1:30" ht="15">
      <c r="A70" s="58"/>
      <c r="B70" s="69">
        <v>39</v>
      </c>
      <c r="C70" s="43" t="s">
        <v>267</v>
      </c>
      <c r="D70" s="69">
        <v>9.7936938370813895E-3</v>
      </c>
      <c r="E70" s="43">
        <f t="shared" si="4"/>
        <v>0.13713486865526195</v>
      </c>
      <c r="F70" s="71">
        <f t="shared" si="5"/>
        <v>13.713486865526194</v>
      </c>
      <c r="G70" s="84">
        <f t="shared" si="6"/>
        <v>140.28897063433297</v>
      </c>
      <c r="H70" s="43"/>
      <c r="I70" s="185">
        <f t="shared" si="7"/>
        <v>8987.1336173225918</v>
      </c>
      <c r="J70" s="8"/>
      <c r="K70" s="8"/>
      <c r="L70" s="8"/>
      <c r="M70" s="8"/>
      <c r="N70" s="8"/>
      <c r="O70" s="8"/>
      <c r="P70" s="8"/>
      <c r="Q70" s="8"/>
      <c r="R70" s="8"/>
      <c r="S70" s="8"/>
      <c r="T70" s="8"/>
      <c r="U70" s="8"/>
      <c r="V70" s="8"/>
      <c r="W70" s="8"/>
      <c r="X70" s="8"/>
      <c r="Y70" s="8"/>
      <c r="Z70" s="8"/>
      <c r="AA70" s="8"/>
      <c r="AB70" s="8"/>
      <c r="AC70" s="8"/>
      <c r="AD70" s="8"/>
    </row>
    <row r="71" spans="1:30" ht="15">
      <c r="A71" s="58"/>
      <c r="B71" s="69">
        <v>40</v>
      </c>
      <c r="C71" s="43" t="s">
        <v>268</v>
      </c>
      <c r="D71" s="69">
        <v>1.0496621154789E-2</v>
      </c>
      <c r="E71" s="43">
        <f t="shared" si="4"/>
        <v>0.13971323636233146</v>
      </c>
      <c r="F71" s="71">
        <f t="shared" si="5"/>
        <v>13.971323636233146</v>
      </c>
      <c r="G71" s="84">
        <f t="shared" si="6"/>
        <v>142.92664079866509</v>
      </c>
      <c r="H71" s="43"/>
      <c r="I71" s="185">
        <f t="shared" si="7"/>
        <v>9156.1069450053928</v>
      </c>
      <c r="J71" s="8"/>
      <c r="K71" s="8"/>
      <c r="L71" s="8"/>
      <c r="M71" s="8"/>
      <c r="N71" s="8"/>
      <c r="O71" s="8"/>
      <c r="P71" s="8"/>
      <c r="Q71" s="8"/>
      <c r="R71" s="8"/>
      <c r="S71" s="8"/>
      <c r="T71" s="8"/>
      <c r="U71" s="8"/>
      <c r="V71" s="8"/>
      <c r="W71" s="8"/>
      <c r="X71" s="8"/>
      <c r="Y71" s="8"/>
      <c r="Z71" s="8"/>
      <c r="AA71" s="8"/>
      <c r="AB71" s="8"/>
      <c r="AC71" s="8"/>
      <c r="AD71" s="8"/>
    </row>
    <row r="72" spans="1:30" ht="15">
      <c r="A72" s="58"/>
      <c r="B72" s="69">
        <v>41</v>
      </c>
      <c r="C72" s="43" t="s">
        <v>269</v>
      </c>
      <c r="D72" s="69">
        <v>1.125E-2</v>
      </c>
      <c r="E72" s="43">
        <f t="shared" si="4"/>
        <v>0.1424029277901602</v>
      </c>
      <c r="F72" s="71">
        <f t="shared" si="5"/>
        <v>14.24029277901602</v>
      </c>
      <c r="G72" s="84">
        <f t="shared" si="6"/>
        <v>145.67819512933389</v>
      </c>
      <c r="H72" s="43"/>
      <c r="I72" s="185">
        <f t="shared" si="7"/>
        <v>9332.3758727281493</v>
      </c>
      <c r="J72" s="8"/>
      <c r="K72" s="8"/>
      <c r="L72" s="8"/>
      <c r="M72" s="8"/>
      <c r="N72" s="8"/>
      <c r="O72" s="8"/>
      <c r="P72" s="8"/>
      <c r="Q72" s="8"/>
      <c r="R72" s="8"/>
      <c r="S72" s="8"/>
      <c r="T72" s="8"/>
      <c r="U72" s="8"/>
      <c r="V72" s="8"/>
      <c r="W72" s="8"/>
      <c r="X72" s="8"/>
      <c r="Y72" s="8"/>
      <c r="Z72" s="8"/>
      <c r="AA72" s="8"/>
      <c r="AB72" s="8"/>
      <c r="AC72" s="8"/>
      <c r="AD72" s="8"/>
    </row>
    <row r="73" spans="1:30" ht="15">
      <c r="A73" s="58"/>
      <c r="B73" s="69">
        <v>42</v>
      </c>
      <c r="C73" s="43" t="s">
        <v>270</v>
      </c>
      <c r="D73" s="69">
        <v>1.2057451453533201E-2</v>
      </c>
      <c r="E73" s="43">
        <f t="shared" si="4"/>
        <v>0.14520552138728646</v>
      </c>
      <c r="F73" s="71">
        <f t="shared" si="5"/>
        <v>14.520552138728645</v>
      </c>
      <c r="G73" s="84">
        <f t="shared" si="6"/>
        <v>148.54524837919405</v>
      </c>
      <c r="H73" s="43"/>
      <c r="I73" s="185">
        <f t="shared" si="7"/>
        <v>9516.0438441158185</v>
      </c>
      <c r="J73" s="8"/>
      <c r="K73" s="8"/>
      <c r="L73" s="8"/>
      <c r="M73" s="8"/>
      <c r="N73" s="8"/>
      <c r="O73" s="8"/>
      <c r="P73" s="8"/>
      <c r="Q73" s="8"/>
      <c r="R73" s="8"/>
      <c r="S73" s="8"/>
      <c r="T73" s="8"/>
      <c r="U73" s="8"/>
      <c r="V73" s="8"/>
      <c r="W73" s="8"/>
      <c r="X73" s="8"/>
      <c r="Y73" s="8"/>
      <c r="Z73" s="8"/>
      <c r="AA73" s="8"/>
      <c r="AB73" s="8"/>
      <c r="AC73" s="8"/>
      <c r="AD73" s="8"/>
    </row>
    <row r="74" spans="1:30" ht="15">
      <c r="A74" s="58"/>
      <c r="B74" s="69">
        <v>43</v>
      </c>
      <c r="C74" s="43" t="s">
        <v>271</v>
      </c>
      <c r="D74" s="69">
        <v>1.2922856493716601E-2</v>
      </c>
      <c r="E74" s="43">
        <f t="shared" si="4"/>
        <v>0.14812235299018756</v>
      </c>
      <c r="F74" s="71">
        <f t="shared" si="5"/>
        <v>14.812235299018756</v>
      </c>
      <c r="G74" s="84">
        <f t="shared" si="6"/>
        <v>151.52916710896187</v>
      </c>
      <c r="H74" s="43"/>
      <c r="I74" s="185">
        <f t="shared" si="7"/>
        <v>9707.1984032119417</v>
      </c>
      <c r="J74" s="8"/>
      <c r="K74" s="8"/>
      <c r="L74" s="8"/>
      <c r="M74" s="8"/>
      <c r="N74" s="8"/>
      <c r="O74" s="8"/>
      <c r="P74" s="8"/>
      <c r="Q74" s="8"/>
      <c r="R74" s="8"/>
      <c r="S74" s="8"/>
      <c r="T74" s="8"/>
      <c r="U74" s="8"/>
      <c r="V74" s="8"/>
      <c r="W74" s="8"/>
      <c r="X74" s="8"/>
      <c r="Y74" s="8"/>
      <c r="Z74" s="8"/>
      <c r="AA74" s="8"/>
      <c r="AB74" s="8"/>
      <c r="AC74" s="8"/>
      <c r="AD74" s="8"/>
    </row>
    <row r="75" spans="1:30" ht="15">
      <c r="A75" s="58"/>
      <c r="B75" s="69">
        <v>44</v>
      </c>
      <c r="C75" s="43" t="s">
        <v>272</v>
      </c>
      <c r="D75" s="69">
        <v>1.3850374650130301E-2</v>
      </c>
      <c r="E75" s="43">
        <f t="shared" si="4"/>
        <v>0.1511545035773062</v>
      </c>
      <c r="F75" s="71">
        <f t="shared" si="5"/>
        <v>15.115450357730619</v>
      </c>
      <c r="G75" s="84">
        <f t="shared" si="6"/>
        <v>154.63105715958423</v>
      </c>
      <c r="H75" s="43"/>
      <c r="I75" s="185">
        <f t="shared" si="7"/>
        <v>9905.9103919387617</v>
      </c>
      <c r="J75" s="8"/>
      <c r="K75" s="8"/>
      <c r="L75" s="8"/>
      <c r="M75" s="8"/>
      <c r="N75" s="8"/>
      <c r="O75" s="8"/>
      <c r="P75" s="8"/>
      <c r="Q75" s="8"/>
      <c r="R75" s="8"/>
      <c r="S75" s="8"/>
      <c r="T75" s="8"/>
      <c r="U75" s="8"/>
      <c r="V75" s="8"/>
      <c r="W75" s="8"/>
      <c r="X75" s="8"/>
      <c r="Y75" s="8"/>
      <c r="Z75" s="8"/>
      <c r="AA75" s="8"/>
      <c r="AB75" s="8"/>
      <c r="AC75" s="8"/>
      <c r="AD75" s="8"/>
    </row>
    <row r="76" spans="1:30" ht="15">
      <c r="A76" s="58"/>
      <c r="B76" s="69">
        <v>45</v>
      </c>
      <c r="C76" s="43" t="s">
        <v>273</v>
      </c>
      <c r="D76" s="69">
        <v>1.4844463996195E-2</v>
      </c>
      <c r="E76" s="43">
        <f t="shared" si="4"/>
        <v>0.15430278919937174</v>
      </c>
      <c r="F76" s="71">
        <f t="shared" si="5"/>
        <v>15.430278919937173</v>
      </c>
      <c r="G76" s="84">
        <f t="shared" si="6"/>
        <v>157.8517533509573</v>
      </c>
      <c r="H76" s="43"/>
      <c r="I76" s="185">
        <f t="shared" si="7"/>
        <v>10112.233290180828</v>
      </c>
      <c r="J76" s="8"/>
      <c r="K76" s="8"/>
      <c r="L76" s="8"/>
      <c r="M76" s="8"/>
      <c r="N76" s="8"/>
      <c r="O76" s="8"/>
      <c r="P76" s="8"/>
      <c r="Q76" s="8"/>
      <c r="R76" s="8"/>
      <c r="S76" s="8"/>
      <c r="T76" s="8"/>
      <c r="U76" s="8"/>
      <c r="V76" s="8"/>
      <c r="W76" s="8"/>
      <c r="X76" s="8"/>
      <c r="Y76" s="8"/>
      <c r="Z76" s="8"/>
      <c r="AA76" s="8"/>
      <c r="AB76" s="8"/>
      <c r="AC76" s="8"/>
      <c r="AD76" s="8"/>
    </row>
    <row r="77" spans="1:30" ht="15">
      <c r="A77" s="58"/>
      <c r="B77" s="69">
        <v>46</v>
      </c>
      <c r="C77" s="43" t="s">
        <v>274</v>
      </c>
      <c r="D77" s="69">
        <v>1.5909902576697301E-2</v>
      </c>
      <c r="E77" s="43">
        <f t="shared" si="4"/>
        <v>0.15756775328277262</v>
      </c>
      <c r="F77" s="71">
        <f t="shared" si="5"/>
        <v>15.756775328277261</v>
      </c>
      <c r="G77" s="84">
        <f t="shared" si="6"/>
        <v>161.1918116082764</v>
      </c>
      <c r="H77" s="43"/>
      <c r="I77" s="185">
        <f t="shared" si="7"/>
        <v>10326.202711386504</v>
      </c>
      <c r="J77" s="8"/>
      <c r="K77" s="8"/>
      <c r="L77" s="8"/>
      <c r="M77" s="8"/>
      <c r="N77" s="8"/>
      <c r="O77" s="8"/>
      <c r="P77" s="8"/>
      <c r="Q77" s="8"/>
      <c r="R77" s="8"/>
      <c r="S77" s="8"/>
      <c r="T77" s="8"/>
      <c r="U77" s="8"/>
      <c r="V77" s="8"/>
      <c r="W77" s="8"/>
      <c r="X77" s="8"/>
      <c r="Y77" s="8"/>
      <c r="Z77" s="8"/>
      <c r="AA77" s="8"/>
      <c r="AB77" s="8"/>
      <c r="AC77" s="8"/>
      <c r="AD77" s="8"/>
    </row>
    <row r="78" spans="1:30" ht="15">
      <c r="A78" s="58"/>
      <c r="B78" s="69">
        <v>47</v>
      </c>
      <c r="C78" s="43" t="s">
        <v>275</v>
      </c>
      <c r="D78" s="69">
        <v>1.7051811373241899E-2</v>
      </c>
      <c r="E78" s="43">
        <f t="shared" si="4"/>
        <v>0.16094966145894143</v>
      </c>
      <c r="F78" s="71">
        <f t="shared" si="5"/>
        <v>16.094966145894144</v>
      </c>
      <c r="G78" s="84">
        <f t="shared" si="6"/>
        <v>164.65150367249709</v>
      </c>
      <c r="H78" s="43"/>
      <c r="I78" s="185">
        <f t="shared" si="7"/>
        <v>10547.836063711728</v>
      </c>
      <c r="J78" s="8"/>
      <c r="K78" s="8"/>
      <c r="L78" s="8"/>
      <c r="M78" s="8"/>
      <c r="N78" s="8"/>
      <c r="O78" s="8"/>
      <c r="P78" s="8"/>
      <c r="Q78" s="8"/>
      <c r="R78" s="8"/>
      <c r="S78" s="8"/>
      <c r="T78" s="8"/>
      <c r="U78" s="8"/>
      <c r="V78" s="8"/>
      <c r="W78" s="8"/>
      <c r="X78" s="8"/>
      <c r="Y78" s="8"/>
      <c r="Z78" s="8"/>
      <c r="AA78" s="8"/>
      <c r="AB78" s="8"/>
      <c r="AC78" s="8"/>
      <c r="AD78" s="8"/>
    </row>
    <row r="79" spans="1:30" ht="15">
      <c r="A79" s="58"/>
      <c r="B79" s="69">
        <v>48</v>
      </c>
      <c r="C79" s="43" t="s">
        <v>276</v>
      </c>
      <c r="D79" s="69">
        <v>1.8275678918015299E-2</v>
      </c>
      <c r="E79" s="43">
        <f t="shared" si="4"/>
        <v>0.16444849902375336</v>
      </c>
      <c r="F79" s="71">
        <f t="shared" si="5"/>
        <v>16.444849902375335</v>
      </c>
      <c r="G79" s="84">
        <f t="shared" si="6"/>
        <v>168.23081450129968</v>
      </c>
      <c r="H79" s="43"/>
      <c r="I79" s="185">
        <f t="shared" si="7"/>
        <v>10777.132383521677</v>
      </c>
      <c r="J79" s="8"/>
      <c r="K79" s="8"/>
      <c r="L79" s="8"/>
      <c r="M79" s="8"/>
      <c r="N79" s="8"/>
      <c r="O79" s="8"/>
      <c r="P79" s="8"/>
      <c r="Q79" s="8"/>
      <c r="R79" s="8"/>
      <c r="S79" s="8"/>
      <c r="T79" s="8"/>
      <c r="U79" s="8"/>
      <c r="V79" s="8"/>
      <c r="W79" s="8"/>
      <c r="X79" s="8"/>
      <c r="Y79" s="8"/>
      <c r="Z79" s="8"/>
      <c r="AA79" s="8"/>
      <c r="AB79" s="8"/>
      <c r="AC79" s="8"/>
      <c r="AD79" s="8"/>
    </row>
    <row r="80" spans="1:30" ht="15">
      <c r="A80" s="58"/>
      <c r="B80" s="69">
        <v>49</v>
      </c>
      <c r="C80" s="43" t="s">
        <v>277</v>
      </c>
      <c r="D80" s="69">
        <v>1.9587387674162699E-2</v>
      </c>
      <c r="E80" s="43">
        <f t="shared" si="4"/>
        <v>0.16806397107838497</v>
      </c>
      <c r="F80" s="71">
        <f t="shared" si="5"/>
        <v>16.806397107838496</v>
      </c>
      <c r="G80" s="84">
        <f t="shared" si="6"/>
        <v>171.92944241318781</v>
      </c>
      <c r="H80" s="43"/>
      <c r="I80" s="185">
        <f t="shared" si="7"/>
        <v>11014.07234462196</v>
      </c>
      <c r="J80" s="8"/>
      <c r="K80" s="8"/>
      <c r="L80" s="8"/>
      <c r="M80" s="8"/>
      <c r="N80" s="8"/>
      <c r="O80" s="8"/>
      <c r="P80" s="8"/>
      <c r="Q80" s="8"/>
      <c r="R80" s="8"/>
      <c r="S80" s="8"/>
      <c r="T80" s="8"/>
      <c r="U80" s="8"/>
      <c r="V80" s="8"/>
      <c r="W80" s="8"/>
      <c r="X80" s="8"/>
      <c r="Y80" s="8"/>
      <c r="Z80" s="8"/>
      <c r="AA80" s="8"/>
      <c r="AB80" s="8"/>
      <c r="AC80" s="8"/>
      <c r="AD80" s="8"/>
    </row>
    <row r="81" spans="1:30" ht="15">
      <c r="A81" s="58"/>
      <c r="B81" s="69">
        <v>50</v>
      </c>
      <c r="C81" s="43" t="s">
        <v>278</v>
      </c>
      <c r="D81" s="69">
        <v>2.0993242309578102E-2</v>
      </c>
      <c r="E81" s="43">
        <f t="shared" si="4"/>
        <v>0.17179550534878701</v>
      </c>
      <c r="F81" s="71">
        <f t="shared" si="5"/>
        <v>17.1795505348787</v>
      </c>
      <c r="G81" s="84">
        <f t="shared" si="6"/>
        <v>175.74680197180911</v>
      </c>
      <c r="H81" s="43"/>
      <c r="I81" s="185">
        <f t="shared" si="7"/>
        <v>11258.618443032758</v>
      </c>
      <c r="J81" s="8"/>
      <c r="K81" s="8"/>
      <c r="L81" s="8"/>
      <c r="M81" s="8"/>
      <c r="N81" s="8"/>
      <c r="O81" s="8"/>
      <c r="P81" s="8"/>
      <c r="Q81" s="8"/>
      <c r="R81" s="8"/>
      <c r="S81" s="8"/>
      <c r="T81" s="8"/>
      <c r="U81" s="8"/>
      <c r="V81" s="8"/>
      <c r="W81" s="8"/>
      <c r="X81" s="8"/>
      <c r="Y81" s="8"/>
      <c r="Z81" s="8"/>
      <c r="AA81" s="8"/>
      <c r="AB81" s="8"/>
      <c r="AC81" s="8"/>
      <c r="AD81" s="8"/>
    </row>
    <row r="82" spans="1:30" ht="15">
      <c r="A82" s="58"/>
      <c r="B82" s="69">
        <v>51</v>
      </c>
      <c r="C82" s="43" t="s">
        <v>279</v>
      </c>
      <c r="D82" s="69">
        <v>2.2499999999999999E-2</v>
      </c>
      <c r="E82" s="43">
        <f t="shared" si="4"/>
        <v>0.17564225762668123</v>
      </c>
      <c r="F82" s="71">
        <f t="shared" si="5"/>
        <v>17.564225762668123</v>
      </c>
      <c r="G82" s="84">
        <f t="shared" si="6"/>
        <v>179.68202955209489</v>
      </c>
      <c r="H82" s="43"/>
      <c r="I82" s="185">
        <f t="shared" si="7"/>
        <v>11510.715353564554</v>
      </c>
      <c r="J82" s="8"/>
      <c r="K82" s="8"/>
      <c r="L82" s="8"/>
      <c r="M82" s="8"/>
      <c r="N82" s="8"/>
      <c r="O82" s="8"/>
      <c r="P82" s="8"/>
      <c r="Q82" s="8"/>
      <c r="R82" s="8"/>
      <c r="S82" s="8"/>
      <c r="T82" s="8"/>
      <c r="U82" s="8"/>
      <c r="V82" s="8"/>
      <c r="W82" s="8"/>
      <c r="X82" s="8"/>
      <c r="Y82" s="8"/>
      <c r="Z82" s="8"/>
      <c r="AA82" s="8"/>
      <c r="AB82" s="8"/>
      <c r="AC82" s="8"/>
      <c r="AD82" s="8"/>
    </row>
    <row r="83" spans="1:30" ht="15">
      <c r="A83" s="58"/>
      <c r="B83" s="69">
        <v>52</v>
      </c>
      <c r="C83" s="43" t="s">
        <v>280</v>
      </c>
      <c r="D83" s="69">
        <v>2.4114902907066499E-2</v>
      </c>
      <c r="E83" s="43">
        <f t="shared" si="4"/>
        <v>0.17960311972277027</v>
      </c>
      <c r="F83" s="71">
        <f t="shared" si="5"/>
        <v>17.960311972277026</v>
      </c>
      <c r="G83" s="84">
        <f t="shared" si="6"/>
        <v>183.73399147639398</v>
      </c>
      <c r="H83" s="43"/>
      <c r="I83" s="185">
        <f t="shared" si="7"/>
        <v>11770.290451031749</v>
      </c>
      <c r="J83" s="8"/>
      <c r="K83" s="8"/>
      <c r="L83" s="8"/>
      <c r="M83" s="8"/>
      <c r="N83" s="8"/>
      <c r="O83" s="8"/>
      <c r="P83" s="8"/>
      <c r="Q83" s="8"/>
      <c r="R83" s="8"/>
      <c r="S83" s="8"/>
      <c r="T83" s="8"/>
      <c r="U83" s="8"/>
      <c r="V83" s="8"/>
      <c r="W83" s="8"/>
      <c r="X83" s="8"/>
      <c r="Y83" s="8"/>
      <c r="Z83" s="8"/>
      <c r="AA83" s="8"/>
      <c r="AB83" s="8"/>
      <c r="AC83" s="8"/>
      <c r="AD83" s="8"/>
    </row>
    <row r="84" spans="1:30" ht="15">
      <c r="A84" s="58"/>
      <c r="B84" s="69">
        <v>53</v>
      </c>
      <c r="C84" s="43" t="s">
        <v>281</v>
      </c>
      <c r="D84" s="69">
        <v>2.5845712987433201E-2</v>
      </c>
      <c r="E84" s="43">
        <f t="shared" si="4"/>
        <v>0.18367672977433955</v>
      </c>
      <c r="F84" s="71">
        <f t="shared" si="5"/>
        <v>18.367672977433955</v>
      </c>
      <c r="G84" s="84">
        <f t="shared" si="6"/>
        <v>187.90129455914936</v>
      </c>
      <c r="H84" s="43"/>
      <c r="I84" s="185">
        <f t="shared" si="7"/>
        <v>12037.254485761343</v>
      </c>
      <c r="J84" s="8"/>
      <c r="K84" s="8"/>
      <c r="L84" s="8"/>
      <c r="M84" s="8"/>
      <c r="N84" s="8"/>
      <c r="O84" s="8"/>
      <c r="P84" s="8"/>
      <c r="Q84" s="8"/>
      <c r="R84" s="8"/>
      <c r="S84" s="8"/>
      <c r="T84" s="8"/>
      <c r="U84" s="8"/>
      <c r="V84" s="8"/>
      <c r="W84" s="8"/>
      <c r="X84" s="8"/>
      <c r="Y84" s="8"/>
      <c r="Z84" s="8"/>
      <c r="AA84" s="8"/>
      <c r="AB84" s="8"/>
      <c r="AC84" s="8"/>
      <c r="AD84" s="8"/>
    </row>
    <row r="85" spans="1:30" ht="15">
      <c r="A85" s="58"/>
      <c r="B85" s="69">
        <v>54</v>
      </c>
      <c r="C85" s="43" t="s">
        <v>282</v>
      </c>
      <c r="D85" s="69">
        <v>2.7700749300260601E-2</v>
      </c>
      <c r="E85" s="43">
        <f t="shared" si="4"/>
        <v>0.18786148470625053</v>
      </c>
      <c r="F85" s="71">
        <f t="shared" si="5"/>
        <v>18.786148470625051</v>
      </c>
      <c r="G85" s="84">
        <f t="shared" si="6"/>
        <v>192.18229885449429</v>
      </c>
      <c r="H85" s="43"/>
      <c r="I85" s="185">
        <f t="shared" si="7"/>
        <v>12311.502400224128</v>
      </c>
      <c r="J85" s="8"/>
      <c r="K85" s="8"/>
      <c r="L85" s="8"/>
      <c r="M85" s="8"/>
      <c r="N85" s="8"/>
      <c r="O85" s="8"/>
      <c r="P85" s="8"/>
      <c r="Q85" s="8"/>
      <c r="R85" s="8"/>
      <c r="S85" s="8"/>
      <c r="T85" s="8"/>
      <c r="U85" s="8"/>
      <c r="V85" s="8"/>
      <c r="W85" s="8"/>
      <c r="X85" s="8"/>
      <c r="Y85" s="8"/>
      <c r="Z85" s="8"/>
      <c r="AA85" s="8"/>
      <c r="AB85" s="8"/>
      <c r="AC85" s="8"/>
      <c r="AD85" s="8"/>
    </row>
    <row r="86" spans="1:30" ht="15">
      <c r="A86" s="58"/>
      <c r="B86" s="69">
        <v>55</v>
      </c>
      <c r="C86" s="43" t="s">
        <v>283</v>
      </c>
      <c r="D86" s="69">
        <v>2.9688927992390101E-2</v>
      </c>
      <c r="E86" s="43">
        <f t="shared" si="4"/>
        <v>0.19215555460778613</v>
      </c>
      <c r="F86" s="71">
        <f t="shared" si="5"/>
        <v>19.215555460778614</v>
      </c>
      <c r="G86" s="84">
        <f t="shared" si="6"/>
        <v>196.57513236376522</v>
      </c>
      <c r="H86" s="43"/>
      <c r="I86" s="185">
        <f t="shared" si="7"/>
        <v>12592.914271221263</v>
      </c>
      <c r="J86" s="8"/>
      <c r="K86" s="8"/>
      <c r="L86" s="8"/>
      <c r="M86" s="8"/>
      <c r="N86" s="8"/>
      <c r="O86" s="8"/>
      <c r="P86" s="8"/>
      <c r="Q86" s="8"/>
      <c r="R86" s="8"/>
      <c r="S86" s="8"/>
      <c r="T86" s="8"/>
      <c r="U86" s="8"/>
      <c r="V86" s="8"/>
      <c r="W86" s="8"/>
      <c r="X86" s="8"/>
      <c r="Y86" s="8"/>
      <c r="Z86" s="8"/>
      <c r="AA86" s="8"/>
      <c r="AB86" s="8"/>
      <c r="AC86" s="8"/>
      <c r="AD86" s="8"/>
    </row>
    <row r="87" spans="1:30" ht="15">
      <c r="A87" s="58"/>
      <c r="B87" s="69">
        <v>56</v>
      </c>
      <c r="C87" s="43" t="s">
        <v>284</v>
      </c>
      <c r="D87" s="69">
        <v>3.1819805153394602E-2</v>
      </c>
      <c r="E87" s="43">
        <f t="shared" si="4"/>
        <v>0.19655689875885407</v>
      </c>
      <c r="F87" s="71">
        <f t="shared" si="5"/>
        <v>19.655689875885408</v>
      </c>
      <c r="G87" s="84">
        <f t="shared" si="6"/>
        <v>201.07770743030773</v>
      </c>
      <c r="H87" s="43"/>
      <c r="I87" s="185">
        <f t="shared" si="7"/>
        <v>12881.356360161502</v>
      </c>
      <c r="J87" s="8"/>
      <c r="K87" s="8"/>
      <c r="L87" s="8"/>
      <c r="M87" s="8"/>
      <c r="N87" s="8"/>
      <c r="O87" s="8"/>
      <c r="P87" s="8"/>
      <c r="Q87" s="8"/>
      <c r="R87" s="8"/>
      <c r="S87" s="8"/>
      <c r="T87" s="8"/>
      <c r="U87" s="8"/>
      <c r="V87" s="8"/>
      <c r="W87" s="8"/>
      <c r="X87" s="8"/>
      <c r="Y87" s="8"/>
      <c r="Z87" s="8"/>
      <c r="AA87" s="8"/>
      <c r="AB87" s="8"/>
      <c r="AC87" s="8"/>
      <c r="AD87" s="8"/>
    </row>
    <row r="88" spans="1:30" ht="15">
      <c r="A88" s="58"/>
      <c r="B88" s="69">
        <v>57</v>
      </c>
      <c r="C88" s="43" t="s">
        <v>285</v>
      </c>
      <c r="D88" s="69">
        <v>3.4103622746483903E-2</v>
      </c>
      <c r="E88" s="43">
        <f t="shared" si="4"/>
        <v>0.20106328301832613</v>
      </c>
      <c r="F88" s="71">
        <f t="shared" si="5"/>
        <v>20.106328301832612</v>
      </c>
      <c r="G88" s="84">
        <f t="shared" si="6"/>
        <v>205.68773852774763</v>
      </c>
      <c r="H88" s="43"/>
      <c r="I88" s="185">
        <f t="shared" si="7"/>
        <v>13176.682252606002</v>
      </c>
      <c r="J88" s="8"/>
      <c r="K88" s="8"/>
      <c r="L88" s="8"/>
      <c r="M88" s="8"/>
      <c r="N88" s="8"/>
      <c r="O88" s="8"/>
      <c r="P88" s="8"/>
      <c r="Q88" s="8"/>
      <c r="R88" s="8"/>
      <c r="S88" s="8"/>
      <c r="T88" s="8"/>
      <c r="U88" s="8"/>
      <c r="V88" s="8"/>
      <c r="W88" s="8"/>
      <c r="X88" s="8"/>
      <c r="Y88" s="8"/>
      <c r="Z88" s="8"/>
      <c r="AA88" s="8"/>
      <c r="AB88" s="8"/>
      <c r="AC88" s="8"/>
      <c r="AD88" s="8"/>
    </row>
    <row r="89" spans="1:30" ht="15">
      <c r="A89" s="58"/>
      <c r="B89" s="69">
        <v>58</v>
      </c>
      <c r="C89" s="43" t="s">
        <v>286</v>
      </c>
      <c r="D89" s="69">
        <v>3.6551357836030599E-2</v>
      </c>
      <c r="E89" s="43">
        <f t="shared" si="4"/>
        <v>0.20567229827502559</v>
      </c>
      <c r="F89" s="71">
        <f t="shared" si="5"/>
        <v>20.567229827502558</v>
      </c>
      <c r="G89" s="84">
        <f t="shared" si="6"/>
        <v>210.40276113535117</v>
      </c>
      <c r="H89" s="43"/>
      <c r="I89" s="185">
        <f t="shared" si="7"/>
        <v>13478.734067453803</v>
      </c>
      <c r="J89" s="8"/>
      <c r="K89" s="8"/>
      <c r="L89" s="8"/>
      <c r="M89" s="8"/>
      <c r="N89" s="8"/>
      <c r="O89" s="8"/>
      <c r="P89" s="8"/>
      <c r="Q89" s="8"/>
      <c r="R89" s="8"/>
      <c r="S89" s="8"/>
      <c r="T89" s="8"/>
      <c r="U89" s="8"/>
      <c r="V89" s="8"/>
      <c r="W89" s="8"/>
      <c r="X89" s="8"/>
      <c r="Y89" s="8"/>
      <c r="Z89" s="8"/>
      <c r="AA89" s="8"/>
      <c r="AB89" s="8"/>
      <c r="AC89" s="8"/>
      <c r="AD89" s="8"/>
    </row>
    <row r="90" spans="1:30" ht="15">
      <c r="A90" s="58"/>
      <c r="B90" s="69">
        <v>59</v>
      </c>
      <c r="C90" s="43" t="s">
        <v>287</v>
      </c>
      <c r="D90" s="69">
        <v>3.9174775348325502E-2</v>
      </c>
      <c r="E90" s="43">
        <f t="shared" si="4"/>
        <v>0.2103813796579361</v>
      </c>
      <c r="F90" s="71">
        <f t="shared" si="5"/>
        <v>21.038137965793609</v>
      </c>
      <c r="G90" s="84">
        <f t="shared" si="6"/>
        <v>215.22015139006862</v>
      </c>
      <c r="H90" s="43"/>
      <c r="I90" s="185">
        <f t="shared" si="7"/>
        <v>13787.343715882842</v>
      </c>
      <c r="J90" s="8"/>
      <c r="K90" s="8"/>
      <c r="L90" s="8"/>
      <c r="M90" s="8"/>
      <c r="N90" s="8"/>
      <c r="O90" s="8"/>
      <c r="P90" s="8"/>
      <c r="Q90" s="8"/>
      <c r="R90" s="8"/>
      <c r="S90" s="8"/>
      <c r="T90" s="8"/>
      <c r="U90" s="8"/>
      <c r="V90" s="8"/>
      <c r="W90" s="8"/>
      <c r="X90" s="8"/>
      <c r="Y90" s="8"/>
      <c r="Z90" s="8"/>
      <c r="AA90" s="8"/>
      <c r="AB90" s="8"/>
      <c r="AC90" s="8"/>
      <c r="AD90" s="8"/>
    </row>
    <row r="91" spans="1:30" ht="15">
      <c r="A91" s="58"/>
      <c r="B91" s="69">
        <v>60</v>
      </c>
      <c r="C91" s="43" t="s">
        <v>288</v>
      </c>
      <c r="D91" s="69">
        <v>4.19864846191563E-2</v>
      </c>
      <c r="E91" s="43">
        <f t="shared" si="4"/>
        <v>0.21518782620616475</v>
      </c>
      <c r="F91" s="71">
        <f t="shared" si="5"/>
        <v>21.518782620616474</v>
      </c>
      <c r="G91" s="84">
        <f t="shared" si="6"/>
        <v>220.13714620890653</v>
      </c>
      <c r="H91" s="43"/>
      <c r="I91" s="185">
        <f t="shared" si="7"/>
        <v>14102.334190421006</v>
      </c>
      <c r="J91" s="8"/>
      <c r="K91" s="8"/>
      <c r="L91" s="8"/>
      <c r="M91" s="8"/>
      <c r="N91" s="8"/>
      <c r="O91" s="8"/>
      <c r="P91" s="8"/>
      <c r="Q91" s="8"/>
      <c r="R91" s="8"/>
      <c r="S91" s="8"/>
      <c r="T91" s="8"/>
      <c r="U91" s="8"/>
      <c r="V91" s="8"/>
      <c r="W91" s="8"/>
      <c r="X91" s="8"/>
      <c r="Y91" s="8"/>
      <c r="Z91" s="8"/>
      <c r="AA91" s="8"/>
      <c r="AB91" s="8"/>
      <c r="AC91" s="8"/>
      <c r="AD91" s="8"/>
    </row>
    <row r="92" spans="1:30" ht="15">
      <c r="A92" s="58"/>
      <c r="B92" s="69">
        <v>61</v>
      </c>
      <c r="C92" s="43" t="s">
        <v>289</v>
      </c>
      <c r="D92" s="69">
        <v>4.4999999999999998E-2</v>
      </c>
      <c r="E92" s="43">
        <f t="shared" si="4"/>
        <v>0.22008882071029764</v>
      </c>
      <c r="F92" s="71">
        <f t="shared" si="5"/>
        <v>22.008882071029763</v>
      </c>
      <c r="G92" s="84">
        <f t="shared" si="6"/>
        <v>225.1508635866345</v>
      </c>
      <c r="H92" s="43"/>
      <c r="I92" s="185">
        <f t="shared" si="7"/>
        <v>14423.520865249357</v>
      </c>
      <c r="J92" s="8"/>
      <c r="K92" s="8"/>
      <c r="L92" s="8"/>
      <c r="M92" s="8"/>
      <c r="N92" s="8"/>
      <c r="O92" s="8"/>
      <c r="P92" s="8"/>
      <c r="Q92" s="8"/>
      <c r="R92" s="8"/>
      <c r="S92" s="8"/>
      <c r="T92" s="8"/>
      <c r="U92" s="8"/>
      <c r="V92" s="8"/>
      <c r="W92" s="8"/>
      <c r="X92" s="8"/>
      <c r="Y92" s="8"/>
      <c r="Z92" s="8"/>
      <c r="AA92" s="8"/>
      <c r="AB92" s="8"/>
      <c r="AC92" s="8"/>
      <c r="AD92" s="8"/>
    </row>
    <row r="93" spans="1:30" ht="15">
      <c r="A93" s="58"/>
      <c r="B93" s="69">
        <v>62</v>
      </c>
      <c r="C93" s="43" t="s">
        <v>290</v>
      </c>
      <c r="D93" s="69">
        <v>4.8229805814133102E-2</v>
      </c>
      <c r="E93" s="43">
        <f t="shared" si="4"/>
        <v>0.22508144945412148</v>
      </c>
      <c r="F93" s="71">
        <f t="shared" si="5"/>
        <v>22.508144945412148</v>
      </c>
      <c r="G93" s="84">
        <f t="shared" si="6"/>
        <v>230.25832279156629</v>
      </c>
      <c r="H93" s="43"/>
      <c r="I93" s="185">
        <f t="shared" si="7"/>
        <v>14750.712789975851</v>
      </c>
      <c r="J93" s="8"/>
      <c r="K93" s="8"/>
      <c r="L93" s="8"/>
      <c r="M93" s="8"/>
      <c r="N93" s="8"/>
      <c r="O93" s="8"/>
      <c r="P93" s="8"/>
      <c r="Q93" s="8"/>
      <c r="R93" s="8"/>
      <c r="S93" s="8"/>
      <c r="T93" s="8"/>
      <c r="U93" s="8"/>
      <c r="V93" s="8"/>
      <c r="W93" s="8"/>
      <c r="X93" s="8"/>
      <c r="Y93" s="8"/>
      <c r="Z93" s="8"/>
      <c r="AA93" s="8"/>
      <c r="AB93" s="8"/>
      <c r="AC93" s="8"/>
      <c r="AD93" s="8"/>
    </row>
    <row r="94" spans="1:30" ht="15">
      <c r="A94" s="58"/>
      <c r="B94" s="69">
        <v>63</v>
      </c>
      <c r="C94" s="43" t="s">
        <v>291</v>
      </c>
      <c r="D94" s="69">
        <v>5.1691425974866499E-2</v>
      </c>
      <c r="E94" s="43">
        <f t="shared" si="4"/>
        <v>0.23016272160812057</v>
      </c>
      <c r="F94" s="71">
        <f t="shared" si="5"/>
        <v>23.016272160812058</v>
      </c>
      <c r="G94" s="84">
        <f t="shared" si="6"/>
        <v>235.45646420510735</v>
      </c>
      <c r="H94" s="43"/>
      <c r="I94" s="185">
        <f t="shared" si="7"/>
        <v>15083.713960588182</v>
      </c>
      <c r="J94" s="8"/>
      <c r="K94" s="8"/>
      <c r="L94" s="8"/>
      <c r="M94" s="8"/>
      <c r="N94" s="8"/>
      <c r="O94" s="8"/>
      <c r="P94" s="8"/>
      <c r="Q94" s="8"/>
      <c r="R94" s="8"/>
      <c r="S94" s="8"/>
      <c r="T94" s="8"/>
      <c r="U94" s="8"/>
      <c r="V94" s="8"/>
      <c r="W94" s="8"/>
      <c r="X94" s="8"/>
      <c r="Y94" s="8"/>
      <c r="Z94" s="8"/>
      <c r="AA94" s="8"/>
      <c r="AB94" s="8"/>
      <c r="AC94" s="8"/>
      <c r="AD94" s="8"/>
    </row>
    <row r="95" spans="1:30" ht="15">
      <c r="A95" s="58"/>
      <c r="B95" s="69">
        <v>64</v>
      </c>
      <c r="C95" s="43" t="s">
        <v>292</v>
      </c>
      <c r="D95" s="69">
        <v>5.5401498600521203E-2</v>
      </c>
      <c r="E95" s="43">
        <f t="shared" si="4"/>
        <v>0.23532958805253287</v>
      </c>
      <c r="F95" s="71">
        <f t="shared" si="5"/>
        <v>23.532958805253287</v>
      </c>
      <c r="G95" s="84">
        <f t="shared" si="6"/>
        <v>240.74216857774113</v>
      </c>
      <c r="H95" s="43"/>
      <c r="I95" s="185">
        <f t="shared" si="7"/>
        <v>15422.324553022741</v>
      </c>
      <c r="J95" s="8"/>
      <c r="K95" s="8"/>
      <c r="L95" s="8"/>
      <c r="M95" s="8"/>
      <c r="N95" s="8"/>
      <c r="O95" s="8"/>
      <c r="P95" s="8"/>
      <c r="Q95" s="8"/>
      <c r="R95" s="8"/>
      <c r="S95" s="8"/>
      <c r="T95" s="8"/>
      <c r="U95" s="8"/>
      <c r="V95" s="8"/>
      <c r="W95" s="8"/>
      <c r="X95" s="8"/>
      <c r="Y95" s="8"/>
      <c r="Z95" s="8"/>
      <c r="AA95" s="8"/>
      <c r="AB95" s="8"/>
      <c r="AC95" s="8"/>
      <c r="AD95" s="8"/>
    </row>
    <row r="96" spans="1:30" ht="15">
      <c r="A96" s="58"/>
      <c r="B96" s="69">
        <v>65</v>
      </c>
      <c r="C96" s="43" t="s">
        <v>293</v>
      </c>
      <c r="D96" s="69">
        <v>5.9377855984780202E-2</v>
      </c>
      <c r="E96" s="43">
        <f t="shared" si="4"/>
        <v>0.24057895943686422</v>
      </c>
      <c r="F96" s="71">
        <f t="shared" si="5"/>
        <v>24.057895943686422</v>
      </c>
      <c r="G96" s="84">
        <f t="shared" si="6"/>
        <v>246.11227550391209</v>
      </c>
      <c r="H96" s="43"/>
      <c r="I96" s="185">
        <f t="shared" ref="I96:I159" si="8">E96*((2^16)-1)</f>
        <v>15766.342106694896</v>
      </c>
      <c r="J96" s="8"/>
      <c r="K96" s="8"/>
      <c r="L96" s="8"/>
      <c r="M96" s="8"/>
      <c r="N96" s="8"/>
      <c r="O96" s="8"/>
      <c r="P96" s="8"/>
      <c r="Q96" s="8"/>
      <c r="R96" s="8"/>
      <c r="S96" s="8"/>
      <c r="T96" s="8"/>
      <c r="U96" s="8"/>
      <c r="V96" s="8"/>
      <c r="W96" s="8"/>
      <c r="X96" s="8"/>
      <c r="Y96" s="8"/>
      <c r="Z96" s="8"/>
      <c r="AA96" s="8"/>
      <c r="AB96" s="8"/>
      <c r="AC96" s="8"/>
      <c r="AD96" s="8"/>
    </row>
    <row r="97" spans="1:30" ht="15">
      <c r="A97" s="58"/>
      <c r="B97" s="69">
        <v>66</v>
      </c>
      <c r="C97" s="43" t="s">
        <v>294</v>
      </c>
      <c r="D97" s="69">
        <v>6.3639610306789204E-2</v>
      </c>
      <c r="E97" s="43">
        <f t="shared" si="4"/>
        <v>0.24590772331343408</v>
      </c>
      <c r="F97" s="71">
        <f t="shared" si="5"/>
        <v>24.590772331343409</v>
      </c>
      <c r="G97" s="84">
        <f t="shared" si="6"/>
        <v>251.56360094964307</v>
      </c>
      <c r="H97" s="43"/>
      <c r="I97" s="185">
        <f t="shared" si="8"/>
        <v>16115.562647345901</v>
      </c>
      <c r="J97" s="8"/>
      <c r="K97" s="8"/>
      <c r="L97" s="8"/>
      <c r="M97" s="8"/>
      <c r="N97" s="8"/>
      <c r="O97" s="8"/>
      <c r="P97" s="8"/>
      <c r="Q97" s="8"/>
      <c r="R97" s="8"/>
      <c r="S97" s="8"/>
      <c r="T97" s="8"/>
      <c r="U97" s="8"/>
      <c r="V97" s="8"/>
      <c r="W97" s="8"/>
      <c r="X97" s="8"/>
      <c r="Y97" s="8"/>
      <c r="Z97" s="8"/>
      <c r="AA97" s="8"/>
      <c r="AB97" s="8"/>
      <c r="AC97" s="8"/>
      <c r="AD97" s="8"/>
    </row>
    <row r="98" spans="1:30" ht="15">
      <c r="A98" s="58"/>
      <c r="B98" s="69">
        <v>67</v>
      </c>
      <c r="C98" s="43" t="s">
        <v>295</v>
      </c>
      <c r="D98" s="69">
        <v>6.8207245492967902E-2</v>
      </c>
      <c r="E98" s="43">
        <f t="shared" si="4"/>
        <v>0.25131276021370103</v>
      </c>
      <c r="F98" s="71">
        <f t="shared" si="5"/>
        <v>25.131276021370102</v>
      </c>
      <c r="G98" s="84">
        <f t="shared" si="6"/>
        <v>257.09295369861616</v>
      </c>
      <c r="H98" s="43"/>
      <c r="I98" s="185">
        <f t="shared" si="8"/>
        <v>16469.781740604896</v>
      </c>
      <c r="J98" s="8"/>
      <c r="K98" s="8"/>
      <c r="L98" s="8"/>
      <c r="M98" s="8"/>
      <c r="N98" s="8"/>
      <c r="O98" s="8"/>
      <c r="P98" s="8"/>
      <c r="Q98" s="8"/>
      <c r="R98" s="8"/>
      <c r="S98" s="8"/>
      <c r="T98" s="8"/>
      <c r="U98" s="8"/>
      <c r="V98" s="8"/>
      <c r="W98" s="8"/>
      <c r="X98" s="8"/>
      <c r="Y98" s="8"/>
      <c r="Z98" s="8"/>
      <c r="AA98" s="8"/>
      <c r="AB98" s="8"/>
      <c r="AC98" s="8"/>
      <c r="AD98" s="8"/>
    </row>
    <row r="99" spans="1:30" ht="15">
      <c r="A99" s="58"/>
      <c r="B99" s="69">
        <v>68</v>
      </c>
      <c r="C99" s="43" t="s">
        <v>296</v>
      </c>
      <c r="D99" s="69">
        <v>7.31027156720611E-2</v>
      </c>
      <c r="E99" s="43">
        <f t="shared" si="4"/>
        <v>0.25679095856682638</v>
      </c>
      <c r="F99" s="71">
        <f t="shared" si="5"/>
        <v>25.679095856682636</v>
      </c>
      <c r="G99" s="84">
        <f t="shared" si="6"/>
        <v>262.69715061386336</v>
      </c>
      <c r="H99" s="43"/>
      <c r="I99" s="185">
        <f t="shared" si="8"/>
        <v>16828.795469676967</v>
      </c>
      <c r="J99" s="8"/>
      <c r="K99" s="8"/>
      <c r="L99" s="8"/>
      <c r="M99" s="8"/>
      <c r="N99" s="8"/>
      <c r="O99" s="8"/>
      <c r="P99" s="8"/>
      <c r="Q99" s="8"/>
      <c r="R99" s="8"/>
      <c r="S99" s="8"/>
      <c r="T99" s="8"/>
      <c r="U99" s="8"/>
      <c r="V99" s="8"/>
      <c r="W99" s="8"/>
      <c r="X99" s="8"/>
      <c r="Y99" s="8"/>
      <c r="Z99" s="8"/>
      <c r="AA99" s="8"/>
      <c r="AB99" s="8"/>
      <c r="AC99" s="8"/>
      <c r="AD99" s="8"/>
    </row>
    <row r="100" spans="1:30" ht="15">
      <c r="A100" s="58"/>
      <c r="B100" s="69">
        <v>69</v>
      </c>
      <c r="C100" s="43" t="s">
        <v>297</v>
      </c>
      <c r="D100" s="69">
        <v>7.8349550696651102E-2</v>
      </c>
      <c r="E100" s="43">
        <f t="shared" si="4"/>
        <v>0.26233922838936724</v>
      </c>
      <c r="F100" s="71">
        <f t="shared" si="5"/>
        <v>26.233922838936724</v>
      </c>
      <c r="G100" s="84">
        <f t="shared" si="6"/>
        <v>268.3730306423227</v>
      </c>
      <c r="H100" s="43"/>
      <c r="I100" s="185">
        <f t="shared" si="8"/>
        <v>17192.401332497182</v>
      </c>
      <c r="J100" s="8"/>
      <c r="K100" s="8"/>
      <c r="L100" s="8"/>
      <c r="M100" s="8"/>
      <c r="N100" s="8"/>
      <c r="O100" s="8"/>
      <c r="P100" s="8"/>
      <c r="Q100" s="8"/>
      <c r="R100" s="8"/>
      <c r="S100" s="8"/>
      <c r="T100" s="8"/>
      <c r="U100" s="8"/>
      <c r="V100" s="8"/>
      <c r="W100" s="8"/>
      <c r="X100" s="8"/>
      <c r="Y100" s="8"/>
      <c r="Z100" s="8"/>
      <c r="AA100" s="8"/>
      <c r="AB100" s="8"/>
      <c r="AC100" s="8"/>
      <c r="AD100" s="8"/>
    </row>
    <row r="101" spans="1:30" ht="15">
      <c r="A101" s="58"/>
      <c r="B101" s="69">
        <v>70</v>
      </c>
      <c r="C101" s="43" t="s">
        <v>298</v>
      </c>
      <c r="D101" s="69">
        <v>8.39729692383126E-2</v>
      </c>
      <c r="E101" s="43">
        <f t="shared" si="4"/>
        <v>0.26795451370248824</v>
      </c>
      <c r="F101" s="71">
        <f t="shared" si="5"/>
        <v>26.795451370248824</v>
      </c>
      <c r="G101" s="84">
        <f t="shared" si="6"/>
        <v>274.11746751764548</v>
      </c>
      <c r="H101" s="43"/>
      <c r="I101" s="185">
        <f t="shared" si="8"/>
        <v>17560.399055492566</v>
      </c>
      <c r="J101" s="8"/>
      <c r="K101" s="8"/>
      <c r="L101" s="8"/>
      <c r="M101" s="8"/>
      <c r="N101" s="8"/>
      <c r="O101" s="8"/>
      <c r="P101" s="8"/>
      <c r="Q101" s="8"/>
      <c r="R101" s="8"/>
      <c r="S101" s="8"/>
      <c r="T101" s="8"/>
      <c r="U101" s="8"/>
      <c r="V101" s="8"/>
      <c r="W101" s="8"/>
      <c r="X101" s="8"/>
      <c r="Y101" s="8"/>
      <c r="Z101" s="8"/>
      <c r="AA101" s="8"/>
      <c r="AB101" s="8"/>
      <c r="AC101" s="8"/>
      <c r="AD101" s="8"/>
    </row>
    <row r="102" spans="1:30" ht="15">
      <c r="A102" s="58"/>
      <c r="B102" s="69">
        <v>71</v>
      </c>
      <c r="C102" s="43" t="s">
        <v>299</v>
      </c>
      <c r="D102" s="69">
        <v>0.09</v>
      </c>
      <c r="E102" s="43">
        <f t="shared" si="4"/>
        <v>0.27363380365816414</v>
      </c>
      <c r="F102" s="71">
        <f t="shared" si="5"/>
        <v>27.363380365816415</v>
      </c>
      <c r="G102" s="84">
        <f t="shared" si="6"/>
        <v>279.9273811423019</v>
      </c>
      <c r="H102" s="43"/>
      <c r="I102" s="185">
        <f t="shared" si="8"/>
        <v>17932.591322737786</v>
      </c>
      <c r="J102" s="8"/>
      <c r="K102" s="8"/>
      <c r="L102" s="8"/>
      <c r="M102" s="8"/>
      <c r="N102" s="8"/>
      <c r="O102" s="8"/>
      <c r="P102" s="8"/>
      <c r="Q102" s="8"/>
      <c r="R102" s="8"/>
      <c r="S102" s="8"/>
      <c r="T102" s="8"/>
      <c r="U102" s="8"/>
      <c r="V102" s="8"/>
      <c r="W102" s="8"/>
      <c r="X102" s="8"/>
      <c r="Y102" s="8"/>
      <c r="Z102" s="8"/>
      <c r="AA102" s="8"/>
      <c r="AB102" s="8"/>
      <c r="AC102" s="8"/>
      <c r="AD102" s="8"/>
    </row>
    <row r="103" spans="1:30" ht="15">
      <c r="A103" s="58"/>
      <c r="B103" s="69">
        <v>72</v>
      </c>
      <c r="C103" s="43" t="s">
        <v>300</v>
      </c>
      <c r="D103" s="69">
        <v>9.6459611628266301E-2</v>
      </c>
      <c r="E103" s="43">
        <f t="shared" si="4"/>
        <v>0.279374142378154</v>
      </c>
      <c r="F103" s="71">
        <f t="shared" si="5"/>
        <v>27.9374142378154</v>
      </c>
      <c r="G103" s="84">
        <f t="shared" si="6"/>
        <v>285.79974765285152</v>
      </c>
      <c r="H103" s="43"/>
      <c r="I103" s="185">
        <f t="shared" si="8"/>
        <v>18308.784420752323</v>
      </c>
      <c r="J103" s="8"/>
      <c r="K103" s="8"/>
      <c r="L103" s="8"/>
      <c r="M103" s="8"/>
      <c r="N103" s="8"/>
      <c r="O103" s="8"/>
      <c r="P103" s="8"/>
      <c r="Q103" s="8"/>
      <c r="R103" s="8"/>
      <c r="S103" s="8"/>
      <c r="T103" s="8"/>
      <c r="U103" s="8"/>
      <c r="V103" s="8"/>
      <c r="W103" s="8"/>
      <c r="X103" s="8"/>
      <c r="Y103" s="8"/>
      <c r="Z103" s="8"/>
      <c r="AA103" s="8"/>
      <c r="AB103" s="8"/>
      <c r="AC103" s="8"/>
      <c r="AD103" s="8"/>
    </row>
    <row r="104" spans="1:30" ht="15">
      <c r="A104" s="58"/>
      <c r="B104" s="69">
        <v>73</v>
      </c>
      <c r="C104" s="43" t="s">
        <v>301</v>
      </c>
      <c r="D104" s="69">
        <v>0.103382851949733</v>
      </c>
      <c r="E104" s="43">
        <f t="shared" si="4"/>
        <v>0.28517263752888333</v>
      </c>
      <c r="F104" s="71">
        <f t="shared" si="5"/>
        <v>28.517263752888333</v>
      </c>
      <c r="G104" s="84">
        <f t="shared" si="6"/>
        <v>291.73160819204764</v>
      </c>
      <c r="H104" s="43"/>
      <c r="I104" s="185">
        <f t="shared" si="8"/>
        <v>18688.788800455368</v>
      </c>
      <c r="J104" s="8"/>
      <c r="K104" s="8"/>
      <c r="L104" s="8"/>
      <c r="M104" s="8"/>
      <c r="N104" s="8"/>
      <c r="O104" s="8"/>
      <c r="P104" s="8"/>
      <c r="Q104" s="8"/>
      <c r="R104" s="8"/>
      <c r="S104" s="8"/>
      <c r="T104" s="8"/>
      <c r="U104" s="8"/>
      <c r="V104" s="8"/>
      <c r="W104" s="8"/>
      <c r="X104" s="8"/>
      <c r="Y104" s="8"/>
      <c r="Z104" s="8"/>
      <c r="AA104" s="8"/>
      <c r="AB104" s="8"/>
      <c r="AC104" s="8"/>
      <c r="AD104" s="8"/>
    </row>
    <row r="105" spans="1:30" ht="15">
      <c r="A105" s="58"/>
      <c r="B105" s="69">
        <v>74</v>
      </c>
      <c r="C105" s="43" t="s">
        <v>302</v>
      </c>
      <c r="D105" s="69">
        <v>0.110802997201042</v>
      </c>
      <c r="E105" s="43">
        <f t="shared" si="4"/>
        <v>0.29102646767169615</v>
      </c>
      <c r="F105" s="71">
        <f t="shared" si="5"/>
        <v>29.102646767169617</v>
      </c>
      <c r="G105" s="84">
        <f t="shared" si="6"/>
        <v>297.72007642814515</v>
      </c>
      <c r="H105" s="43"/>
      <c r="I105" s="185">
        <f t="shared" si="8"/>
        <v>19072.419558864607</v>
      </c>
      <c r="J105" s="8"/>
      <c r="K105" s="8"/>
      <c r="L105" s="8"/>
      <c r="M105" s="8"/>
      <c r="N105" s="8"/>
      <c r="O105" s="8"/>
      <c r="P105" s="8"/>
      <c r="Q105" s="8"/>
      <c r="R105" s="8"/>
      <c r="S105" s="8"/>
      <c r="T105" s="8"/>
      <c r="U105" s="8"/>
      <c r="V105" s="8"/>
      <c r="W105" s="8"/>
      <c r="X105" s="8"/>
      <c r="Y105" s="8"/>
      <c r="Z105" s="8"/>
      <c r="AA105" s="8"/>
      <c r="AB105" s="8"/>
      <c r="AC105" s="8"/>
      <c r="AD105" s="8"/>
    </row>
    <row r="106" spans="1:30" ht="15">
      <c r="A106" s="58"/>
      <c r="B106" s="69">
        <v>75</v>
      </c>
      <c r="C106" s="43" t="s">
        <v>303</v>
      </c>
      <c r="D106" s="69">
        <v>0.11875571196956</v>
      </c>
      <c r="E106" s="43">
        <f t="shared" si="4"/>
        <v>0.29693288844127524</v>
      </c>
      <c r="F106" s="71">
        <f t="shared" si="5"/>
        <v>29.693288844127526</v>
      </c>
      <c r="G106" s="84">
        <f t="shared" si="6"/>
        <v>303.76234487542456</v>
      </c>
      <c r="H106" s="43"/>
      <c r="I106" s="185">
        <f t="shared" si="8"/>
        <v>19459.496843998972</v>
      </c>
      <c r="J106" s="8"/>
      <c r="K106" s="8"/>
      <c r="L106" s="8"/>
      <c r="M106" s="8"/>
      <c r="N106" s="8"/>
      <c r="O106" s="8"/>
      <c r="P106" s="8"/>
      <c r="Q106" s="8"/>
      <c r="R106" s="8"/>
      <c r="S106" s="8"/>
      <c r="T106" s="8"/>
      <c r="U106" s="8"/>
      <c r="V106" s="8"/>
      <c r="W106" s="8"/>
      <c r="X106" s="8"/>
      <c r="Y106" s="8"/>
      <c r="Z106" s="8"/>
      <c r="AA106" s="8"/>
      <c r="AB106" s="8"/>
      <c r="AC106" s="8"/>
      <c r="AD106" s="8"/>
    </row>
    <row r="107" spans="1:30" ht="15">
      <c r="A107" s="58"/>
      <c r="B107" s="69">
        <v>76</v>
      </c>
      <c r="C107" s="43" t="s">
        <v>304</v>
      </c>
      <c r="D107" s="69">
        <v>0.12727922061357799</v>
      </c>
      <c r="E107" s="43">
        <f t="shared" si="4"/>
        <v>0.30288923761549519</v>
      </c>
      <c r="F107" s="71">
        <f t="shared" si="5"/>
        <v>30.288923761549519</v>
      </c>
      <c r="G107" s="84">
        <f t="shared" si="6"/>
        <v>309.85569008065158</v>
      </c>
      <c r="H107" s="43"/>
      <c r="I107" s="185">
        <f t="shared" si="8"/>
        <v>19849.846187131476</v>
      </c>
      <c r="J107" s="8"/>
      <c r="K107" s="8"/>
      <c r="L107" s="8"/>
      <c r="M107" s="8"/>
      <c r="N107" s="8"/>
      <c r="O107" s="8"/>
      <c r="P107" s="8"/>
      <c r="Q107" s="8"/>
      <c r="R107" s="8"/>
      <c r="S107" s="8"/>
      <c r="T107" s="8"/>
      <c r="U107" s="8"/>
      <c r="V107" s="8"/>
      <c r="W107" s="8"/>
      <c r="X107" s="8"/>
      <c r="Y107" s="8"/>
      <c r="Z107" s="8"/>
      <c r="AA107" s="8"/>
      <c r="AB107" s="8"/>
      <c r="AC107" s="8"/>
      <c r="AD107" s="8"/>
    </row>
    <row r="108" spans="1:30" ht="15">
      <c r="A108" s="58"/>
      <c r="B108" s="69">
        <v>77</v>
      </c>
      <c r="C108" s="43" t="s">
        <v>305</v>
      </c>
      <c r="D108" s="69">
        <v>0.136414490985935</v>
      </c>
      <c r="E108" s="43">
        <f t="shared" si="4"/>
        <v>0.30889293914777294</v>
      </c>
      <c r="F108" s="71">
        <f t="shared" si="5"/>
        <v>30.889293914777294</v>
      </c>
      <c r="G108" s="84">
        <f t="shared" si="6"/>
        <v>315.99747674817172</v>
      </c>
      <c r="H108" s="43"/>
      <c r="I108" s="185">
        <f t="shared" si="8"/>
        <v>20243.298767049298</v>
      </c>
      <c r="J108" s="8"/>
      <c r="K108" s="8"/>
      <c r="L108" s="8"/>
      <c r="M108" s="8"/>
      <c r="N108" s="8"/>
      <c r="O108" s="8"/>
      <c r="P108" s="8"/>
      <c r="Q108" s="8"/>
      <c r="R108" s="8"/>
      <c r="S108" s="8"/>
      <c r="T108" s="8"/>
      <c r="U108" s="8"/>
      <c r="V108" s="8"/>
      <c r="W108" s="8"/>
      <c r="X108" s="8"/>
      <c r="Y108" s="8"/>
      <c r="Z108" s="8"/>
      <c r="AA108" s="8"/>
      <c r="AB108" s="8"/>
      <c r="AC108" s="8"/>
      <c r="AD108" s="8"/>
    </row>
    <row r="109" spans="1:30" ht="15">
      <c r="A109" s="58"/>
      <c r="B109" s="69">
        <v>78</v>
      </c>
      <c r="C109" s="43" t="s">
        <v>306</v>
      </c>
      <c r="D109" s="69">
        <v>0.14620543134412201</v>
      </c>
      <c r="E109" s="43">
        <f t="shared" si="4"/>
        <v>0.31494150623833206</v>
      </c>
      <c r="F109" s="71">
        <f t="shared" si="5"/>
        <v>31.494150623833207</v>
      </c>
      <c r="G109" s="84">
        <f t="shared" si="6"/>
        <v>322.18516088181372</v>
      </c>
      <c r="H109" s="43"/>
      <c r="I109" s="185">
        <f t="shared" si="8"/>
        <v>20639.69161132909</v>
      </c>
      <c r="J109" s="8"/>
      <c r="K109" s="8"/>
      <c r="L109" s="8"/>
      <c r="M109" s="8"/>
      <c r="N109" s="8"/>
      <c r="O109" s="8"/>
      <c r="P109" s="8"/>
      <c r="Q109" s="8"/>
      <c r="R109" s="8"/>
      <c r="S109" s="8"/>
      <c r="T109" s="8"/>
      <c r="U109" s="8"/>
      <c r="V109" s="8"/>
      <c r="W109" s="8"/>
      <c r="X109" s="8"/>
      <c r="Y109" s="8"/>
      <c r="Z109" s="8"/>
      <c r="AA109" s="8"/>
      <c r="AB109" s="8"/>
      <c r="AC109" s="8"/>
      <c r="AD109" s="8"/>
    </row>
    <row r="110" spans="1:30" ht="15">
      <c r="A110" s="58"/>
      <c r="B110" s="69">
        <v>79</v>
      </c>
      <c r="C110" s="43" t="s">
        <v>307</v>
      </c>
      <c r="D110" s="69">
        <v>0.15669910139330201</v>
      </c>
      <c r="E110" s="43">
        <f t="shared" si="4"/>
        <v>0.32103254352398397</v>
      </c>
      <c r="F110" s="71">
        <f t="shared" si="5"/>
        <v>32.103254352398395</v>
      </c>
      <c r="G110" s="84">
        <f t="shared" si="6"/>
        <v>328.4162920250356</v>
      </c>
      <c r="H110" s="43"/>
      <c r="I110" s="185">
        <f t="shared" si="8"/>
        <v>21038.867739844289</v>
      </c>
      <c r="J110" s="8"/>
      <c r="K110" s="8"/>
      <c r="L110" s="8"/>
      <c r="M110" s="8"/>
      <c r="N110" s="8"/>
      <c r="O110" s="8"/>
      <c r="P110" s="8"/>
      <c r="Q110" s="8"/>
      <c r="R110" s="8"/>
      <c r="S110" s="8"/>
      <c r="T110" s="8"/>
      <c r="U110" s="8"/>
      <c r="V110" s="8"/>
      <c r="W110" s="8"/>
      <c r="X110" s="8"/>
      <c r="Y110" s="8"/>
      <c r="Z110" s="8"/>
      <c r="AA110" s="8"/>
      <c r="AB110" s="8"/>
      <c r="AC110" s="8"/>
      <c r="AD110" s="8"/>
    </row>
    <row r="111" spans="1:30" ht="15">
      <c r="A111" s="58"/>
      <c r="B111" s="69">
        <v>80</v>
      </c>
      <c r="C111" s="43" t="s">
        <v>85</v>
      </c>
      <c r="D111" s="69">
        <v>0.16794593847662501</v>
      </c>
      <c r="E111" s="43">
        <f t="shared" si="4"/>
        <v>0.32716374846733259</v>
      </c>
      <c r="F111" s="71">
        <f t="shared" si="5"/>
        <v>32.71637484673326</v>
      </c>
      <c r="G111" s="84">
        <f t="shared" si="6"/>
        <v>334.68851468208123</v>
      </c>
      <c r="H111" s="43"/>
      <c r="I111" s="185">
        <f t="shared" si="8"/>
        <v>21440.67625580664</v>
      </c>
      <c r="J111" s="8"/>
      <c r="K111" s="8"/>
      <c r="L111" s="8"/>
      <c r="M111" s="8"/>
      <c r="N111" s="8"/>
      <c r="O111" s="8"/>
      <c r="P111" s="8"/>
      <c r="Q111" s="8"/>
      <c r="R111" s="8"/>
      <c r="S111" s="8"/>
      <c r="T111" s="8"/>
      <c r="U111" s="8"/>
      <c r="V111" s="8"/>
      <c r="W111" s="8"/>
      <c r="X111" s="8"/>
      <c r="Y111" s="8"/>
      <c r="Z111" s="8"/>
      <c r="AA111" s="8"/>
      <c r="AB111" s="8"/>
      <c r="AC111" s="8"/>
      <c r="AD111" s="8"/>
    </row>
    <row r="112" spans="1:30" ht="15">
      <c r="A112" s="58"/>
      <c r="B112" s="69">
        <v>81</v>
      </c>
      <c r="C112" s="43" t="s">
        <v>308</v>
      </c>
      <c r="D112" s="69">
        <v>0.18</v>
      </c>
      <c r="E112" s="43">
        <f t="shared" si="4"/>
        <v>0.33333291202599186</v>
      </c>
      <c r="F112" s="71">
        <f t="shared" si="5"/>
        <v>33.333291202599185</v>
      </c>
      <c r="G112" s="84">
        <f t="shared" si="6"/>
        <v>340.99956900258968</v>
      </c>
      <c r="H112" s="43"/>
      <c r="I112" s="185">
        <f t="shared" si="8"/>
        <v>21844.972389623377</v>
      </c>
      <c r="J112" s="8"/>
      <c r="K112" s="8"/>
      <c r="L112" s="8"/>
      <c r="M112" s="8"/>
      <c r="N112" s="8"/>
      <c r="O112" s="8"/>
      <c r="P112" s="8"/>
      <c r="Q112" s="8"/>
      <c r="R112" s="8"/>
      <c r="S112" s="8"/>
      <c r="T112" s="8"/>
      <c r="U112" s="8"/>
      <c r="V112" s="8"/>
      <c r="W112" s="8"/>
      <c r="X112" s="8"/>
      <c r="Y112" s="8"/>
      <c r="Z112" s="8"/>
      <c r="AA112" s="8"/>
      <c r="AB112" s="8"/>
      <c r="AC112" s="8"/>
      <c r="AD112" s="8"/>
    </row>
    <row r="113" spans="1:30" ht="15">
      <c r="A113" s="58"/>
      <c r="B113" s="69">
        <v>82</v>
      </c>
      <c r="C113" s="43" t="s">
        <v>309</v>
      </c>
      <c r="D113" s="69">
        <v>0.19291922325653199</v>
      </c>
      <c r="E113" s="43">
        <f t="shared" si="4"/>
        <v>0.33953791868077265</v>
      </c>
      <c r="F113" s="71">
        <f t="shared" si="5"/>
        <v>33.953791868077268</v>
      </c>
      <c r="G113" s="84">
        <f t="shared" si="6"/>
        <v>347.34729081043042</v>
      </c>
      <c r="H113" s="43"/>
      <c r="I113" s="185">
        <f t="shared" si="8"/>
        <v>22251.617500744436</v>
      </c>
      <c r="J113" s="8"/>
      <c r="K113" s="8"/>
      <c r="L113" s="8"/>
      <c r="M113" s="8"/>
      <c r="N113" s="8"/>
      <c r="O113" s="8"/>
      <c r="P113" s="8"/>
      <c r="Q113" s="8"/>
      <c r="R113" s="8"/>
      <c r="S113" s="8"/>
      <c r="T113" s="8"/>
      <c r="U113" s="8"/>
      <c r="V113" s="8"/>
      <c r="W113" s="8"/>
      <c r="X113" s="8"/>
      <c r="Y113" s="8"/>
      <c r="Z113" s="8"/>
      <c r="AA113" s="8"/>
      <c r="AB113" s="8"/>
      <c r="AC113" s="8"/>
      <c r="AD113" s="8"/>
    </row>
    <row r="114" spans="1:30" ht="15">
      <c r="A114" s="58"/>
      <c r="B114" s="69">
        <v>83</v>
      </c>
      <c r="C114" s="43" t="s">
        <v>87</v>
      </c>
      <c r="D114" s="69">
        <v>0.206765703899466</v>
      </c>
      <c r="E114" s="43">
        <f t="shared" si="4"/>
        <v>0.34577674589909208</v>
      </c>
      <c r="F114" s="71">
        <f t="shared" si="5"/>
        <v>34.577674589909208</v>
      </c>
      <c r="G114" s="84">
        <f t="shared" si="6"/>
        <v>353.72961105477117</v>
      </c>
      <c r="H114" s="43"/>
      <c r="I114" s="185">
        <f t="shared" si="8"/>
        <v>22660.479042496998</v>
      </c>
      <c r="J114" s="8"/>
      <c r="K114" s="8"/>
      <c r="L114" s="8"/>
      <c r="M114" s="8"/>
      <c r="N114" s="8"/>
      <c r="O114" s="8"/>
      <c r="P114" s="8"/>
      <c r="Q114" s="8"/>
      <c r="R114" s="8"/>
      <c r="S114" s="8"/>
      <c r="T114" s="8"/>
      <c r="U114" s="8"/>
      <c r="V114" s="8"/>
      <c r="W114" s="8"/>
      <c r="X114" s="8"/>
      <c r="Y114" s="8"/>
      <c r="Z114" s="8"/>
      <c r="AA114" s="8"/>
      <c r="AB114" s="8"/>
      <c r="AC114" s="8"/>
      <c r="AD114" s="8"/>
    </row>
    <row r="115" spans="1:30" ht="15">
      <c r="A115" s="58"/>
      <c r="B115" s="69">
        <v>84</v>
      </c>
      <c r="C115" s="43" t="s">
        <v>310</v>
      </c>
      <c r="D115" s="69">
        <v>0.22160599440208401</v>
      </c>
      <c r="E115" s="43">
        <f t="shared" si="4"/>
        <v>0.35204746310630525</v>
      </c>
      <c r="F115" s="71">
        <f t="shared" si="5"/>
        <v>35.204746310630526</v>
      </c>
      <c r="G115" s="84">
        <f t="shared" si="6"/>
        <v>360.14455475775026</v>
      </c>
      <c r="H115" s="43"/>
      <c r="I115" s="185">
        <f t="shared" si="8"/>
        <v>23071.430494671713</v>
      </c>
      <c r="J115" s="8"/>
      <c r="K115" s="8"/>
      <c r="L115" s="8"/>
      <c r="M115" s="8"/>
      <c r="N115" s="8"/>
      <c r="O115" s="8"/>
      <c r="P115" s="8"/>
      <c r="Q115" s="8"/>
      <c r="R115" s="8"/>
      <c r="S115" s="8"/>
      <c r="T115" s="8"/>
      <c r="U115" s="8"/>
      <c r="V115" s="8"/>
      <c r="W115" s="8"/>
      <c r="X115" s="8"/>
      <c r="Y115" s="8"/>
      <c r="Z115" s="8"/>
      <c r="AA115" s="8"/>
      <c r="AB115" s="8"/>
      <c r="AC115" s="8"/>
      <c r="AD115" s="8"/>
    </row>
    <row r="116" spans="1:30" ht="15">
      <c r="A116" s="58"/>
      <c r="B116" s="69">
        <v>85</v>
      </c>
      <c r="C116" s="43" t="s">
        <v>311</v>
      </c>
      <c r="D116" s="69">
        <v>0.23751142393912</v>
      </c>
      <c r="E116" s="43">
        <f t="shared" si="4"/>
        <v>0.35834823023353479</v>
      </c>
      <c r="F116" s="71">
        <f t="shared" si="5"/>
        <v>35.834823023353479</v>
      </c>
      <c r="G116" s="84">
        <f t="shared" si="6"/>
        <v>366.59023952890607</v>
      </c>
      <c r="H116" s="43"/>
      <c r="I116" s="185">
        <f t="shared" si="8"/>
        <v>23484.351268354701</v>
      </c>
      <c r="J116" s="8"/>
      <c r="K116" s="8"/>
      <c r="L116" s="8"/>
      <c r="M116" s="8"/>
      <c r="N116" s="8"/>
      <c r="O116" s="8"/>
      <c r="P116" s="8"/>
      <c r="Q116" s="8"/>
      <c r="R116" s="8"/>
      <c r="S116" s="8"/>
      <c r="T116" s="8"/>
      <c r="U116" s="8"/>
      <c r="V116" s="8"/>
      <c r="W116" s="8"/>
      <c r="X116" s="8"/>
      <c r="Y116" s="8"/>
      <c r="Z116" s="8"/>
      <c r="AA116" s="8"/>
      <c r="AB116" s="8"/>
      <c r="AC116" s="8"/>
      <c r="AD116" s="8"/>
    </row>
    <row r="117" spans="1:30" ht="15">
      <c r="A117" s="58"/>
      <c r="B117" s="69">
        <v>86</v>
      </c>
      <c r="C117" s="43" t="s">
        <v>312</v>
      </c>
      <c r="D117" s="69">
        <v>0.25455844122715698</v>
      </c>
      <c r="E117" s="43">
        <f t="shared" si="4"/>
        <v>0.3646772959059677</v>
      </c>
      <c r="F117" s="71">
        <f t="shared" si="5"/>
        <v>36.467729590596768</v>
      </c>
      <c r="G117" s="84">
        <f t="shared" si="6"/>
        <v>373.06487371180498</v>
      </c>
      <c r="H117" s="43"/>
      <c r="I117" s="185">
        <f t="shared" si="8"/>
        <v>23899.126587197592</v>
      </c>
      <c r="J117" s="8"/>
      <c r="K117" s="8"/>
      <c r="L117" s="8"/>
      <c r="M117" s="8"/>
      <c r="N117" s="8"/>
      <c r="O117" s="8"/>
      <c r="P117" s="8"/>
      <c r="Q117" s="8"/>
      <c r="R117" s="8"/>
      <c r="S117" s="8"/>
      <c r="T117" s="8"/>
      <c r="U117" s="8"/>
      <c r="V117" s="8"/>
      <c r="W117" s="8"/>
      <c r="X117" s="8"/>
      <c r="Y117" s="8"/>
      <c r="Z117" s="8"/>
      <c r="AA117" s="8"/>
      <c r="AB117" s="8"/>
      <c r="AC117" s="8"/>
      <c r="AD117" s="8"/>
    </row>
    <row r="118" spans="1:30" ht="15">
      <c r="A118" s="58"/>
      <c r="B118" s="69">
        <v>87</v>
      </c>
      <c r="C118" s="43" t="s">
        <v>313</v>
      </c>
      <c r="D118" s="69">
        <v>0.272828981971871</v>
      </c>
      <c r="E118" s="43">
        <f t="shared" si="4"/>
        <v>0.37103299533077944</v>
      </c>
      <c r="F118" s="71">
        <f t="shared" si="5"/>
        <v>37.103299533077944</v>
      </c>
      <c r="G118" s="84">
        <f t="shared" si="6"/>
        <v>379.56675422338736</v>
      </c>
      <c r="H118" s="43"/>
      <c r="I118" s="185">
        <f t="shared" si="8"/>
        <v>24315.647349002629</v>
      </c>
      <c r="J118" s="8"/>
      <c r="K118" s="8"/>
      <c r="L118" s="8"/>
      <c r="M118" s="8"/>
      <c r="N118" s="8"/>
      <c r="O118" s="8"/>
      <c r="P118" s="8"/>
      <c r="Q118" s="8"/>
      <c r="R118" s="8"/>
      <c r="S118" s="8"/>
      <c r="T118" s="8"/>
      <c r="U118" s="8"/>
      <c r="V118" s="8"/>
      <c r="W118" s="8"/>
      <c r="X118" s="8"/>
      <c r="Y118" s="8"/>
      <c r="Z118" s="8"/>
      <c r="AA118" s="8"/>
      <c r="AB118" s="8"/>
      <c r="AC118" s="8"/>
      <c r="AD118" s="8"/>
    </row>
    <row r="119" spans="1:30" ht="15">
      <c r="A119" s="58"/>
      <c r="B119" s="69">
        <v>88</v>
      </c>
      <c r="C119" s="43" t="s">
        <v>314</v>
      </c>
      <c r="D119" s="69">
        <v>0.29241086268824401</v>
      </c>
      <c r="E119" s="43">
        <f t="shared" si="4"/>
        <v>0.37741374793888099</v>
      </c>
      <c r="F119" s="71">
        <f t="shared" si="5"/>
        <v>37.741374793888099</v>
      </c>
      <c r="G119" s="84">
        <f t="shared" si="6"/>
        <v>386.09426414147526</v>
      </c>
      <c r="H119" s="43"/>
      <c r="I119" s="185">
        <f t="shared" si="8"/>
        <v>24733.809971174567</v>
      </c>
      <c r="J119" s="8"/>
      <c r="K119" s="8"/>
      <c r="L119" s="8"/>
      <c r="M119" s="8"/>
      <c r="N119" s="8"/>
      <c r="O119" s="8"/>
      <c r="P119" s="8"/>
      <c r="Q119" s="8"/>
      <c r="R119" s="8"/>
      <c r="S119" s="8"/>
      <c r="T119" s="8"/>
      <c r="U119" s="8"/>
      <c r="V119" s="8"/>
      <c r="W119" s="8"/>
      <c r="X119" s="8"/>
      <c r="Y119" s="8"/>
      <c r="Z119" s="8"/>
      <c r="AA119" s="8"/>
      <c r="AB119" s="8"/>
      <c r="AC119" s="8"/>
      <c r="AD119" s="8"/>
    </row>
    <row r="120" spans="1:30" ht="15">
      <c r="A120" s="58"/>
      <c r="B120" s="69">
        <v>89</v>
      </c>
      <c r="C120" s="43" t="s">
        <v>315</v>
      </c>
      <c r="D120" s="69">
        <v>0.31339820278660402</v>
      </c>
      <c r="E120" s="43">
        <f t="shared" si="4"/>
        <v>0.38381805482971637</v>
      </c>
      <c r="F120" s="71">
        <f t="shared" si="5"/>
        <v>38.381805482971636</v>
      </c>
      <c r="G120" s="84">
        <f t="shared" si="6"/>
        <v>392.64587009079986</v>
      </c>
      <c r="H120" s="43"/>
      <c r="I120" s="185">
        <f t="shared" si="8"/>
        <v>25153.516223265462</v>
      </c>
      <c r="J120" s="8"/>
      <c r="K120" s="8"/>
      <c r="L120" s="8"/>
      <c r="M120" s="8"/>
      <c r="N120" s="8"/>
      <c r="O120" s="8"/>
      <c r="P120" s="8"/>
      <c r="Q120" s="8"/>
      <c r="R120" s="8"/>
      <c r="S120" s="8"/>
      <c r="T120" s="8"/>
      <c r="U120" s="8"/>
      <c r="V120" s="8"/>
      <c r="W120" s="8"/>
      <c r="X120" s="8"/>
      <c r="Y120" s="8"/>
      <c r="Z120" s="8"/>
      <c r="AA120" s="8"/>
      <c r="AB120" s="8"/>
      <c r="AC120" s="8"/>
      <c r="AD120" s="8"/>
    </row>
    <row r="121" spans="1:30" ht="15">
      <c r="A121" s="58"/>
      <c r="B121" s="69">
        <v>90</v>
      </c>
      <c r="C121" s="43" t="s">
        <v>316</v>
      </c>
      <c r="D121" s="69">
        <v>0.33589187695325001</v>
      </c>
      <c r="E121" s="43">
        <f t="shared" si="4"/>
        <v>0.39024449606347777</v>
      </c>
      <c r="F121" s="71">
        <f t="shared" si="5"/>
        <v>39.02444960634778</v>
      </c>
      <c r="G121" s="84">
        <f t="shared" si="6"/>
        <v>399.22011947293777</v>
      </c>
      <c r="H121" s="43"/>
      <c r="I121" s="185">
        <f t="shared" si="8"/>
        <v>25574.673049520017</v>
      </c>
      <c r="J121" s="8"/>
      <c r="K121" s="8"/>
      <c r="L121" s="8"/>
      <c r="M121" s="8"/>
      <c r="N121" s="8"/>
      <c r="O121" s="8"/>
      <c r="P121" s="8"/>
      <c r="Q121" s="8"/>
      <c r="R121" s="8"/>
      <c r="S121" s="8"/>
      <c r="T121" s="8"/>
      <c r="U121" s="8"/>
      <c r="V121" s="8"/>
      <c r="W121" s="8"/>
      <c r="X121" s="8"/>
      <c r="Y121" s="8"/>
      <c r="Z121" s="8"/>
      <c r="AA121" s="8"/>
      <c r="AB121" s="8"/>
      <c r="AC121" s="8"/>
      <c r="AD121" s="8"/>
    </row>
    <row r="122" spans="1:30" ht="15">
      <c r="A122" s="58"/>
      <c r="B122" s="69">
        <v>91</v>
      </c>
      <c r="C122" s="43" t="s">
        <v>317</v>
      </c>
      <c r="D122" s="69">
        <v>0.36</v>
      </c>
      <c r="E122" s="43">
        <f t="shared" si="4"/>
        <v>0.39669172784038137</v>
      </c>
      <c r="F122" s="71">
        <f t="shared" si="5"/>
        <v>39.669172784038139</v>
      </c>
      <c r="G122" s="84">
        <f t="shared" si="6"/>
        <v>405.81563758071013</v>
      </c>
      <c r="H122" s="43"/>
      <c r="I122" s="185">
        <f t="shared" si="8"/>
        <v>25997.192384019392</v>
      </c>
      <c r="J122" s="8"/>
      <c r="K122" s="8"/>
      <c r="L122" s="8"/>
      <c r="M122" s="8"/>
      <c r="N122" s="8"/>
      <c r="O122" s="8"/>
      <c r="P122" s="8"/>
      <c r="Q122" s="8"/>
      <c r="R122" s="8"/>
      <c r="S122" s="8"/>
      <c r="T122" s="8"/>
      <c r="U122" s="8"/>
      <c r="V122" s="8"/>
      <c r="W122" s="8"/>
      <c r="X122" s="8"/>
      <c r="Y122" s="8"/>
      <c r="Z122" s="8"/>
      <c r="AA122" s="8"/>
      <c r="AB122" s="8"/>
      <c r="AC122" s="8"/>
      <c r="AD122" s="8"/>
    </row>
    <row r="123" spans="1:30" ht="15">
      <c r="A123" s="58"/>
      <c r="B123" s="69">
        <v>92</v>
      </c>
      <c r="C123" s="43" t="s">
        <v>318</v>
      </c>
      <c r="D123" s="69">
        <v>0.38583844651306498</v>
      </c>
      <c r="E123" s="43">
        <f t="shared" si="4"/>
        <v>0.40315847960214468</v>
      </c>
      <c r="F123" s="71">
        <f t="shared" si="5"/>
        <v>40.315847960214469</v>
      </c>
      <c r="G123" s="84">
        <f t="shared" si="6"/>
        <v>412.431124632994</v>
      </c>
      <c r="H123" s="43"/>
      <c r="I123" s="185">
        <f t="shared" si="8"/>
        <v>26420.990960726551</v>
      </c>
      <c r="J123" s="8"/>
      <c r="K123" s="8"/>
      <c r="L123" s="8"/>
      <c r="M123" s="8"/>
      <c r="N123" s="8"/>
      <c r="O123" s="8"/>
      <c r="P123" s="8"/>
      <c r="Q123" s="8"/>
      <c r="R123" s="8"/>
      <c r="S123" s="8"/>
      <c r="T123" s="8"/>
      <c r="U123" s="8"/>
      <c r="V123" s="8"/>
      <c r="W123" s="8"/>
      <c r="X123" s="8"/>
      <c r="Y123" s="8"/>
      <c r="Z123" s="8"/>
      <c r="AA123" s="8"/>
      <c r="AB123" s="8"/>
      <c r="AC123" s="8"/>
      <c r="AD123" s="8"/>
    </row>
    <row r="124" spans="1:30" ht="15">
      <c r="A124" s="58"/>
      <c r="B124" s="69">
        <v>93</v>
      </c>
      <c r="C124" s="43" t="s">
        <v>319</v>
      </c>
      <c r="D124" s="69">
        <v>0.41353140779893199</v>
      </c>
      <c r="E124" s="43">
        <f t="shared" si="4"/>
        <v>0.4096435510865663</v>
      </c>
      <c r="F124" s="71">
        <f t="shared" si="5"/>
        <v>40.964355108656633</v>
      </c>
      <c r="G124" s="84">
        <f t="shared" si="6"/>
        <v>419.06535276155734</v>
      </c>
      <c r="H124" s="43"/>
      <c r="I124" s="185">
        <f t="shared" si="8"/>
        <v>26845.990120458122</v>
      </c>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94</v>
      </c>
      <c r="C125" s="43" t="s">
        <v>320</v>
      </c>
      <c r="D125" s="69">
        <v>0.44321198880416901</v>
      </c>
      <c r="E125" s="43">
        <f t="shared" si="4"/>
        <v>0.41614580936212914</v>
      </c>
      <c r="F125" s="71">
        <f t="shared" si="5"/>
        <v>41.614580936212917</v>
      </c>
      <c r="G125" s="84">
        <f t="shared" si="6"/>
        <v>425.71716297745809</v>
      </c>
      <c r="H125" s="43"/>
      <c r="I125" s="185">
        <f t="shared" si="8"/>
        <v>27272.115616547133</v>
      </c>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95</v>
      </c>
      <c r="C126" s="43" t="s">
        <v>321</v>
      </c>
      <c r="D126" s="69">
        <v>0.47502284787824101</v>
      </c>
      <c r="E126" s="43">
        <f t="shared" si="4"/>
        <v>0.42266418586588561</v>
      </c>
      <c r="F126" s="71">
        <f t="shared" si="5"/>
        <v>42.266418586588564</v>
      </c>
      <c r="G126" s="84">
        <f t="shared" si="6"/>
        <v>432.385462140801</v>
      </c>
      <c r="H126" s="43"/>
      <c r="I126" s="185">
        <f t="shared" si="8"/>
        <v>27699.297420720814</v>
      </c>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96</v>
      </c>
      <c r="C127" s="43" t="s">
        <v>322</v>
      </c>
      <c r="D127" s="69">
        <v>0.50911688245431397</v>
      </c>
      <c r="E127" s="43">
        <f t="shared" si="4"/>
        <v>0.42919767346450338</v>
      </c>
      <c r="F127" s="71">
        <f t="shared" si="5"/>
        <v>42.919767346450335</v>
      </c>
      <c r="G127" s="84">
        <f t="shared" si="6"/>
        <v>439.06921995418696</v>
      </c>
      <c r="H127" s="43"/>
      <c r="I127" s="185">
        <f t="shared" si="8"/>
        <v>28127.46953049623</v>
      </c>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97</v>
      </c>
      <c r="C128" s="43" t="s">
        <v>323</v>
      </c>
      <c r="D128" s="69">
        <v>0.545657963943743</v>
      </c>
      <c r="E128" s="43">
        <f t="shared" si="4"/>
        <v>0.43574532355528145</v>
      </c>
      <c r="F128" s="71">
        <f t="shared" si="5"/>
        <v>43.574532355528142</v>
      </c>
      <c r="G128" s="84">
        <f t="shared" si="6"/>
        <v>445.76746599705291</v>
      </c>
      <c r="H128" s="43"/>
      <c r="I128" s="185">
        <f t="shared" si="8"/>
        <v>28556.569779195368</v>
      </c>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98</v>
      </c>
      <c r="C129" s="43" t="s">
        <v>324</v>
      </c>
      <c r="D129" s="69">
        <v>0.58482172537648902</v>
      </c>
      <c r="E129" s="43">
        <f t="shared" si="4"/>
        <v>0.44230624322117018</v>
      </c>
      <c r="F129" s="71">
        <f t="shared" si="5"/>
        <v>44.230624322117016</v>
      </c>
      <c r="G129" s="84">
        <f t="shared" si="6"/>
        <v>452.47928681525707</v>
      </c>
      <c r="H129" s="43"/>
      <c r="I129" s="185">
        <f t="shared" si="8"/>
        <v>28986.539649499387</v>
      </c>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99</v>
      </c>
      <c r="C130" s="43" t="s">
        <v>325</v>
      </c>
      <c r="D130" s="69">
        <v>0.62679640557320904</v>
      </c>
      <c r="E130" s="43">
        <f t="shared" si="4"/>
        <v>0.44887959245132919</v>
      </c>
      <c r="F130" s="71">
        <f t="shared" si="5"/>
        <v>44.887959245132919</v>
      </c>
      <c r="G130" s="84">
        <f t="shared" si="6"/>
        <v>459.20382307770979</v>
      </c>
      <c r="H130" s="43"/>
      <c r="I130" s="185">
        <f t="shared" si="8"/>
        <v>29417.324091297858</v>
      </c>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100</v>
      </c>
      <c r="C131" s="43" t="s">
        <v>326</v>
      </c>
      <c r="D131" s="69">
        <v>0.67178375390650102</v>
      </c>
      <c r="E131" s="43">
        <f t="shared" si="4"/>
        <v>0.45546458143653634</v>
      </c>
      <c r="F131" s="71">
        <f t="shared" si="5"/>
        <v>45.546458143653638</v>
      </c>
      <c r="G131" s="84">
        <f t="shared" si="6"/>
        <v>465.94026680957666</v>
      </c>
      <c r="H131" s="43"/>
      <c r="I131" s="185">
        <f t="shared" si="8"/>
        <v>29848.871344443411</v>
      </c>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101</v>
      </c>
      <c r="C132" s="43" t="s">
        <v>327</v>
      </c>
      <c r="D132" s="69">
        <v>0.72</v>
      </c>
      <c r="E132" s="43">
        <f t="shared" si="4"/>
        <v>0.46206046794678785</v>
      </c>
      <c r="F132" s="71">
        <f t="shared" si="5"/>
        <v>46.206046794678784</v>
      </c>
      <c r="G132" s="84">
        <f t="shared" si="6"/>
        <v>472.68785870956395</v>
      </c>
      <c r="H132" s="43"/>
      <c r="I132" s="185">
        <f t="shared" si="8"/>
        <v>30281.132766892741</v>
      </c>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102</v>
      </c>
      <c r="C133" s="43" t="s">
        <v>328</v>
      </c>
      <c r="D133" s="69">
        <v>0.77167689302613096</v>
      </c>
      <c r="E133" s="43">
        <f t="shared" si="4"/>
        <v>0.4686665547966915</v>
      </c>
      <c r="F133" s="71">
        <f t="shared" si="5"/>
        <v>46.866655479669149</v>
      </c>
      <c r="G133" s="84">
        <f t="shared" si="6"/>
        <v>479.4458855570154</v>
      </c>
      <c r="H133" s="43"/>
      <c r="I133" s="185">
        <f t="shared" si="8"/>
        <v>30714.062668601178</v>
      </c>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103</v>
      </c>
      <c r="C134" s="43" t="s">
        <v>329</v>
      </c>
      <c r="D134" s="69">
        <v>0.82706281559786499</v>
      </c>
      <c r="E134" s="43">
        <f t="shared" si="4"/>
        <v>0.47528218740273898</v>
      </c>
      <c r="F134" s="71">
        <f t="shared" si="5"/>
        <v>47.5282187402739</v>
      </c>
      <c r="G134" s="84">
        <f t="shared" si="6"/>
        <v>486.21367771300197</v>
      </c>
      <c r="H134" s="43"/>
      <c r="I134" s="185">
        <f t="shared" si="8"/>
        <v>31147.618151438499</v>
      </c>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104</v>
      </c>
      <c r="C135" s="43" t="s">
        <v>330</v>
      </c>
      <c r="D135" s="69">
        <v>0.88642397760833902</v>
      </c>
      <c r="E135" s="43">
        <f t="shared" si="4"/>
        <v>0.48190675143522521</v>
      </c>
      <c r="F135" s="71">
        <f t="shared" si="5"/>
        <v>48.190675143522519</v>
      </c>
      <c r="G135" s="84">
        <f t="shared" si="6"/>
        <v>492.99060671823537</v>
      </c>
      <c r="H135" s="43"/>
      <c r="I135" s="185">
        <f t="shared" si="8"/>
        <v>31581.758955307483</v>
      </c>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105</v>
      </c>
      <c r="C136" s="43" t="s">
        <v>331</v>
      </c>
      <c r="D136" s="69">
        <v>0.95004569575648301</v>
      </c>
      <c r="E136" s="43">
        <f t="shared" si="4"/>
        <v>0.48853967056644204</v>
      </c>
      <c r="F136" s="71">
        <f t="shared" si="5"/>
        <v>48.853967056644201</v>
      </c>
      <c r="G136" s="84">
        <f t="shared" si="6"/>
        <v>499.77608298947018</v>
      </c>
      <c r="H136" s="43"/>
      <c r="I136" s="185">
        <f t="shared" si="8"/>
        <v>32016.447310571781</v>
      </c>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106</v>
      </c>
      <c r="C137" s="43" t="s">
        <v>332</v>
      </c>
      <c r="D137" s="69">
        <v>1.0182337649086199</v>
      </c>
      <c r="E137" s="43">
        <f t="shared" si="4"/>
        <v>0.49518040431580718</v>
      </c>
      <c r="F137" s="71">
        <f t="shared" si="5"/>
        <v>49.518040431580715</v>
      </c>
      <c r="G137" s="84">
        <f t="shared" si="6"/>
        <v>506.56955361507073</v>
      </c>
      <c r="H137" s="43"/>
      <c r="I137" s="185">
        <f t="shared" si="8"/>
        <v>32451.647796836423</v>
      </c>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107</v>
      </c>
      <c r="C138" s="43" t="s">
        <v>333</v>
      </c>
      <c r="D138" s="69">
        <v>1.09131592788748</v>
      </c>
      <c r="E138" s="43">
        <f t="shared" si="4"/>
        <v>0.50182844599176246</v>
      </c>
      <c r="F138" s="71">
        <f t="shared" si="5"/>
        <v>50.182844599176249</v>
      </c>
      <c r="G138" s="84">
        <f t="shared" si="6"/>
        <v>513.37050024957296</v>
      </c>
      <c r="H138" s="43"/>
      <c r="I138" s="185">
        <f t="shared" si="8"/>
        <v>32887.32720807015</v>
      </c>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108</v>
      </c>
      <c r="C139" s="43" t="s">
        <v>334</v>
      </c>
      <c r="D139" s="69">
        <v>1.16964345075297</v>
      </c>
      <c r="E139" s="43">
        <f t="shared" si="4"/>
        <v>0.50848332072957414</v>
      </c>
      <c r="F139" s="71">
        <f t="shared" si="5"/>
        <v>50.848332072957412</v>
      </c>
      <c r="G139" s="84">
        <f t="shared" si="6"/>
        <v>520.17843710635429</v>
      </c>
      <c r="H139" s="43"/>
      <c r="I139" s="185">
        <f t="shared" si="8"/>
        <v>33323.454424012642</v>
      </c>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109</v>
      </c>
      <c r="C140" s="43" t="s">
        <v>335</v>
      </c>
      <c r="D140" s="69">
        <v>1.2535928111464101</v>
      </c>
      <c r="E140" s="43">
        <f t="shared" si="4"/>
        <v>0.51514458362361659</v>
      </c>
      <c r="F140" s="71">
        <f t="shared" si="5"/>
        <v>51.514458362361658</v>
      </c>
      <c r="G140" s="84">
        <f t="shared" si="6"/>
        <v>526.99290904695977</v>
      </c>
      <c r="H140" s="43"/>
      <c r="I140" s="185">
        <f t="shared" si="8"/>
        <v>33760.000287773713</v>
      </c>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110</v>
      </c>
      <c r="C141" s="43" t="s">
        <v>336</v>
      </c>
      <c r="D141" s="69">
        <v>1.3435675078130001</v>
      </c>
      <c r="E141" s="43">
        <f t="shared" si="4"/>
        <v>0.52181181795221787</v>
      </c>
      <c r="F141" s="71">
        <f t="shared" si="5"/>
        <v>52.181181795221789</v>
      </c>
      <c r="G141" s="84">
        <f t="shared" si="6"/>
        <v>533.8134897651189</v>
      </c>
      <c r="H141" s="43"/>
      <c r="I141" s="185">
        <f t="shared" si="8"/>
        <v>34196.937489498596</v>
      </c>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111</v>
      </c>
      <c r="C142" s="43" t="s">
        <v>337</v>
      </c>
      <c r="D142" s="69">
        <v>1.44</v>
      </c>
      <c r="E142" s="43">
        <f t="shared" si="4"/>
        <v>0.52848463349279107</v>
      </c>
      <c r="F142" s="71">
        <f t="shared" si="5"/>
        <v>52.848463349279108</v>
      </c>
      <c r="G142" s="84">
        <f t="shared" si="6"/>
        <v>540.63978006312527</v>
      </c>
      <c r="H142" s="43"/>
      <c r="I142" s="185">
        <f t="shared" si="8"/>
        <v>34634.240455950065</v>
      </c>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112</v>
      </c>
      <c r="C143" s="43" t="s">
        <v>338</v>
      </c>
      <c r="D143" s="69">
        <v>1.5433537860522599</v>
      </c>
      <c r="E143" s="43">
        <f t="shared" si="4"/>
        <v>0.53516266492466325</v>
      </c>
      <c r="F143" s="71">
        <f t="shared" si="5"/>
        <v>53.516266492466322</v>
      </c>
      <c r="G143" s="84">
        <f t="shared" si="6"/>
        <v>547.47140621793051</v>
      </c>
      <c r="H143" s="43"/>
      <c r="I143" s="185">
        <f t="shared" si="8"/>
        <v>35071.885245837802</v>
      </c>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113</v>
      </c>
      <c r="C144" s="43" t="s">
        <v>339</v>
      </c>
      <c r="D144" s="69">
        <v>1.65412563119573</v>
      </c>
      <c r="E144" s="43">
        <f t="shared" si="4"/>
        <v>0.54184557031678415</v>
      </c>
      <c r="F144" s="71">
        <f t="shared" si="5"/>
        <v>54.184557031678416</v>
      </c>
      <c r="G144" s="84">
        <f t="shared" si="6"/>
        <v>554.30801843407016</v>
      </c>
      <c r="H144" s="43"/>
      <c r="I144" s="185">
        <f t="shared" si="8"/>
        <v>35509.849450710448</v>
      </c>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114</v>
      </c>
      <c r="C145" s="43" t="s">
        <v>340</v>
      </c>
      <c r="D145" s="69">
        <v>1.77284795521667</v>
      </c>
      <c r="E145" s="43">
        <f t="shared" si="4"/>
        <v>0.54853302969732332</v>
      </c>
      <c r="F145" s="71">
        <f t="shared" si="5"/>
        <v>54.853302969732333</v>
      </c>
      <c r="G145" s="84">
        <f t="shared" si="6"/>
        <v>561.14928938036178</v>
      </c>
      <c r="H145" s="43"/>
      <c r="I145" s="185">
        <f t="shared" si="8"/>
        <v>35948.112101214087</v>
      </c>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115</v>
      </c>
      <c r="C146" s="43" t="s">
        <v>341</v>
      </c>
      <c r="D146" s="69">
        <v>1.90009139151296</v>
      </c>
      <c r="E146" s="43">
        <f t="shared" si="4"/>
        <v>0.5552247437020581</v>
      </c>
      <c r="F146" s="71">
        <f t="shared" si="5"/>
        <v>55.522474370205813</v>
      </c>
      <c r="G146" s="84">
        <f t="shared" si="6"/>
        <v>567.99491280720542</v>
      </c>
      <c r="H146" s="43"/>
      <c r="I146" s="185">
        <f t="shared" si="8"/>
        <v>36386.653578514379</v>
      </c>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116</v>
      </c>
      <c r="C147" s="43" t="s">
        <v>342</v>
      </c>
      <c r="D147" s="69">
        <v>2.0364675298172501</v>
      </c>
      <c r="E147" s="43">
        <f t="shared" si="4"/>
        <v>0.56192043229835364</v>
      </c>
      <c r="F147" s="71">
        <f t="shared" si="5"/>
        <v>56.192043229835363</v>
      </c>
      <c r="G147" s="84">
        <f t="shared" si="6"/>
        <v>574.84460224121574</v>
      </c>
      <c r="H147" s="43"/>
      <c r="I147" s="185">
        <f t="shared" si="8"/>
        <v>36825.455530672603</v>
      </c>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117</v>
      </c>
      <c r="C148" s="43" t="s">
        <v>343</v>
      </c>
      <c r="D148" s="69">
        <v>2.1826318557749702</v>
      </c>
      <c r="E148" s="43">
        <f t="shared" si="4"/>
        <v>0.56861983358153012</v>
      </c>
      <c r="F148" s="71">
        <f t="shared" si="5"/>
        <v>56.861983358153012</v>
      </c>
      <c r="G148" s="84">
        <f t="shared" si="6"/>
        <v>581.69808975390526</v>
      </c>
      <c r="H148" s="43"/>
      <c r="I148" s="185">
        <f t="shared" si="8"/>
        <v>37264.500793765576</v>
      </c>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118</v>
      </c>
      <c r="C149" s="43" t="s">
        <v>344</v>
      </c>
      <c r="D149" s="69">
        <v>2.3392869015059499</v>
      </c>
      <c r="E149" s="43">
        <f t="shared" si="4"/>
        <v>0.57532270264037888</v>
      </c>
      <c r="F149" s="71">
        <f t="shared" si="5"/>
        <v>57.532270264037891</v>
      </c>
      <c r="G149" s="84">
        <f t="shared" si="6"/>
        <v>588.55512480110758</v>
      </c>
      <c r="H149" s="43"/>
      <c r="I149" s="185">
        <f t="shared" si="8"/>
        <v>37703.773317537227</v>
      </c>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119</v>
      </c>
      <c r="C150" s="43" t="s">
        <v>345</v>
      </c>
      <c r="D150" s="69">
        <v>2.5071856222928299</v>
      </c>
      <c r="E150" s="43">
        <f t="shared" si="4"/>
        <v>0.58202881048862543</v>
      </c>
      <c r="F150" s="71">
        <f t="shared" si="5"/>
        <v>58.202881048862544</v>
      </c>
      <c r="G150" s="84">
        <f t="shared" si="6"/>
        <v>595.41547312986381</v>
      </c>
      <c r="H150" s="43"/>
      <c r="I150" s="185">
        <f t="shared" si="8"/>
        <v>38143.258095372068</v>
      </c>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120</v>
      </c>
      <c r="C151" s="43" t="s">
        <v>346</v>
      </c>
      <c r="D151" s="69">
        <v>2.6871350156260001</v>
      </c>
      <c r="E151" s="43">
        <f t="shared" si="4"/>
        <v>0.58873794305916749</v>
      </c>
      <c r="F151" s="71">
        <f t="shared" si="5"/>
        <v>58.873794305916746</v>
      </c>
      <c r="G151" s="84">
        <f t="shared" si="6"/>
        <v>602.27891574952832</v>
      </c>
      <c r="H151" s="43"/>
      <c r="I151" s="185">
        <f t="shared" si="8"/>
        <v>38582.941098382544</v>
      </c>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121</v>
      </c>
      <c r="C152" s="43" t="s">
        <v>347</v>
      </c>
      <c r="D152" s="69">
        <v>2.88</v>
      </c>
      <c r="E152" s="43">
        <f t="shared" si="4"/>
        <v>0.59544990025798716</v>
      </c>
      <c r="F152" s="71">
        <f t="shared" si="5"/>
        <v>59.544990025798718</v>
      </c>
      <c r="G152" s="84">
        <f t="shared" si="6"/>
        <v>609.14524796392084</v>
      </c>
      <c r="H152" s="43"/>
      <c r="I152" s="185">
        <f t="shared" si="8"/>
        <v>39022.809213407192</v>
      </c>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122</v>
      </c>
      <c r="C153" s="43" t="s">
        <v>348</v>
      </c>
      <c r="D153" s="69">
        <v>3.0867075721045198</v>
      </c>
      <c r="E153" s="43">
        <f t="shared" si="4"/>
        <v>0.60216449507469882</v>
      </c>
      <c r="F153" s="71">
        <f t="shared" si="5"/>
        <v>60.216449507469882</v>
      </c>
      <c r="G153" s="84">
        <f t="shared" si="6"/>
        <v>616.01427846141689</v>
      </c>
      <c r="H153" s="43"/>
      <c r="I153" s="185">
        <f t="shared" si="8"/>
        <v>39462.850184720388</v>
      </c>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123</v>
      </c>
      <c r="C154" s="43" t="s">
        <v>349</v>
      </c>
      <c r="D154" s="69">
        <v>3.3082512623914599</v>
      </c>
      <c r="E154" s="43">
        <f t="shared" si="4"/>
        <v>0.60888155274678735</v>
      </c>
      <c r="F154" s="71">
        <f t="shared" si="5"/>
        <v>60.888155274678738</v>
      </c>
      <c r="G154" s="84">
        <f t="shared" si="6"/>
        <v>622.88582845996348</v>
      </c>
      <c r="H154" s="43"/>
      <c r="I154" s="185">
        <f t="shared" si="8"/>
        <v>39903.052559260708</v>
      </c>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124</v>
      </c>
      <c r="C155" s="43" t="s">
        <v>350</v>
      </c>
      <c r="D155" s="69">
        <v>3.5456959104333499</v>
      </c>
      <c r="E155" s="43">
        <f t="shared" si="4"/>
        <v>0.61560090997467387</v>
      </c>
      <c r="F155" s="71">
        <f t="shared" si="5"/>
        <v>61.560090997467384</v>
      </c>
      <c r="G155" s="84">
        <f t="shared" si="6"/>
        <v>629.75973090409138</v>
      </c>
      <c r="H155" s="43"/>
      <c r="I155" s="185">
        <f t="shared" si="8"/>
        <v>40343.405635190255</v>
      </c>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125</v>
      </c>
      <c r="C156" s="43" t="s">
        <v>351</v>
      </c>
      <c r="D156" s="69">
        <v>3.8001827830259298</v>
      </c>
      <c r="E156" s="43">
        <f t="shared" si="4"/>
        <v>0.62232241418486212</v>
      </c>
      <c r="F156" s="71">
        <f t="shared" si="5"/>
        <v>62.232241418486211</v>
      </c>
      <c r="G156" s="84">
        <f t="shared" si="6"/>
        <v>636.63582971111396</v>
      </c>
      <c r="H156" s="43"/>
      <c r="I156" s="185">
        <f t="shared" si="8"/>
        <v>40783.899413604937</v>
      </c>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126</v>
      </c>
      <c r="C157" s="43" t="s">
        <v>352</v>
      </c>
      <c r="D157" s="69">
        <v>4.07293505963451</v>
      </c>
      <c r="E157" s="43">
        <f t="shared" si="4"/>
        <v>0.62904592283850325</v>
      </c>
      <c r="F157" s="71">
        <f t="shared" si="5"/>
        <v>62.904592283850327</v>
      </c>
      <c r="G157" s="84">
        <f t="shared" si="6"/>
        <v>643.51397906378884</v>
      </c>
      <c r="H157" s="43"/>
      <c r="I157" s="185">
        <f t="shared" si="8"/>
        <v>41224.524553221308</v>
      </c>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127</v>
      </c>
      <c r="C158" s="43" t="s">
        <v>353</v>
      </c>
      <c r="D158" s="69">
        <v>4.3652637115499404</v>
      </c>
      <c r="E158" s="43">
        <f t="shared" si="4"/>
        <v>0.63577130278283944</v>
      </c>
      <c r="F158" s="71">
        <f t="shared" si="5"/>
        <v>63.577130278283946</v>
      </c>
      <c r="G158" s="84">
        <f t="shared" si="6"/>
        <v>650.39404274684478</v>
      </c>
      <c r="H158" s="43"/>
      <c r="I158" s="185">
        <f t="shared" si="8"/>
        <v>41665.272327873383</v>
      </c>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128</v>
      </c>
      <c r="C159" s="43" t="s">
        <v>354</v>
      </c>
      <c r="D159" s="69">
        <v>4.6785738030119104</v>
      </c>
      <c r="E159" s="43">
        <f t="shared" si="4"/>
        <v>0.6424984296430889</v>
      </c>
      <c r="F159" s="71">
        <f t="shared" si="5"/>
        <v>64.249842964308897</v>
      </c>
      <c r="G159" s="84">
        <f t="shared" si="6"/>
        <v>657.27589352487996</v>
      </c>
      <c r="H159" s="43"/>
      <c r="I159" s="185">
        <f t="shared" si="8"/>
        <v>42106.134586659828</v>
      </c>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129</v>
      </c>
      <c r="C160" s="43" t="s">
        <v>355</v>
      </c>
      <c r="D160" s="69">
        <v>5.0143712445856696</v>
      </c>
      <c r="E160" s="43">
        <f t="shared" si="4"/>
        <v>0.64922718725243833</v>
      </c>
      <c r="F160" s="71">
        <f t="shared" si="5"/>
        <v>64.92271872524384</v>
      </c>
      <c r="G160" s="84">
        <f t="shared" si="6"/>
        <v>664.1594125592444</v>
      </c>
      <c r="H160" s="43"/>
      <c r="I160" s="185">
        <f t="shared" ref="I160:I212" si="9">E160*((2^16)-1)</f>
        <v>42547.103716588543</v>
      </c>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130</v>
      </c>
      <c r="C161" s="43" t="s">
        <v>356</v>
      </c>
      <c r="D161" s="69">
        <v>5.37427003125201</v>
      </c>
      <c r="E161" s="43">
        <f t="shared" si="4"/>
        <v>0.65595746711793013</v>
      </c>
      <c r="F161" s="71">
        <f t="shared" si="5"/>
        <v>65.595746711793012</v>
      </c>
      <c r="G161" s="84">
        <f t="shared" si="6"/>
        <v>671.04448886164255</v>
      </c>
      <c r="H161" s="43"/>
      <c r="I161" s="185">
        <f t="shared" si="9"/>
        <v>42988.17260757355</v>
      </c>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131</v>
      </c>
      <c r="C162" s="43" t="s">
        <v>357</v>
      </c>
      <c r="D162" s="69">
        <v>5.76</v>
      </c>
      <c r="E162" s="43">
        <f t="shared" si="4"/>
        <v>0.66268916792012433</v>
      </c>
      <c r="F162" s="71">
        <f t="shared" si="5"/>
        <v>66.268916792012433</v>
      </c>
      <c r="G162" s="84">
        <f t="shared" si="6"/>
        <v>677.9310187822872</v>
      </c>
      <c r="H162" s="43"/>
      <c r="I162" s="185">
        <f t="shared" si="9"/>
        <v>43429.334619645349</v>
      </c>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132</v>
      </c>
      <c r="C163" s="43" t="s">
        <v>358</v>
      </c>
      <c r="D163" s="69">
        <v>6.1734151442090397</v>
      </c>
      <c r="E163" s="43">
        <f t="shared" si="4"/>
        <v>0.66942219504453182</v>
      </c>
      <c r="F163" s="71">
        <f t="shared" si="5"/>
        <v>66.942219504453178</v>
      </c>
      <c r="G163" s="84">
        <f t="shared" si="6"/>
        <v>684.81890553055609</v>
      </c>
      <c r="H163" s="43"/>
      <c r="I163" s="185">
        <f t="shared" si="9"/>
        <v>43870.583552243392</v>
      </c>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133</v>
      </c>
      <c r="C164" s="43" t="s">
        <v>359</v>
      </c>
      <c r="D164" s="69">
        <v>6.6165025247829199</v>
      </c>
      <c r="E164" s="43">
        <f t="shared" si="4"/>
        <v>0.67615646014290964</v>
      </c>
      <c r="F164" s="71">
        <f t="shared" si="5"/>
        <v>67.615646014290959</v>
      </c>
      <c r="G164" s="84">
        <f t="shared" si="6"/>
        <v>691.70805872619655</v>
      </c>
      <c r="H164" s="43"/>
      <c r="I164" s="185">
        <f t="shared" si="9"/>
        <v>44311.913615465586</v>
      </c>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134</v>
      </c>
      <c r="C165" s="43" t="s">
        <v>360</v>
      </c>
      <c r="D165" s="69">
        <v>7.0913918208667104</v>
      </c>
      <c r="E165" s="43">
        <f t="shared" si="4"/>
        <v>0.68289188072261175</v>
      </c>
      <c r="F165" s="71">
        <f t="shared" si="5"/>
        <v>68.289188072261169</v>
      </c>
      <c r="G165" s="84">
        <f t="shared" si="6"/>
        <v>698.59839397923179</v>
      </c>
      <c r="H165" s="43"/>
      <c r="I165" s="185">
        <f t="shared" si="9"/>
        <v>44753.319403156362</v>
      </c>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135</v>
      </c>
      <c r="C166" s="43" t="s">
        <v>361</v>
      </c>
      <c r="D166" s="69">
        <v>7.6003655660518703</v>
      </c>
      <c r="E166" s="43">
        <f t="shared" si="4"/>
        <v>0.68962837976228986</v>
      </c>
      <c r="F166" s="71">
        <f t="shared" si="5"/>
        <v>68.962837976228982</v>
      </c>
      <c r="G166" s="84">
        <f t="shared" si="6"/>
        <v>705.48983249682249</v>
      </c>
      <c r="H166" s="43"/>
      <c r="I166" s="185">
        <f t="shared" si="9"/>
        <v>45194.795867721667</v>
      </c>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136</v>
      </c>
      <c r="C167" s="43" t="s">
        <v>362</v>
      </c>
      <c r="D167" s="69">
        <v>8.1458701192690199</v>
      </c>
      <c r="E167" s="43">
        <f t="shared" si="4"/>
        <v>0.69636588535231947</v>
      </c>
      <c r="F167" s="71">
        <f t="shared" si="5"/>
        <v>69.636588535231951</v>
      </c>
      <c r="G167" s="84">
        <f t="shared" si="6"/>
        <v>712.38230071542284</v>
      </c>
      <c r="H167" s="43"/>
      <c r="I167" s="185">
        <f t="shared" si="9"/>
        <v>45636.33829656426</v>
      </c>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137</v>
      </c>
      <c r="C168" s="43" t="s">
        <v>363</v>
      </c>
      <c r="D168" s="69">
        <v>8.7305274230998897</v>
      </c>
      <c r="E168" s="43">
        <f t="shared" si="4"/>
        <v>0.70310433035843312</v>
      </c>
      <c r="F168" s="71">
        <f t="shared" si="5"/>
        <v>70.310433035843317</v>
      </c>
      <c r="G168" s="84">
        <f t="shared" si="6"/>
        <v>719.27572995667708</v>
      </c>
      <c r="H168" s="43"/>
      <c r="I168" s="185">
        <f t="shared" si="9"/>
        <v>46077.942290039915</v>
      </c>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138</v>
      </c>
      <c r="C169" s="43" t="s">
        <v>364</v>
      </c>
      <c r="D169" s="69">
        <v>9.3571476060238297</v>
      </c>
      <c r="E169" s="43">
        <f t="shared" si="4"/>
        <v>0.70984365210711076</v>
      </c>
      <c r="F169" s="71">
        <f t="shared" si="5"/>
        <v>70.984365210711076</v>
      </c>
      <c r="G169" s="84">
        <f t="shared" si="6"/>
        <v>726.1700561055743</v>
      </c>
      <c r="H169" s="43"/>
      <c r="I169" s="185">
        <f t="shared" si="9"/>
        <v>46519.603740839506</v>
      </c>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139</v>
      </c>
      <c r="C170" s="43" t="s">
        <v>365</v>
      </c>
      <c r="D170" s="69">
        <v>10.0287424891713</v>
      </c>
      <c r="E170" s="43">
        <f t="shared" si="4"/>
        <v>0.71658379209137302</v>
      </c>
      <c r="F170" s="71">
        <f t="shared" si="5"/>
        <v>71.658379209137308</v>
      </c>
      <c r="G170" s="84">
        <f t="shared" si="6"/>
        <v>733.06521930947463</v>
      </c>
      <c r="H170" s="43"/>
      <c r="I170" s="185">
        <f t="shared" si="9"/>
        <v>46961.318814708131</v>
      </c>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140</v>
      </c>
      <c r="C171" s="43" t="s">
        <v>366</v>
      </c>
      <c r="D171" s="69">
        <v>10.748540062504</v>
      </c>
      <c r="E171" s="43">
        <f t="shared" si="4"/>
        <v>0.72332469569569868</v>
      </c>
      <c r="F171" s="71">
        <f t="shared" si="5"/>
        <v>72.332469569569867</v>
      </c>
      <c r="G171" s="84">
        <f t="shared" si="6"/>
        <v>739.96116369669971</v>
      </c>
      <c r="H171" s="43"/>
      <c r="I171" s="185">
        <f t="shared" si="9"/>
        <v>47403.083932417612</v>
      </c>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141</v>
      </c>
      <c r="C172" s="43" t="s">
        <v>367</v>
      </c>
      <c r="D172" s="69">
        <v>11.52</v>
      </c>
      <c r="E172" s="43">
        <f t="shared" si="4"/>
        <v>0.73006631193884908</v>
      </c>
      <c r="F172" s="71">
        <f t="shared" si="5"/>
        <v>73.006631193884914</v>
      </c>
      <c r="G172" s="84">
        <f t="shared" si="6"/>
        <v>746.85783711344266</v>
      </c>
      <c r="H172" s="43"/>
      <c r="I172" s="185">
        <f t="shared" si="9"/>
        <v>47844.895752912475</v>
      </c>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142</v>
      </c>
      <c r="C173" s="43" t="s">
        <v>368</v>
      </c>
      <c r="D173" s="69">
        <v>12.346830288417999</v>
      </c>
      <c r="E173" s="43">
        <f t="shared" si="4"/>
        <v>0.73680859323348158</v>
      </c>
      <c r="F173" s="71">
        <f t="shared" si="5"/>
        <v>73.680859323348159</v>
      </c>
      <c r="G173" s="84">
        <f t="shared" si="6"/>
        <v>753.75519087785165</v>
      </c>
      <c r="H173" s="43"/>
      <c r="I173" s="185">
        <f t="shared" si="9"/>
        <v>48286.751157556217</v>
      </c>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143</v>
      </c>
      <c r="C174" s="43" t="s">
        <v>369</v>
      </c>
      <c r="D174" s="69">
        <v>13.233005049565801</v>
      </c>
      <c r="E174" s="43">
        <f t="shared" si="4"/>
        <v>0.74355149516147478</v>
      </c>
      <c r="F174" s="71">
        <f t="shared" si="5"/>
        <v>74.355149516147478</v>
      </c>
      <c r="G174" s="84">
        <f t="shared" si="6"/>
        <v>760.65317955018872</v>
      </c>
      <c r="H174" s="43"/>
      <c r="I174" s="185">
        <f t="shared" si="9"/>
        <v>48728.647235407247</v>
      </c>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144</v>
      </c>
      <c r="C175" s="43" t="s">
        <v>370</v>
      </c>
      <c r="D175" s="69">
        <v>14.182783641733399</v>
      </c>
      <c r="E175" s="43">
        <f t="shared" si="4"/>
        <v>0.75029497626395625</v>
      </c>
      <c r="F175" s="71">
        <f t="shared" si="5"/>
        <v>75.029497626395624</v>
      </c>
      <c r="G175" s="84">
        <f t="shared" si="6"/>
        <v>767.55176071802725</v>
      </c>
      <c r="H175" s="43"/>
      <c r="I175" s="185">
        <f t="shared" si="9"/>
        <v>49170.581269458373</v>
      </c>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145</v>
      </c>
      <c r="C176" s="43" t="s">
        <v>371</v>
      </c>
      <c r="D176" s="69">
        <v>15.2007311321037</v>
      </c>
      <c r="E176" s="43">
        <f t="shared" si="4"/>
        <v>0.75703899784511031</v>
      </c>
      <c r="F176" s="71">
        <f t="shared" si="5"/>
        <v>75.703899784511037</v>
      </c>
      <c r="G176" s="84">
        <f t="shared" si="6"/>
        <v>774.45089479554781</v>
      </c>
      <c r="H176" s="43"/>
      <c r="I176" s="185">
        <f t="shared" si="9"/>
        <v>49612.550723779306</v>
      </c>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146</v>
      </c>
      <c r="C177" s="43" t="s">
        <v>372</v>
      </c>
      <c r="D177" s="69">
        <v>16.291740238538001</v>
      </c>
      <c r="E177" s="43">
        <f t="shared" si="4"/>
        <v>0.76378352378886261</v>
      </c>
      <c r="F177" s="71">
        <f t="shared" si="5"/>
        <v>76.378352378886262</v>
      </c>
      <c r="G177" s="84">
        <f t="shared" si="6"/>
        <v>781.35054483600641</v>
      </c>
      <c r="H177" s="43"/>
      <c r="I177" s="185">
        <f t="shared" si="9"/>
        <v>50054.553231503109</v>
      </c>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147</v>
      </c>
      <c r="C178" s="43" t="s">
        <v>373</v>
      </c>
      <c r="D178" s="69">
        <v>17.461054846199701</v>
      </c>
      <c r="E178" s="43">
        <f t="shared" si="4"/>
        <v>0.77052852038762121</v>
      </c>
      <c r="F178" s="71">
        <f t="shared" si="5"/>
        <v>77.052852038762126</v>
      </c>
      <c r="G178" s="84">
        <f t="shared" si="6"/>
        <v>788.25067635653647</v>
      </c>
      <c r="H178" s="43"/>
      <c r="I178" s="185">
        <f t="shared" si="9"/>
        <v>50496.586583602759</v>
      </c>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148</v>
      </c>
      <c r="C179" s="43" t="s">
        <v>374</v>
      </c>
      <c r="D179" s="69">
        <v>18.714295212047599</v>
      </c>
      <c r="E179" s="43">
        <f t="shared" si="4"/>
        <v>0.77727395618229278</v>
      </c>
      <c r="F179" s="71">
        <f t="shared" si="5"/>
        <v>77.727395618229281</v>
      </c>
      <c r="G179" s="84">
        <f t="shared" si="6"/>
        <v>795.15125717448552</v>
      </c>
      <c r="H179" s="43"/>
      <c r="I179" s="185">
        <f t="shared" si="9"/>
        <v>50938.648718406555</v>
      </c>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149</v>
      </c>
      <c r="C180" s="43" t="s">
        <v>375</v>
      </c>
      <c r="D180" s="69">
        <v>20.0574849783426</v>
      </c>
      <c r="E180" s="43">
        <f t="shared" si="4"/>
        <v>0.78401980181284292</v>
      </c>
      <c r="F180" s="71">
        <f t="shared" si="5"/>
        <v>78.401980181284287</v>
      </c>
      <c r="G180" s="84">
        <f t="shared" si="6"/>
        <v>802.05225725453829</v>
      </c>
      <c r="H180" s="43"/>
      <c r="I180" s="185">
        <f t="shared" si="9"/>
        <v>51380.737711804664</v>
      </c>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150</v>
      </c>
      <c r="C181" s="43" t="s">
        <v>376</v>
      </c>
      <c r="D181" s="69">
        <v>21.497080125008001</v>
      </c>
      <c r="E181" s="43">
        <f t="shared" si="4"/>
        <v>0.79076602987872013</v>
      </c>
      <c r="F181" s="71">
        <f t="shared" si="5"/>
        <v>79.076602987872008</v>
      </c>
      <c r="G181" s="84">
        <f t="shared" si="6"/>
        <v>808.95364856593073</v>
      </c>
      <c r="H181" s="43"/>
      <c r="I181" s="185">
        <f t="shared" si="9"/>
        <v>51822.851768101922</v>
      </c>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151</v>
      </c>
      <c r="C182" s="43" t="s">
        <v>377</v>
      </c>
      <c r="D182" s="69">
        <v>23.04</v>
      </c>
      <c r="E182" s="43">
        <f t="shared" si="4"/>
        <v>0.79751261480849578</v>
      </c>
      <c r="F182" s="71">
        <f t="shared" si="5"/>
        <v>79.751261480849578</v>
      </c>
      <c r="G182" s="84">
        <f t="shared" si="6"/>
        <v>815.85540494909117</v>
      </c>
      <c r="H182" s="43"/>
      <c r="I182" s="185">
        <f t="shared" si="9"/>
        <v>52264.989211474771</v>
      </c>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152</v>
      </c>
      <c r="C183" s="43" t="s">
        <v>378</v>
      </c>
      <c r="D183" s="69">
        <v>24.693660576836098</v>
      </c>
      <c r="E183" s="43">
        <f t="shared" si="4"/>
        <v>0.80425953273812367</v>
      </c>
      <c r="F183" s="71">
        <f t="shared" si="5"/>
        <v>80.425953273812368</v>
      </c>
      <c r="G183" s="84">
        <f t="shared" si="6"/>
        <v>822.75750199110053</v>
      </c>
      <c r="H183" s="43"/>
      <c r="I183" s="185">
        <f t="shared" si="9"/>
        <v>52707.148477992938</v>
      </c>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153</v>
      </c>
      <c r="C184" s="43" t="s">
        <v>379</v>
      </c>
      <c r="D184" s="69">
        <v>26.466010099131601</v>
      </c>
      <c r="E184" s="43">
        <f t="shared" si="4"/>
        <v>0.81100676139725869</v>
      </c>
      <c r="F184" s="71">
        <f t="shared" si="5"/>
        <v>81.100676139725863</v>
      </c>
      <c r="G184" s="84">
        <f t="shared" si="6"/>
        <v>829.65991690939563</v>
      </c>
      <c r="H184" s="43"/>
      <c r="I184" s="185">
        <f t="shared" si="9"/>
        <v>53149.328108169349</v>
      </c>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154</v>
      </c>
      <c r="C185" s="43" t="s">
        <v>380</v>
      </c>
      <c r="D185" s="69">
        <v>28.365567283466799</v>
      </c>
      <c r="E185" s="43">
        <f t="shared" si="4"/>
        <v>0.81775428000309658</v>
      </c>
      <c r="F185" s="71">
        <f t="shared" si="5"/>
        <v>81.77542800030966</v>
      </c>
      <c r="G185" s="84">
        <f t="shared" si="6"/>
        <v>836.5626284431678</v>
      </c>
      <c r="H185" s="43"/>
      <c r="I185" s="185">
        <f t="shared" si="9"/>
        <v>53591.526740002933</v>
      </c>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155</v>
      </c>
      <c r="C186" s="43" t="s">
        <v>381</v>
      </c>
      <c r="D186" s="69">
        <v>30.401462264207399</v>
      </c>
      <c r="E186" s="43">
        <f t="shared" si="4"/>
        <v>0.82450206916125612</v>
      </c>
      <c r="F186" s="71">
        <f t="shared" si="5"/>
        <v>82.450206916125609</v>
      </c>
      <c r="G186" s="84">
        <f t="shared" si="6"/>
        <v>843.46561675196506</v>
      </c>
      <c r="H186" s="43"/>
      <c r="I186" s="185">
        <f t="shared" si="9"/>
        <v>54033.74310248292</v>
      </c>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156</v>
      </c>
      <c r="C187" s="43" t="s">
        <v>382</v>
      </c>
      <c r="D187" s="69">
        <v>32.583480477076101</v>
      </c>
      <c r="E187" s="43">
        <f t="shared" si="4"/>
        <v>0.8312501107732323</v>
      </c>
      <c r="F187" s="71">
        <f t="shared" si="5"/>
        <v>83.125011077323236</v>
      </c>
      <c r="G187" s="84">
        <f t="shared" si="6"/>
        <v>850.36886332101665</v>
      </c>
      <c r="H187" s="43"/>
      <c r="I187" s="185">
        <f t="shared" si="9"/>
        <v>54475.97600952378</v>
      </c>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157</v>
      </c>
      <c r="C188" s="43" t="s">
        <v>383</v>
      </c>
      <c r="D188" s="69">
        <v>34.922109692399502</v>
      </c>
      <c r="E188" s="43">
        <f t="shared" si="4"/>
        <v>0.83799838794998993</v>
      </c>
      <c r="F188" s="71">
        <f t="shared" si="5"/>
        <v>83.79983879499899</v>
      </c>
      <c r="G188" s="84">
        <f t="shared" si="6"/>
        <v>857.27235087283975</v>
      </c>
      <c r="H188" s="43"/>
      <c r="I188" s="185">
        <f t="shared" si="9"/>
        <v>54918.224354302591</v>
      </c>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158</v>
      </c>
      <c r="C189" s="43" t="s">
        <v>384</v>
      </c>
      <c r="D189" s="69">
        <v>37.428590424095297</v>
      </c>
      <c r="E189" s="43">
        <f t="shared" si="4"/>
        <v>0.84474688493129857</v>
      </c>
      <c r="F189" s="71">
        <f t="shared" si="5"/>
        <v>84.474688493129861</v>
      </c>
      <c r="G189" s="84">
        <f t="shared" si="6"/>
        <v>864.17606328471845</v>
      </c>
      <c r="H189" s="43"/>
      <c r="I189" s="185">
        <f t="shared" si="9"/>
        <v>55360.487103972649</v>
      </c>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159</v>
      </c>
      <c r="C190" s="43" t="s">
        <v>385</v>
      </c>
      <c r="D190" s="69">
        <v>40.1149699566853</v>
      </c>
      <c r="E190" s="43">
        <f t="shared" si="4"/>
        <v>0.85149558701042283</v>
      </c>
      <c r="F190" s="71">
        <f t="shared" si="5"/>
        <v>85.149558701042281</v>
      </c>
      <c r="G190" s="84">
        <f t="shared" si="6"/>
        <v>871.07998551166258</v>
      </c>
      <c r="H190" s="43"/>
      <c r="I190" s="185">
        <f t="shared" si="9"/>
        <v>55802.763294728058</v>
      </c>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160</v>
      </c>
      <c r="C191" s="43" t="s">
        <v>386</v>
      </c>
      <c r="D191" s="69">
        <v>42.994160250016002</v>
      </c>
      <c r="E191" s="43">
        <f t="shared" si="4"/>
        <v>0.85824448046382296</v>
      </c>
      <c r="F191" s="71">
        <f t="shared" si="5"/>
        <v>85.824448046382301</v>
      </c>
      <c r="G191" s="84">
        <f t="shared" si="6"/>
        <v>877.98410351449093</v>
      </c>
      <c r="H191" s="43"/>
      <c r="I191" s="185">
        <f t="shared" si="9"/>
        <v>56245.052027196638</v>
      </c>
      <c r="J191" s="8"/>
      <c r="K191" s="8"/>
      <c r="L191" s="8"/>
      <c r="M191" s="8"/>
      <c r="N191" s="8"/>
      <c r="O191" s="8"/>
      <c r="P191" s="8"/>
      <c r="Q191" s="8"/>
      <c r="R191" s="8"/>
      <c r="S191" s="8"/>
      <c r="T191" s="8"/>
      <c r="U191" s="8"/>
      <c r="V191" s="8"/>
      <c r="W191" s="8"/>
      <c r="X191" s="8"/>
      <c r="Y191" s="8"/>
      <c r="Z191" s="8"/>
      <c r="AA191" s="8"/>
      <c r="AB191" s="8"/>
      <c r="AC191" s="8"/>
      <c r="AD191" s="8"/>
    </row>
    <row r="192" spans="1:30" ht="15">
      <c r="A192" s="58"/>
      <c r="B192" s="69">
        <v>161</v>
      </c>
      <c r="C192" s="43" t="s">
        <v>387</v>
      </c>
      <c r="D192" s="69">
        <v>46.08</v>
      </c>
      <c r="E192" s="43">
        <f t="shared" si="4"/>
        <v>0.86499355248552801</v>
      </c>
      <c r="F192" s="71">
        <f t="shared" si="5"/>
        <v>86.499355248552803</v>
      </c>
      <c r="G192" s="84">
        <f t="shared" si="6"/>
        <v>884.88840419269513</v>
      </c>
      <c r="H192" s="43"/>
      <c r="I192" s="185">
        <f t="shared" si="9"/>
        <v>56687.352462139075</v>
      </c>
      <c r="J192" s="8"/>
      <c r="K192" s="8"/>
      <c r="L192" s="8"/>
      <c r="M192" s="8"/>
      <c r="N192" s="8"/>
      <c r="O192" s="8"/>
      <c r="P192" s="8"/>
      <c r="Q192" s="8"/>
      <c r="R192" s="8"/>
      <c r="S192" s="8"/>
      <c r="T192" s="8"/>
      <c r="U192" s="8"/>
      <c r="V192" s="8"/>
      <c r="W192" s="8"/>
      <c r="X192" s="8"/>
      <c r="Y192" s="8"/>
      <c r="Z192" s="8"/>
      <c r="AA192" s="8"/>
      <c r="AB192" s="8"/>
      <c r="AC192" s="8"/>
      <c r="AD192" s="8"/>
    </row>
    <row r="193" spans="1:30" ht="15">
      <c r="A193" s="8"/>
      <c r="B193" s="69">
        <v>162</v>
      </c>
      <c r="C193" s="43" t="s">
        <v>388</v>
      </c>
      <c r="D193" s="43">
        <f>0.18*2^8.1</f>
        <v>49.387321153672374</v>
      </c>
      <c r="E193" s="43">
        <f t="shared" si="4"/>
        <v>0.87174279112587749</v>
      </c>
      <c r="F193" s="71">
        <f t="shared" si="5"/>
        <v>87.174279112587755</v>
      </c>
      <c r="G193" s="84">
        <f t="shared" si="6"/>
        <v>891.79287532177273</v>
      </c>
      <c r="H193" s="43"/>
      <c r="I193" s="185">
        <f t="shared" si="9"/>
        <v>57129.663816434382</v>
      </c>
      <c r="J193" s="8"/>
      <c r="K193" s="8"/>
      <c r="L193" s="8"/>
      <c r="M193" s="8"/>
      <c r="N193" s="8"/>
      <c r="O193" s="8"/>
      <c r="P193" s="8"/>
      <c r="Q193" s="8"/>
      <c r="R193" s="8"/>
      <c r="S193" s="8"/>
      <c r="T193" s="8"/>
      <c r="U193" s="8"/>
      <c r="V193" s="8"/>
      <c r="W193" s="8"/>
      <c r="X193" s="8"/>
      <c r="Y193" s="8"/>
      <c r="Z193" s="8"/>
      <c r="AA193" s="8"/>
      <c r="AB193" s="8"/>
      <c r="AC193" s="8"/>
      <c r="AD193" s="8"/>
    </row>
    <row r="194" spans="1:30" ht="15">
      <c r="A194" s="8"/>
      <c r="B194" s="69">
        <v>163</v>
      </c>
      <c r="C194" s="43" t="s">
        <v>389</v>
      </c>
      <c r="D194" s="43">
        <f>0.18*2^8.2</f>
        <v>52.932020198263317</v>
      </c>
      <c r="E194" s="43">
        <f t="shared" si="4"/>
        <v>0.87849218523434158</v>
      </c>
      <c r="F194" s="71">
        <f t="shared" si="5"/>
        <v>87.84921852343416</v>
      </c>
      <c r="G194" s="84">
        <f t="shared" si="6"/>
        <v>898.69750549473144</v>
      </c>
      <c r="H194" s="43"/>
      <c r="I194" s="185">
        <f t="shared" si="9"/>
        <v>57571.985359332575</v>
      </c>
      <c r="J194" s="8"/>
      <c r="K194" s="8"/>
      <c r="L194" s="8"/>
      <c r="M194" s="8"/>
      <c r="N194" s="8"/>
      <c r="O194" s="8"/>
      <c r="P194" s="8"/>
      <c r="Q194" s="8"/>
      <c r="R194" s="8"/>
      <c r="S194" s="8"/>
      <c r="T194" s="8"/>
      <c r="U194" s="8"/>
      <c r="V194" s="8"/>
      <c r="W194" s="8"/>
      <c r="X194" s="8"/>
      <c r="Y194" s="8"/>
      <c r="Z194" s="8"/>
      <c r="AA194" s="8"/>
      <c r="AB194" s="8"/>
      <c r="AC194" s="8"/>
      <c r="AD194" s="8"/>
    </row>
    <row r="195" spans="1:30" ht="15">
      <c r="A195" s="8"/>
      <c r="B195" s="69">
        <v>164</v>
      </c>
      <c r="C195" s="43" t="s">
        <v>390</v>
      </c>
      <c r="D195" s="43">
        <f>0.18*2^8.3</f>
        <v>56.731134566933783</v>
      </c>
      <c r="E195" s="43">
        <f t="shared" si="4"/>
        <v>0.88524172440614768</v>
      </c>
      <c r="F195" s="71">
        <f t="shared" si="5"/>
        <v>88.524172440614763</v>
      </c>
      <c r="G195" s="84">
        <f t="shared" si="6"/>
        <v>905.60228406748911</v>
      </c>
      <c r="H195" s="43"/>
      <c r="I195" s="185">
        <f t="shared" si="9"/>
        <v>58014.316408956889</v>
      </c>
      <c r="J195" s="8"/>
      <c r="K195" s="8"/>
      <c r="L195" s="8"/>
      <c r="M195" s="8"/>
      <c r="N195" s="8"/>
      <c r="O195" s="8"/>
      <c r="P195" s="8"/>
      <c r="Q195" s="8"/>
      <c r="R195" s="8"/>
      <c r="S195" s="8"/>
      <c r="T195" s="8"/>
      <c r="U195" s="8"/>
      <c r="V195" s="8"/>
      <c r="W195" s="8"/>
      <c r="X195" s="8"/>
      <c r="Y195" s="8"/>
      <c r="Z195" s="8"/>
      <c r="AA195" s="8"/>
      <c r="AB195" s="8"/>
      <c r="AC195" s="8"/>
      <c r="AD195" s="8"/>
    </row>
    <row r="196" spans="1:30" ht="15">
      <c r="A196" s="8"/>
      <c r="B196" s="69">
        <v>165</v>
      </c>
      <c r="C196" s="43" t="s">
        <v>391</v>
      </c>
      <c r="D196" s="43">
        <f>0.18*2^8.4</f>
        <v>60.802924528414955</v>
      </c>
      <c r="E196" s="43">
        <f t="shared" si="4"/>
        <v>0.89199139893246282</v>
      </c>
      <c r="F196" s="71">
        <f t="shared" si="5"/>
        <v>89.199139893246283</v>
      </c>
      <c r="G196" s="84">
        <f t="shared" si="6"/>
        <v>912.50720110790951</v>
      </c>
      <c r="H196" s="43"/>
      <c r="I196" s="185">
        <f t="shared" si="9"/>
        <v>58456.656329038953</v>
      </c>
      <c r="J196" s="8"/>
      <c r="K196" s="8"/>
      <c r="L196" s="8"/>
      <c r="M196" s="8"/>
      <c r="N196" s="8"/>
      <c r="O196" s="8"/>
      <c r="P196" s="8"/>
      <c r="Q196" s="8"/>
      <c r="R196" s="8"/>
      <c r="S196" s="8"/>
      <c r="T196" s="8"/>
      <c r="U196" s="8"/>
      <c r="V196" s="8"/>
      <c r="W196" s="8"/>
      <c r="X196" s="8"/>
      <c r="Y196" s="8"/>
      <c r="Z196" s="8"/>
      <c r="AA196" s="8"/>
      <c r="AB196" s="8"/>
      <c r="AC196" s="8"/>
      <c r="AD196" s="8"/>
    </row>
    <row r="197" spans="1:30" ht="15">
      <c r="A197" s="8"/>
      <c r="B197" s="69">
        <v>166</v>
      </c>
      <c r="C197" s="43" t="s">
        <v>392</v>
      </c>
      <c r="D197" s="43">
        <f>0.18*2^8.5</f>
        <v>65.166960954152216</v>
      </c>
      <c r="E197" s="43">
        <f t="shared" si="4"/>
        <v>0.89874119975389832</v>
      </c>
      <c r="F197" s="71">
        <f t="shared" si="5"/>
        <v>89.874119975389831</v>
      </c>
      <c r="G197" s="84">
        <f t="shared" si="6"/>
        <v>919.412247348238</v>
      </c>
      <c r="H197" s="43"/>
      <c r="I197" s="185">
        <f t="shared" si="9"/>
        <v>58899.004525871729</v>
      </c>
      <c r="J197" s="8"/>
      <c r="K197" s="8"/>
      <c r="L197" s="8"/>
      <c r="M197" s="8"/>
      <c r="N197" s="8"/>
      <c r="O197" s="8"/>
      <c r="P197" s="8"/>
      <c r="Q197" s="8"/>
      <c r="R197" s="8"/>
      <c r="S197" s="8"/>
      <c r="T197" s="8"/>
      <c r="U197" s="8"/>
      <c r="V197" s="8"/>
      <c r="W197" s="8"/>
      <c r="X197" s="8"/>
      <c r="Y197" s="8"/>
      <c r="Z197" s="8"/>
      <c r="AA197" s="8"/>
      <c r="AB197" s="8"/>
      <c r="AC197" s="8"/>
      <c r="AD197" s="8"/>
    </row>
    <row r="198" spans="1:30" ht="15">
      <c r="A198" s="8"/>
      <c r="B198" s="69">
        <v>167</v>
      </c>
      <c r="C198" s="43" t="s">
        <v>393</v>
      </c>
      <c r="D198" s="43">
        <f>0.18*2^8.6</f>
        <v>69.844219384799132</v>
      </c>
      <c r="E198" s="43">
        <f t="shared" si="4"/>
        <v>0.90549111841711183</v>
      </c>
      <c r="F198" s="71">
        <f t="shared" si="5"/>
        <v>90.549111841711181</v>
      </c>
      <c r="G198" s="84">
        <f t="shared" si="6"/>
        <v>926.31741414070541</v>
      </c>
      <c r="H198" s="43"/>
      <c r="I198" s="185">
        <f t="shared" si="9"/>
        <v>59341.360445465427</v>
      </c>
      <c r="J198" s="8"/>
      <c r="K198" s="8"/>
      <c r="L198" s="8"/>
      <c r="M198" s="8"/>
      <c r="N198" s="8"/>
      <c r="O198" s="8"/>
      <c r="P198" s="8"/>
      <c r="Q198" s="8"/>
      <c r="R198" s="8"/>
      <c r="S198" s="8"/>
      <c r="T198" s="8"/>
      <c r="U198" s="8"/>
      <c r="V198" s="8"/>
      <c r="W198" s="8"/>
      <c r="X198" s="8"/>
      <c r="Y198" s="8"/>
      <c r="Z198" s="8"/>
      <c r="AA198" s="8"/>
      <c r="AB198" s="8"/>
      <c r="AC198" s="8"/>
      <c r="AD198" s="8"/>
    </row>
    <row r="199" spans="1:30" ht="15">
      <c r="A199" s="8"/>
      <c r="B199" s="69">
        <v>168</v>
      </c>
      <c r="C199" s="43" t="s">
        <v>394</v>
      </c>
      <c r="D199" s="43">
        <f>0.18*2^8.7</f>
        <v>74.85718084819058</v>
      </c>
      <c r="E199" s="43">
        <f t="shared" si="4"/>
        <v>0.91224114703430392</v>
      </c>
      <c r="F199" s="71">
        <f t="shared" si="5"/>
        <v>91.224114703430388</v>
      </c>
      <c r="G199" s="84">
        <f t="shared" si="6"/>
        <v>933.22269341609297</v>
      </c>
      <c r="H199" s="43"/>
      <c r="I199" s="185">
        <f t="shared" si="9"/>
        <v>59783.723570893111</v>
      </c>
      <c r="J199" s="8"/>
      <c r="K199" s="8"/>
      <c r="L199" s="8"/>
      <c r="M199" s="8"/>
      <c r="N199" s="8"/>
      <c r="O199" s="8"/>
      <c r="P199" s="8"/>
      <c r="Q199" s="8"/>
      <c r="R199" s="8"/>
      <c r="S199" s="8"/>
      <c r="T199" s="8"/>
      <c r="U199" s="8"/>
      <c r="V199" s="8"/>
      <c r="W199" s="8"/>
      <c r="X199" s="8"/>
      <c r="Y199" s="8"/>
      <c r="Z199" s="8"/>
      <c r="AA199" s="8"/>
      <c r="AB199" s="8"/>
      <c r="AC199" s="8"/>
      <c r="AD199" s="8"/>
    </row>
    <row r="200" spans="1:30" ht="15">
      <c r="A200" s="8"/>
      <c r="B200" s="69">
        <v>169</v>
      </c>
      <c r="C200" s="43" t="s">
        <v>395</v>
      </c>
      <c r="D200" s="43">
        <f>0.18*2^8.8</f>
        <v>80.229939913370785</v>
      </c>
      <c r="E200" s="43">
        <f t="shared" si="4"/>
        <v>0.91899127824541771</v>
      </c>
      <c r="F200" s="71">
        <f t="shared" si="5"/>
        <v>91.899127824541765</v>
      </c>
      <c r="G200" s="84">
        <f t="shared" si="6"/>
        <v>940.12807764506226</v>
      </c>
      <c r="H200" s="43"/>
      <c r="I200" s="185">
        <f t="shared" si="9"/>
        <v>60226.093419813449</v>
      </c>
      <c r="J200" s="8"/>
      <c r="K200" s="8"/>
      <c r="L200" s="8"/>
      <c r="M200" s="8"/>
      <c r="N200" s="8"/>
      <c r="O200" s="8"/>
      <c r="P200" s="8"/>
      <c r="Q200" s="8"/>
      <c r="R200" s="8"/>
      <c r="S200" s="8"/>
      <c r="T200" s="8"/>
      <c r="U200" s="8"/>
      <c r="V200" s="8"/>
      <c r="W200" s="8"/>
      <c r="X200" s="8"/>
      <c r="Y200" s="8"/>
      <c r="Z200" s="8"/>
      <c r="AA200" s="8"/>
      <c r="AB200" s="8"/>
      <c r="AC200" s="8"/>
      <c r="AD200" s="8"/>
    </row>
    <row r="201" spans="1:30" ht="15">
      <c r="A201" s="8"/>
      <c r="B201" s="69">
        <v>170</v>
      </c>
      <c r="C201" s="43" t="s">
        <v>396</v>
      </c>
      <c r="D201" s="43">
        <f>0.18*2^8.9</f>
        <v>85.98832050003216</v>
      </c>
      <c r="E201" s="43">
        <f t="shared" si="4"/>
        <v>0.92574150518285836</v>
      </c>
      <c r="F201" s="71">
        <f t="shared" si="5"/>
        <v>92.574150518285833</v>
      </c>
      <c r="G201" s="84">
        <f t="shared" si="6"/>
        <v>947.03355980206413</v>
      </c>
      <c r="H201" s="43"/>
      <c r="I201" s="185">
        <f t="shared" si="9"/>
        <v>60668.469542158622</v>
      </c>
      <c r="J201" s="8"/>
      <c r="K201" s="8"/>
      <c r="L201" s="8"/>
      <c r="M201" s="8"/>
      <c r="N201" s="8"/>
      <c r="O201" s="8"/>
      <c r="P201" s="8"/>
      <c r="Q201" s="8"/>
      <c r="R201" s="8"/>
      <c r="S201" s="8"/>
      <c r="T201" s="8"/>
      <c r="U201" s="8"/>
      <c r="V201" s="8"/>
      <c r="W201" s="8"/>
      <c r="X201" s="8"/>
      <c r="Y201" s="8"/>
      <c r="Z201" s="8"/>
      <c r="AA201" s="8"/>
      <c r="AB201" s="8"/>
      <c r="AC201" s="8"/>
      <c r="AD201" s="8"/>
    </row>
    <row r="202" spans="1:30" ht="15">
      <c r="A202" s="8"/>
      <c r="B202" s="69">
        <v>171</v>
      </c>
      <c r="C202" s="43" t="s">
        <v>397</v>
      </c>
      <c r="D202" s="43">
        <f>0.18*2^9</f>
        <v>92.16</v>
      </c>
      <c r="E202" s="43">
        <f t="shared" si="4"/>
        <v>0.93249182143856968</v>
      </c>
      <c r="F202" s="71">
        <f t="shared" si="5"/>
        <v>93.24918214385697</v>
      </c>
      <c r="G202" s="84">
        <f t="shared" si="6"/>
        <v>953.93913333165676</v>
      </c>
      <c r="H202" s="43"/>
      <c r="I202" s="185">
        <f t="shared" si="9"/>
        <v>61110.851517976662</v>
      </c>
      <c r="J202" s="8"/>
      <c r="K202" s="8"/>
      <c r="L202" s="8"/>
      <c r="M202" s="8"/>
      <c r="N202" s="8"/>
      <c r="O202" s="8"/>
      <c r="P202" s="8"/>
      <c r="Q202" s="8"/>
      <c r="R202" s="8"/>
      <c r="S202" s="8"/>
      <c r="T202" s="8"/>
      <c r="U202" s="8"/>
      <c r="V202" s="8"/>
      <c r="W202" s="8"/>
      <c r="X202" s="8"/>
      <c r="Y202" s="8"/>
      <c r="Z202" s="8"/>
      <c r="AA202" s="8"/>
      <c r="AB202" s="8"/>
      <c r="AC202" s="8"/>
      <c r="AD202" s="8"/>
    </row>
    <row r="203" spans="1:30" ht="15">
      <c r="A203" s="8"/>
      <c r="B203" s="69">
        <v>172</v>
      </c>
      <c r="C203" s="43" t="s">
        <v>546</v>
      </c>
      <c r="D203" s="43">
        <f>0.18*2^9.1</f>
        <v>98.774642307344777</v>
      </c>
      <c r="E203" s="43">
        <f t="shared" si="4"/>
        <v>0.9392422210333069</v>
      </c>
      <c r="F203" s="71">
        <f t="shared" si="5"/>
        <v>93.924222103330692</v>
      </c>
      <c r="G203" s="84">
        <f t="shared" si="6"/>
        <v>960.84479211707298</v>
      </c>
      <c r="H203" s="43"/>
      <c r="I203" s="185">
        <f t="shared" si="9"/>
        <v>61553.238955417764</v>
      </c>
      <c r="J203" s="8"/>
      <c r="K203" s="8"/>
      <c r="L203" s="8"/>
      <c r="M203" s="8"/>
      <c r="N203" s="8"/>
      <c r="O203" s="8"/>
      <c r="P203" s="8"/>
      <c r="Q203" s="8"/>
      <c r="R203" s="8"/>
      <c r="S203" s="8"/>
      <c r="T203" s="8"/>
      <c r="U203" s="8"/>
      <c r="V203" s="8"/>
      <c r="W203" s="8"/>
      <c r="X203" s="8"/>
      <c r="Y203" s="8"/>
      <c r="Z203" s="8"/>
      <c r="AA203" s="8"/>
      <c r="AB203" s="8"/>
      <c r="AC203" s="8"/>
      <c r="AD203" s="8"/>
    </row>
    <row r="204" spans="1:30" ht="15">
      <c r="A204" s="8"/>
      <c r="B204" s="69">
        <v>173</v>
      </c>
      <c r="C204" s="43" t="s">
        <v>547</v>
      </c>
      <c r="D204" s="43">
        <f>0.18*2^9.2</f>
        <v>105.86404039652665</v>
      </c>
      <c r="E204" s="43">
        <f t="shared" si="4"/>
        <v>0.94599269838796085</v>
      </c>
      <c r="F204" s="71">
        <f t="shared" si="5"/>
        <v>94.59926983879609</v>
      </c>
      <c r="G204" s="84">
        <f t="shared" si="6"/>
        <v>967.75053045088396</v>
      </c>
      <c r="H204" s="43"/>
      <c r="I204" s="185">
        <f t="shared" si="9"/>
        <v>61995.631488855011</v>
      </c>
      <c r="J204" s="8"/>
      <c r="K204" s="8"/>
      <c r="L204" s="8"/>
      <c r="M204" s="8"/>
      <c r="N204" s="8"/>
      <c r="O204" s="8"/>
      <c r="P204" s="8"/>
      <c r="Q204" s="8"/>
      <c r="R204" s="8"/>
      <c r="S204" s="8"/>
      <c r="T204" s="8"/>
      <c r="U204" s="8"/>
      <c r="V204" s="8"/>
      <c r="W204" s="8"/>
      <c r="X204" s="8"/>
      <c r="Y204" s="8"/>
      <c r="Z204" s="8"/>
      <c r="AA204" s="8"/>
      <c r="AB204" s="8"/>
      <c r="AC204" s="8"/>
      <c r="AD204" s="8"/>
    </row>
    <row r="205" spans="1:30" ht="15">
      <c r="A205" s="8"/>
      <c r="B205" s="69">
        <v>174</v>
      </c>
      <c r="C205" s="43" t="s">
        <v>548</v>
      </c>
      <c r="D205" s="43">
        <f>0.18*2^9.3</f>
        <v>113.46226913386747</v>
      </c>
      <c r="E205" s="43">
        <f t="shared" si="4"/>
        <v>0.95274324829679913</v>
      </c>
      <c r="F205" s="71">
        <f t="shared" si="5"/>
        <v>95.274324829679912</v>
      </c>
      <c r="G205" s="84">
        <f t="shared" si="6"/>
        <v>974.65634300762554</v>
      </c>
      <c r="H205" s="43"/>
      <c r="I205" s="185">
        <f t="shared" si="9"/>
        <v>62438.028777130734</v>
      </c>
      <c r="J205" s="8"/>
      <c r="K205" s="8"/>
      <c r="L205" s="8"/>
      <c r="M205" s="8"/>
      <c r="N205" s="8"/>
      <c r="O205" s="8"/>
      <c r="P205" s="8"/>
      <c r="Q205" s="8"/>
      <c r="R205" s="8"/>
      <c r="S205" s="8"/>
      <c r="T205" s="8"/>
      <c r="U205" s="8"/>
      <c r="V205" s="8"/>
      <c r="W205" s="8"/>
      <c r="X205" s="8"/>
      <c r="Y205" s="8"/>
      <c r="Z205" s="8"/>
      <c r="AA205" s="8"/>
      <c r="AB205" s="8"/>
      <c r="AC205" s="8"/>
      <c r="AD205" s="8"/>
    </row>
    <row r="206" spans="1:30" ht="15">
      <c r="A206" s="8"/>
      <c r="B206" s="69">
        <v>175</v>
      </c>
      <c r="C206" s="43" t="s">
        <v>549</v>
      </c>
      <c r="D206" s="43">
        <f>0.18*2^9.4</f>
        <v>121.60584905682992</v>
      </c>
      <c r="E206" s="43">
        <f t="shared" si="4"/>
        <v>0.95949386590249186</v>
      </c>
      <c r="F206" s="71">
        <f t="shared" si="5"/>
        <v>95.94938659024919</v>
      </c>
      <c r="G206" s="84">
        <f t="shared" si="6"/>
        <v>981.56222481824921</v>
      </c>
      <c r="H206" s="43"/>
      <c r="I206" s="185">
        <f t="shared" si="9"/>
        <v>62880.430501919807</v>
      </c>
      <c r="J206" s="8"/>
      <c r="K206" s="8"/>
      <c r="L206" s="8"/>
      <c r="M206" s="8"/>
      <c r="N206" s="8"/>
      <c r="O206" s="8"/>
      <c r="P206" s="8"/>
      <c r="Q206" s="8"/>
      <c r="R206" s="8"/>
      <c r="S206" s="8"/>
      <c r="T206" s="8"/>
      <c r="U206" s="8"/>
      <c r="V206" s="8"/>
      <c r="W206" s="8"/>
      <c r="X206" s="8"/>
      <c r="Y206" s="8"/>
      <c r="Z206" s="8"/>
      <c r="AA206" s="8"/>
      <c r="AB206" s="8"/>
      <c r="AC206" s="8"/>
      <c r="AD206" s="8"/>
    </row>
    <row r="207" spans="1:30" ht="15">
      <c r="A207" s="8"/>
      <c r="B207" s="69">
        <v>176</v>
      </c>
      <c r="C207" s="43" t="s">
        <v>550</v>
      </c>
      <c r="D207" s="43">
        <f>0.18*2^9.5</f>
        <v>130.33392190830443</v>
      </c>
      <c r="E207" s="43">
        <f t="shared" si="4"/>
        <v>0.96624454667280824</v>
      </c>
      <c r="F207" s="71">
        <f t="shared" si="5"/>
        <v>96.62445466728083</v>
      </c>
      <c r="G207" s="84">
        <f t="shared" si="6"/>
        <v>988.46817124628285</v>
      </c>
      <c r="H207" s="43"/>
      <c r="I207" s="185">
        <f t="shared" si="9"/>
        <v>63322.836366202486</v>
      </c>
      <c r="J207" s="8"/>
      <c r="K207" s="8"/>
      <c r="L207" s="8"/>
      <c r="M207" s="8"/>
      <c r="N207" s="8"/>
      <c r="O207" s="8"/>
      <c r="P207" s="8"/>
      <c r="Q207" s="8"/>
      <c r="R207" s="8"/>
      <c r="S207" s="8"/>
      <c r="T207" s="8"/>
      <c r="U207" s="8"/>
      <c r="V207" s="8"/>
      <c r="W207" s="8"/>
      <c r="X207" s="8"/>
      <c r="Y207" s="8"/>
      <c r="Z207" s="8"/>
      <c r="AA207" s="8"/>
      <c r="AB207" s="8"/>
      <c r="AC207" s="8"/>
      <c r="AD207" s="8"/>
    </row>
    <row r="208" spans="1:30" ht="15">
      <c r="A208" s="8"/>
      <c r="B208" s="69">
        <v>177</v>
      </c>
      <c r="C208" s="43" t="s">
        <v>551</v>
      </c>
      <c r="D208" s="43">
        <f>0.18*2^9.6</f>
        <v>139.68843876959826</v>
      </c>
      <c r="E208" s="43">
        <f t="shared" si="4"/>
        <v>0.97299528637886867</v>
      </c>
      <c r="F208" s="71">
        <f t="shared" si="5"/>
        <v>97.299528637886866</v>
      </c>
      <c r="G208" s="84">
        <f t="shared" si="6"/>
        <v>995.3741779655827</v>
      </c>
      <c r="H208" s="43"/>
      <c r="I208" s="185">
        <f t="shared" si="9"/>
        <v>63765.246092839159</v>
      </c>
      <c r="J208" s="8"/>
      <c r="K208" s="8"/>
      <c r="L208" s="8"/>
      <c r="M208" s="8"/>
      <c r="N208" s="8"/>
      <c r="O208" s="8"/>
      <c r="P208" s="8"/>
      <c r="Q208" s="8"/>
      <c r="R208" s="8"/>
      <c r="S208" s="8"/>
      <c r="T208" s="8"/>
      <c r="U208" s="8"/>
      <c r="V208" s="8"/>
      <c r="W208" s="8"/>
      <c r="X208" s="8"/>
      <c r="Y208" s="8"/>
      <c r="Z208" s="8"/>
      <c r="AA208" s="8"/>
      <c r="AB208" s="8"/>
      <c r="AC208" s="8"/>
      <c r="AD208" s="8"/>
    </row>
    <row r="209" spans="1:30" ht="15">
      <c r="A209" s="8"/>
      <c r="B209" s="69">
        <v>178</v>
      </c>
      <c r="C209" s="43" t="s">
        <v>552</v>
      </c>
      <c r="D209" s="43">
        <f>0.18*2^9.7</f>
        <v>149.71436169638119</v>
      </c>
      <c r="E209" s="43">
        <f t="shared" si="4"/>
        <v>0.97974608107485106</v>
      </c>
      <c r="F209" s="71">
        <f t="shared" si="5"/>
        <v>97.974608107485111</v>
      </c>
      <c r="G209" s="84">
        <f t="shared" si="6"/>
        <v>1002.2802409395726</v>
      </c>
      <c r="H209" s="43"/>
      <c r="I209" s="185">
        <f t="shared" si="9"/>
        <v>64207.659423240366</v>
      </c>
      <c r="J209" s="8"/>
      <c r="K209" s="8"/>
      <c r="L209" s="8"/>
      <c r="M209" s="8"/>
      <c r="N209" s="8"/>
      <c r="O209" s="8"/>
      <c r="P209" s="8"/>
      <c r="Q209" s="8"/>
      <c r="R209" s="8"/>
      <c r="S209" s="8"/>
      <c r="T209" s="8"/>
      <c r="U209" s="8"/>
      <c r="V209" s="8"/>
      <c r="W209" s="8"/>
      <c r="X209" s="8"/>
      <c r="Y209" s="8"/>
      <c r="Z209" s="8"/>
      <c r="AA209" s="8"/>
      <c r="AB209" s="8"/>
      <c r="AC209" s="8"/>
      <c r="AD209" s="8"/>
    </row>
    <row r="210" spans="1:30" ht="15">
      <c r="A210" s="8"/>
      <c r="B210" s="69">
        <v>179</v>
      </c>
      <c r="C210" s="43" t="s">
        <v>553</v>
      </c>
      <c r="D210" s="43">
        <f>0.18*2^9.8</f>
        <v>160.4598798267416</v>
      </c>
      <c r="E210" s="43">
        <f t="shared" si="4"/>
        <v>0.98649692707905345</v>
      </c>
      <c r="F210" s="71">
        <f t="shared" si="5"/>
        <v>98.649692707905345</v>
      </c>
      <c r="G210" s="84">
        <f t="shared" si="6"/>
        <v>1009.1863564018716</v>
      </c>
      <c r="H210" s="43"/>
      <c r="I210" s="185">
        <f t="shared" si="9"/>
        <v>64650.076116125769</v>
      </c>
      <c r="J210" s="8"/>
      <c r="K210" s="8"/>
      <c r="L210" s="8"/>
      <c r="M210" s="8"/>
      <c r="N210" s="8"/>
      <c r="O210" s="8"/>
      <c r="P210" s="8"/>
      <c r="Q210" s="8"/>
      <c r="R210" s="8"/>
      <c r="S210" s="8"/>
      <c r="T210" s="8"/>
      <c r="U210" s="8"/>
      <c r="V210" s="8"/>
      <c r="W210" s="8"/>
      <c r="X210" s="8"/>
      <c r="Y210" s="8"/>
      <c r="Z210" s="8"/>
      <c r="AA210" s="8"/>
      <c r="AB210" s="8"/>
      <c r="AC210" s="8"/>
      <c r="AD210" s="8"/>
    </row>
    <row r="211" spans="1:30" ht="15">
      <c r="A211" s="8"/>
      <c r="B211" s="69">
        <v>180</v>
      </c>
      <c r="C211" s="43" t="s">
        <v>554</v>
      </c>
      <c r="D211" s="43">
        <f>0.18*2^9.9</f>
        <v>171.97664100006435</v>
      </c>
      <c r="E211" s="43">
        <f t="shared" si="4"/>
        <v>0.99324782095622099</v>
      </c>
      <c r="F211" s="71">
        <f t="shared" si="5"/>
        <v>99.324782095622098</v>
      </c>
      <c r="G211" s="84">
        <f t="shared" si="6"/>
        <v>1016.0925208382141</v>
      </c>
      <c r="H211" s="43"/>
      <c r="I211" s="185">
        <f t="shared" si="9"/>
        <v>65092.49594636594</v>
      </c>
      <c r="J211" s="8"/>
      <c r="K211" s="8"/>
      <c r="L211" s="8"/>
      <c r="M211" s="8"/>
      <c r="N211" s="8"/>
      <c r="O211" s="8"/>
      <c r="P211" s="8"/>
      <c r="Q211" s="8"/>
      <c r="R211" s="8"/>
      <c r="S211" s="8"/>
      <c r="T211" s="8"/>
      <c r="U211" s="8"/>
      <c r="V211" s="8"/>
      <c r="W211" s="8"/>
      <c r="X211" s="8"/>
      <c r="Y211" s="8"/>
      <c r="Z211" s="8"/>
      <c r="AA211" s="8"/>
      <c r="AB211" s="8"/>
      <c r="AC211" s="8"/>
      <c r="AD211" s="8"/>
    </row>
    <row r="212" spans="1:30" ht="15">
      <c r="A212" s="8"/>
      <c r="B212" s="69">
        <v>181</v>
      </c>
      <c r="C212" s="43" t="s">
        <v>555</v>
      </c>
      <c r="D212" s="43">
        <f>0.18*2^10</f>
        <v>184.32</v>
      </c>
      <c r="E212" s="43">
        <f t="shared" si="4"/>
        <v>0.9999987595010571</v>
      </c>
      <c r="F212" s="71">
        <f t="shared" si="5"/>
        <v>99.999875950105704</v>
      </c>
      <c r="G212" s="84">
        <f t="shared" si="6"/>
        <v>1022.9987309695814</v>
      </c>
      <c r="H212" s="43" t="s">
        <v>588</v>
      </c>
      <c r="I212" s="185">
        <f t="shared" si="9"/>
        <v>65534.918703901778</v>
      </c>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row>
    <row r="1005" spans="1:30"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c r="AD1005" s="8"/>
    </row>
  </sheetData>
  <mergeCells count="2">
    <mergeCell ref="D2:G2"/>
    <mergeCell ref="D30:G30"/>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D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30" ht="13">
      <c r="A1" s="8"/>
      <c r="B1" s="9"/>
      <c r="C1" s="9"/>
      <c r="D1" s="9"/>
      <c r="E1" s="9"/>
      <c r="F1" s="9"/>
      <c r="G1" s="9"/>
      <c r="H1" s="9"/>
      <c r="I1" s="8"/>
      <c r="J1" s="8"/>
      <c r="K1" s="8"/>
      <c r="L1" s="8"/>
      <c r="M1" s="8"/>
      <c r="N1" s="8"/>
      <c r="O1" s="8"/>
      <c r="P1" s="8"/>
      <c r="Q1" s="8"/>
      <c r="R1" s="8"/>
      <c r="S1" s="8"/>
      <c r="T1" s="8"/>
      <c r="U1" s="8"/>
      <c r="V1" s="8"/>
      <c r="W1" s="8"/>
      <c r="X1" s="8"/>
      <c r="Y1" s="8"/>
      <c r="Z1" s="8"/>
      <c r="AA1" s="8"/>
      <c r="AB1" s="8"/>
      <c r="AC1" s="8"/>
      <c r="AD1" s="8"/>
    </row>
    <row r="2" spans="1:30" ht="29.25" customHeight="1">
      <c r="A2" s="8"/>
      <c r="B2" s="56"/>
      <c r="C2" s="12" t="s">
        <v>589</v>
      </c>
      <c r="D2" s="174" t="s">
        <v>142</v>
      </c>
      <c r="E2" s="170"/>
      <c r="F2" s="170"/>
      <c r="G2" s="171"/>
      <c r="H2" s="16"/>
      <c r="I2" s="8"/>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f t="shared" ref="E4:E12" si="0">(0.45310179*LOG10((10.1596*(D4/0.9))+1))+0.12512248</f>
        <v>0.12512564471147067</v>
      </c>
      <c r="F4" s="18">
        <f t="shared" ref="F4:F26" si="1">E4*100</f>
        <v>12.512564471147067</v>
      </c>
      <c r="G4" s="33">
        <f t="shared" ref="G4:G26" si="2">E4*1023</f>
        <v>128.0035345398345</v>
      </c>
      <c r="H4" s="16" t="s">
        <v>161</v>
      </c>
      <c r="I4" s="8"/>
      <c r="J4" s="64" t="s">
        <v>162</v>
      </c>
      <c r="K4" s="8"/>
      <c r="L4" s="8"/>
      <c r="M4" s="8"/>
      <c r="O4" s="8"/>
      <c r="P4" s="8"/>
      <c r="Q4" s="8"/>
      <c r="R4" s="8"/>
      <c r="S4" s="8"/>
      <c r="T4" s="8"/>
      <c r="U4" s="8"/>
      <c r="V4" s="8"/>
      <c r="W4" s="8"/>
      <c r="X4" s="8"/>
      <c r="Y4" s="8"/>
      <c r="Z4" s="8"/>
      <c r="AA4" s="8"/>
      <c r="AB4" s="8"/>
      <c r="AC4" s="8"/>
      <c r="AD4" s="8"/>
    </row>
    <row r="5" spans="1:30" ht="13">
      <c r="A5" s="58"/>
      <c r="B5" s="50">
        <v>2</v>
      </c>
      <c r="C5" s="16" t="s">
        <v>76</v>
      </c>
      <c r="D5" s="17">
        <v>7.0312499999999997E-4</v>
      </c>
      <c r="E5" s="43">
        <f t="shared" si="0"/>
        <v>0.12667819078900661</v>
      </c>
      <c r="F5" s="18">
        <f t="shared" si="1"/>
        <v>12.66781907890066</v>
      </c>
      <c r="G5" s="33">
        <f t="shared" si="2"/>
        <v>129.59178917715377</v>
      </c>
      <c r="H5" s="16" t="s">
        <v>164</v>
      </c>
      <c r="I5" s="8"/>
      <c r="J5" s="56" t="s">
        <v>165</v>
      </c>
      <c r="K5" s="8"/>
      <c r="L5" s="8"/>
      <c r="M5" s="8"/>
      <c r="O5" s="8"/>
      <c r="P5" s="8"/>
      <c r="Q5" s="8"/>
      <c r="R5" s="8"/>
      <c r="S5" s="8"/>
      <c r="T5" s="8"/>
      <c r="U5" s="8"/>
      <c r="V5" s="8"/>
      <c r="W5" s="8"/>
      <c r="X5" s="8"/>
      <c r="Y5" s="8"/>
      <c r="Z5" s="8"/>
      <c r="AA5" s="8"/>
      <c r="AB5" s="8"/>
      <c r="AC5" s="8"/>
      <c r="AD5" s="8"/>
    </row>
    <row r="6" spans="1:30" ht="13">
      <c r="A6" s="58"/>
      <c r="B6" s="50">
        <v>3</v>
      </c>
      <c r="C6" s="16" t="s">
        <v>77</v>
      </c>
      <c r="D6" s="17">
        <v>1.4062499999999999E-3</v>
      </c>
      <c r="E6" s="43">
        <f t="shared" si="0"/>
        <v>0.12822169876666681</v>
      </c>
      <c r="F6" s="18">
        <f t="shared" si="1"/>
        <v>12.822169876666681</v>
      </c>
      <c r="G6" s="33">
        <f t="shared" si="2"/>
        <v>131.17079783830013</v>
      </c>
      <c r="H6" s="12"/>
      <c r="I6" s="8"/>
      <c r="J6" s="8"/>
      <c r="K6" s="8"/>
      <c r="L6" s="8"/>
      <c r="M6" s="8"/>
      <c r="O6" s="8"/>
      <c r="P6" s="8"/>
      <c r="Q6" s="8"/>
      <c r="R6" s="8"/>
      <c r="S6" s="8"/>
      <c r="T6" s="8"/>
      <c r="U6" s="8"/>
      <c r="V6" s="8"/>
      <c r="W6" s="8"/>
      <c r="X6" s="8"/>
      <c r="Y6" s="8"/>
      <c r="Z6" s="8"/>
      <c r="AA6" s="8"/>
      <c r="AB6" s="8"/>
      <c r="AC6" s="8"/>
      <c r="AD6" s="8"/>
    </row>
    <row r="7" spans="1:30" ht="15">
      <c r="A7" s="58"/>
      <c r="B7" s="50">
        <v>4</v>
      </c>
      <c r="C7" s="16" t="s">
        <v>78</v>
      </c>
      <c r="D7" s="17">
        <v>2.8124999999999999E-3</v>
      </c>
      <c r="E7" s="43">
        <f t="shared" si="0"/>
        <v>0.13127286167068228</v>
      </c>
      <c r="F7" s="18">
        <f t="shared" si="1"/>
        <v>13.127286167068227</v>
      </c>
      <c r="G7" s="33">
        <f t="shared" si="2"/>
        <v>134.29213748910797</v>
      </c>
      <c r="H7" s="107" t="s">
        <v>590</v>
      </c>
      <c r="I7" s="8"/>
      <c r="K7" s="8"/>
      <c r="L7" s="8"/>
      <c r="M7" s="8"/>
      <c r="O7" s="8"/>
      <c r="P7" s="8"/>
      <c r="Q7" s="8"/>
      <c r="R7" s="8"/>
      <c r="S7" s="8"/>
      <c r="T7" s="8"/>
      <c r="U7" s="8"/>
      <c r="V7" s="8"/>
      <c r="W7" s="8"/>
      <c r="X7" s="8"/>
      <c r="Y7" s="8"/>
      <c r="Z7" s="8"/>
      <c r="AA7" s="8"/>
      <c r="AB7" s="8"/>
      <c r="AC7" s="8"/>
      <c r="AD7" s="8"/>
    </row>
    <row r="8" spans="1:30" ht="13">
      <c r="A8" s="58"/>
      <c r="B8" s="50">
        <v>5</v>
      </c>
      <c r="C8" s="16" t="s">
        <v>79</v>
      </c>
      <c r="D8" s="17">
        <v>5.6249999999999998E-3</v>
      </c>
      <c r="E8" s="43">
        <f t="shared" si="0"/>
        <v>0.13723682392367245</v>
      </c>
      <c r="F8" s="18">
        <f t="shared" si="1"/>
        <v>13.723682392367245</v>
      </c>
      <c r="G8" s="33">
        <f t="shared" si="2"/>
        <v>140.39327087391692</v>
      </c>
      <c r="H8" s="16"/>
      <c r="I8" s="8"/>
      <c r="J8" s="2" t="s">
        <v>591</v>
      </c>
      <c r="K8" s="8"/>
      <c r="L8" s="8"/>
      <c r="M8" s="8"/>
      <c r="O8" s="8"/>
      <c r="P8" s="8"/>
      <c r="Q8" s="8"/>
      <c r="R8" s="8"/>
      <c r="S8" s="8"/>
      <c r="T8" s="8"/>
      <c r="U8" s="8"/>
      <c r="V8" s="8"/>
      <c r="W8" s="8"/>
      <c r="X8" s="8"/>
      <c r="Y8" s="8"/>
      <c r="Z8" s="8"/>
      <c r="AA8" s="8"/>
      <c r="AB8" s="8"/>
      <c r="AC8" s="8"/>
      <c r="AD8" s="8"/>
    </row>
    <row r="9" spans="1:30" ht="13">
      <c r="A9" s="58"/>
      <c r="B9" s="50">
        <v>6</v>
      </c>
      <c r="C9" s="16" t="s">
        <v>80</v>
      </c>
      <c r="D9" s="17">
        <v>1.125E-2</v>
      </c>
      <c r="E9" s="43">
        <f t="shared" si="0"/>
        <v>0.14864842627837491</v>
      </c>
      <c r="F9" s="18">
        <f t="shared" si="1"/>
        <v>14.86484262783749</v>
      </c>
      <c r="G9" s="33">
        <f t="shared" si="2"/>
        <v>152.06734008277752</v>
      </c>
      <c r="H9" s="16"/>
      <c r="I9" s="8"/>
      <c r="J9" s="8" t="s">
        <v>592</v>
      </c>
      <c r="K9" s="8"/>
      <c r="L9" s="8"/>
      <c r="M9" s="8"/>
      <c r="O9" s="8"/>
      <c r="P9" s="8"/>
      <c r="Q9" s="8"/>
      <c r="R9" s="8"/>
      <c r="S9" s="8"/>
      <c r="T9" s="8"/>
      <c r="U9" s="8"/>
      <c r="V9" s="8"/>
      <c r="W9" s="8"/>
      <c r="X9" s="8"/>
      <c r="Y9" s="8"/>
      <c r="Z9" s="8"/>
      <c r="AA9" s="8"/>
      <c r="AB9" s="8"/>
      <c r="AC9" s="8"/>
      <c r="AD9" s="8"/>
    </row>
    <row r="10" spans="1:30" ht="13">
      <c r="A10" s="58"/>
      <c r="B10" s="50">
        <v>7</v>
      </c>
      <c r="C10" s="16" t="s">
        <v>81</v>
      </c>
      <c r="D10" s="17">
        <v>2.2499999999999999E-2</v>
      </c>
      <c r="E10" s="43">
        <f t="shared" si="0"/>
        <v>0.16965970051671303</v>
      </c>
      <c r="F10" s="18">
        <f t="shared" si="1"/>
        <v>16.965970051671302</v>
      </c>
      <c r="G10" s="33">
        <f t="shared" si="2"/>
        <v>173.56187362859743</v>
      </c>
      <c r="H10" s="16"/>
      <c r="I10" s="8"/>
      <c r="J10" s="8" t="s">
        <v>593</v>
      </c>
      <c r="K10" s="8"/>
      <c r="L10" s="8"/>
      <c r="M10" s="8"/>
      <c r="O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f t="shared" si="0"/>
        <v>0.20595383736092604</v>
      </c>
      <c r="F11" s="18">
        <f t="shared" si="1"/>
        <v>20.595383736092604</v>
      </c>
      <c r="G11" s="33">
        <f t="shared" si="2"/>
        <v>210.69077562022733</v>
      </c>
      <c r="H11" s="16"/>
      <c r="I11" s="8"/>
      <c r="J11" s="8" t="s">
        <v>594</v>
      </c>
      <c r="K11" s="8"/>
      <c r="L11" s="8"/>
      <c r="M11" s="8"/>
      <c r="P11" s="8"/>
      <c r="Q11" s="8"/>
      <c r="R11" s="8"/>
      <c r="S11" s="8"/>
      <c r="T11" s="8"/>
      <c r="U11" s="8"/>
      <c r="V11" s="8"/>
      <c r="W11" s="8"/>
      <c r="X11" s="8"/>
      <c r="Y11" s="8"/>
      <c r="Z11" s="8"/>
      <c r="AA11" s="8"/>
      <c r="AB11" s="8"/>
      <c r="AC11" s="8"/>
      <c r="AD11" s="8"/>
    </row>
    <row r="12" spans="1:30" ht="13">
      <c r="A12" s="58"/>
      <c r="B12" s="50">
        <v>9</v>
      </c>
      <c r="C12" s="16" t="s">
        <v>83</v>
      </c>
      <c r="D12" s="17">
        <v>0.09</v>
      </c>
      <c r="E12" s="43">
        <f t="shared" si="0"/>
        <v>0.26308377877619327</v>
      </c>
      <c r="F12" s="18">
        <f t="shared" si="1"/>
        <v>26.308377877619328</v>
      </c>
      <c r="G12" s="33">
        <f t="shared" si="2"/>
        <v>269.1347056880457</v>
      </c>
      <c r="H12" s="16"/>
      <c r="I12" s="8"/>
      <c r="J12" s="2" t="s">
        <v>595</v>
      </c>
      <c r="K12" s="8"/>
      <c r="L12" s="8"/>
      <c r="M12" s="8"/>
      <c r="O12" s="8"/>
      <c r="P12" s="8"/>
      <c r="Q12" s="8"/>
      <c r="R12" s="8"/>
      <c r="S12" s="8"/>
      <c r="T12" s="8"/>
      <c r="U12" s="8"/>
      <c r="V12" s="8"/>
      <c r="W12" s="8"/>
      <c r="X12" s="8"/>
      <c r="Y12" s="8"/>
      <c r="Z12" s="8"/>
      <c r="AA12" s="8"/>
      <c r="AB12" s="8"/>
      <c r="AC12" s="8"/>
      <c r="AD12" s="8"/>
    </row>
    <row r="13" spans="1:30" ht="13">
      <c r="A13" s="58"/>
      <c r="B13" s="50">
        <v>10</v>
      </c>
      <c r="C13" s="16" t="s">
        <v>84</v>
      </c>
      <c r="D13" s="17">
        <v>0.12727922061357799</v>
      </c>
      <c r="E13" s="43">
        <v>0.30039000386971121</v>
      </c>
      <c r="F13" s="18">
        <f t="shared" si="1"/>
        <v>30.039000386971122</v>
      </c>
      <c r="G13" s="33">
        <f t="shared" si="2"/>
        <v>307.29897395871456</v>
      </c>
      <c r="H13" s="16"/>
      <c r="I13" s="8"/>
      <c r="K13" s="8"/>
      <c r="L13" s="8"/>
      <c r="M13" s="8"/>
      <c r="O13" s="8"/>
      <c r="P13" s="8"/>
      <c r="Q13" s="8"/>
      <c r="R13" s="8"/>
      <c r="S13" s="8"/>
      <c r="T13" s="8"/>
      <c r="U13" s="8"/>
      <c r="V13" s="8"/>
      <c r="W13" s="8"/>
      <c r="X13" s="8"/>
      <c r="Y13" s="8"/>
      <c r="Z13" s="8"/>
      <c r="AA13" s="8"/>
      <c r="AB13" s="8"/>
      <c r="AC13" s="8"/>
      <c r="AD13" s="8"/>
    </row>
    <row r="14" spans="1:30" ht="13">
      <c r="A14" s="58"/>
      <c r="B14" s="50">
        <v>11</v>
      </c>
      <c r="C14" s="43" t="s">
        <v>85</v>
      </c>
      <c r="D14" s="69">
        <f>0.18*2^-0.1</f>
        <v>0.16794593847662534</v>
      </c>
      <c r="E14" s="43">
        <f t="shared" ref="E14:E26" si="3">(0.45310179*LOG10((10.1596*(D14/0.9))+1))+0.12512248</f>
        <v>0.33435393147179426</v>
      </c>
      <c r="F14" s="18">
        <f t="shared" si="1"/>
        <v>33.435393147179425</v>
      </c>
      <c r="G14" s="33">
        <f t="shared" si="2"/>
        <v>342.04407189564552</v>
      </c>
      <c r="H14" s="16"/>
      <c r="I14" s="8"/>
      <c r="J14" s="8" t="s">
        <v>596</v>
      </c>
      <c r="K14" s="8"/>
      <c r="L14" s="8"/>
      <c r="M14" s="8"/>
      <c r="O14" s="8"/>
      <c r="P14" s="8"/>
      <c r="Q14" s="8"/>
      <c r="R14" s="8"/>
      <c r="S14" s="8"/>
      <c r="T14" s="8"/>
      <c r="U14" s="8"/>
      <c r="V14" s="8"/>
      <c r="W14" s="8"/>
      <c r="X14" s="8"/>
      <c r="Y14" s="8"/>
      <c r="Z14" s="8"/>
      <c r="AA14" s="8"/>
      <c r="AB14" s="8"/>
      <c r="AC14" s="8"/>
      <c r="AD14" s="8"/>
    </row>
    <row r="15" spans="1:30" ht="13">
      <c r="A15" s="58"/>
      <c r="B15" s="50">
        <v>12</v>
      </c>
      <c r="C15" s="16" t="s">
        <v>86</v>
      </c>
      <c r="D15" s="17">
        <v>0.18</v>
      </c>
      <c r="E15" s="43">
        <f t="shared" si="3"/>
        <v>0.3433896492952806</v>
      </c>
      <c r="F15" s="18">
        <f t="shared" si="1"/>
        <v>34.338964929528061</v>
      </c>
      <c r="G15" s="33">
        <f t="shared" si="2"/>
        <v>351.28761122907207</v>
      </c>
      <c r="H15" s="16"/>
      <c r="I15" s="8"/>
      <c r="J15" s="8" t="s">
        <v>597</v>
      </c>
      <c r="K15" s="8"/>
      <c r="L15" s="8"/>
      <c r="M15" s="8"/>
      <c r="O15" s="8"/>
      <c r="P15" s="8"/>
      <c r="Q15" s="8"/>
      <c r="R15" s="8"/>
      <c r="S15" s="8"/>
      <c r="T15" s="8"/>
      <c r="U15" s="8"/>
      <c r="V15" s="8"/>
      <c r="W15" s="8"/>
      <c r="X15" s="8"/>
      <c r="Y15" s="8"/>
      <c r="Z15" s="8"/>
      <c r="AA15" s="8"/>
      <c r="AB15" s="8"/>
      <c r="AC15" s="8"/>
      <c r="AD15" s="8"/>
    </row>
    <row r="16" spans="1:30" ht="13">
      <c r="A16" s="58"/>
      <c r="B16" s="50">
        <v>13</v>
      </c>
      <c r="C16" s="43" t="s">
        <v>87</v>
      </c>
      <c r="D16" s="69">
        <f>0.18*2^0.2</f>
        <v>0.2067657038994663</v>
      </c>
      <c r="E16" s="43">
        <f t="shared" si="3"/>
        <v>0.36208285531263429</v>
      </c>
      <c r="F16" s="18">
        <f t="shared" si="1"/>
        <v>36.208285531263428</v>
      </c>
      <c r="G16" s="33">
        <f t="shared" si="2"/>
        <v>370.41076098482489</v>
      </c>
      <c r="H16" s="16"/>
      <c r="I16" s="8"/>
      <c r="K16" s="8"/>
      <c r="L16" s="8"/>
      <c r="M16" s="8"/>
      <c r="O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f t="shared" si="3"/>
        <v>0.39159675209084643</v>
      </c>
      <c r="F17" s="18">
        <f t="shared" si="1"/>
        <v>39.159675209084646</v>
      </c>
      <c r="G17" s="33">
        <f t="shared" si="2"/>
        <v>400.60347738893591</v>
      </c>
      <c r="H17" s="16"/>
      <c r="I17" s="8"/>
      <c r="K17" s="8"/>
      <c r="L17" s="8"/>
      <c r="M17" s="8"/>
      <c r="O17" s="8"/>
      <c r="P17" s="8"/>
      <c r="Q17" s="8"/>
      <c r="R17" s="8"/>
      <c r="S17" s="8"/>
      <c r="T17" s="8"/>
      <c r="U17" s="8"/>
      <c r="V17" s="8"/>
      <c r="W17" s="8"/>
      <c r="X17" s="8"/>
      <c r="Y17" s="8"/>
      <c r="Z17" s="8"/>
      <c r="AA17" s="8"/>
      <c r="AB17" s="8"/>
      <c r="AC17" s="8"/>
      <c r="AD17" s="8"/>
    </row>
    <row r="18" spans="1:30" ht="13">
      <c r="A18" s="58"/>
      <c r="B18" s="50">
        <v>15</v>
      </c>
      <c r="C18" s="16" t="s">
        <v>89</v>
      </c>
      <c r="D18" s="17">
        <v>0.36</v>
      </c>
      <c r="E18" s="43">
        <f t="shared" si="3"/>
        <v>0.44432361769525375</v>
      </c>
      <c r="F18" s="18">
        <f t="shared" si="1"/>
        <v>44.432361769525372</v>
      </c>
      <c r="G18" s="33">
        <f t="shared" si="2"/>
        <v>454.54306090224458</v>
      </c>
      <c r="H18" s="16"/>
      <c r="I18" s="8"/>
      <c r="K18" s="8"/>
      <c r="L18" s="8"/>
      <c r="M18" s="8"/>
      <c r="O18" s="8"/>
      <c r="P18" s="8"/>
      <c r="Q18" s="8"/>
      <c r="R18" s="8"/>
      <c r="S18" s="8"/>
      <c r="T18" s="8"/>
      <c r="U18" s="8"/>
      <c r="V18" s="8"/>
      <c r="W18" s="8"/>
      <c r="X18" s="8"/>
      <c r="Y18" s="8"/>
      <c r="Z18" s="8"/>
      <c r="AA18" s="8"/>
      <c r="AB18" s="8"/>
      <c r="AC18" s="8"/>
      <c r="AD18" s="8"/>
    </row>
    <row r="19" spans="1:30" ht="13">
      <c r="A19" s="58"/>
      <c r="B19" s="50">
        <v>16</v>
      </c>
      <c r="C19" s="16" t="s">
        <v>90</v>
      </c>
      <c r="D19" s="17">
        <v>0.72</v>
      </c>
      <c r="E19" s="43">
        <f t="shared" si="3"/>
        <v>0.5602634990470936</v>
      </c>
      <c r="F19" s="18">
        <f t="shared" si="1"/>
        <v>56.026349904709363</v>
      </c>
      <c r="G19" s="33">
        <f t="shared" si="2"/>
        <v>573.14955952517676</v>
      </c>
      <c r="H19" s="16"/>
      <c r="I19" s="8"/>
      <c r="J19" s="2" t="s">
        <v>598</v>
      </c>
      <c r="K19" s="8"/>
      <c r="L19" s="8"/>
      <c r="M19" s="8"/>
      <c r="O19" s="8"/>
      <c r="P19" s="8"/>
      <c r="Q19" s="8"/>
      <c r="R19" s="8"/>
      <c r="S19" s="8"/>
      <c r="T19" s="8"/>
      <c r="U19" s="8"/>
      <c r="V19" s="8"/>
      <c r="W19" s="8"/>
      <c r="X19" s="8"/>
      <c r="Y19" s="8"/>
      <c r="Z19" s="8"/>
      <c r="AA19" s="8"/>
      <c r="AB19" s="8"/>
      <c r="AC19" s="8"/>
      <c r="AD19" s="8"/>
    </row>
    <row r="20" spans="1:30" ht="13">
      <c r="A20" s="58"/>
      <c r="B20" s="82">
        <v>17</v>
      </c>
      <c r="C20" s="73" t="s">
        <v>91</v>
      </c>
      <c r="D20" s="74">
        <v>0.9</v>
      </c>
      <c r="E20" s="43">
        <f t="shared" si="3"/>
        <v>0.59981394873395977</v>
      </c>
      <c r="F20" s="76">
        <f t="shared" si="1"/>
        <v>59.981394873395978</v>
      </c>
      <c r="G20" s="77">
        <f t="shared" si="2"/>
        <v>613.60966955484082</v>
      </c>
      <c r="H20" s="73" t="s">
        <v>205</v>
      </c>
      <c r="I20" s="8"/>
      <c r="J20" s="8" t="s">
        <v>599</v>
      </c>
      <c r="K20" s="8"/>
      <c r="L20" s="8"/>
      <c r="M20" s="8"/>
      <c r="O20" s="8"/>
      <c r="P20" s="8"/>
      <c r="Q20" s="8"/>
      <c r="R20" s="8"/>
      <c r="S20" s="8"/>
      <c r="T20" s="8"/>
      <c r="U20" s="8"/>
      <c r="V20" s="8"/>
      <c r="W20" s="8"/>
      <c r="X20" s="8"/>
      <c r="Y20" s="8"/>
      <c r="Z20" s="8"/>
      <c r="AA20" s="8"/>
      <c r="AB20" s="8"/>
      <c r="AC20" s="8"/>
      <c r="AD20" s="8"/>
    </row>
    <row r="21" spans="1:30" ht="13">
      <c r="A21" s="58"/>
      <c r="B21" s="50">
        <v>18</v>
      </c>
      <c r="C21" s="16" t="s">
        <v>92</v>
      </c>
      <c r="D21" s="17">
        <v>1.44</v>
      </c>
      <c r="E21" s="43">
        <f t="shared" si="3"/>
        <v>0.68557496956942088</v>
      </c>
      <c r="F21" s="18">
        <f t="shared" si="1"/>
        <v>68.557496956942089</v>
      </c>
      <c r="G21" s="33">
        <f t="shared" si="2"/>
        <v>701.34319386951756</v>
      </c>
      <c r="H21" s="16"/>
      <c r="I21" s="8"/>
      <c r="J21" s="8" t="s">
        <v>600</v>
      </c>
      <c r="K21" s="8"/>
      <c r="L21" s="8"/>
      <c r="M21" s="8"/>
      <c r="O21" s="8"/>
      <c r="P21" s="8"/>
      <c r="Q21" s="8"/>
      <c r="R21" s="8"/>
      <c r="S21" s="8"/>
      <c r="T21" s="8"/>
      <c r="U21" s="8"/>
      <c r="V21" s="8"/>
      <c r="W21" s="8"/>
      <c r="X21" s="8"/>
      <c r="Y21" s="8"/>
      <c r="Z21" s="8"/>
      <c r="AA21" s="8"/>
      <c r="AB21" s="8"/>
      <c r="AC21" s="8"/>
      <c r="AD21" s="8"/>
    </row>
    <row r="22" spans="1:30" ht="13">
      <c r="A22" s="58"/>
      <c r="B22" s="50">
        <v>19</v>
      </c>
      <c r="C22" s="16" t="s">
        <v>93</v>
      </c>
      <c r="D22" s="17">
        <v>2.88</v>
      </c>
      <c r="E22" s="43">
        <f t="shared" si="3"/>
        <v>0.81618597129991621</v>
      </c>
      <c r="F22" s="18">
        <f t="shared" si="1"/>
        <v>81.618597129991628</v>
      </c>
      <c r="G22" s="33">
        <f t="shared" si="2"/>
        <v>834.95824863981431</v>
      </c>
      <c r="H22" s="16"/>
      <c r="I22" s="8"/>
      <c r="J22" s="8" t="s">
        <v>601</v>
      </c>
      <c r="K22" s="8"/>
      <c r="L22" s="8"/>
      <c r="M22" s="8"/>
      <c r="O22" s="8"/>
      <c r="P22" s="8"/>
      <c r="Q22" s="8"/>
      <c r="R22" s="8"/>
      <c r="S22" s="8"/>
      <c r="T22" s="8"/>
      <c r="U22" s="8"/>
      <c r="V22" s="8"/>
      <c r="W22" s="8"/>
      <c r="X22" s="8"/>
      <c r="Y22" s="8"/>
      <c r="Z22" s="8"/>
      <c r="AA22" s="8"/>
      <c r="AB22" s="8"/>
      <c r="AC22" s="8"/>
      <c r="AD22" s="8"/>
    </row>
    <row r="23" spans="1:30" ht="13">
      <c r="A23" s="58"/>
      <c r="B23" s="50">
        <v>20</v>
      </c>
      <c r="C23" s="16" t="s">
        <v>94</v>
      </c>
      <c r="D23" s="17">
        <v>5.76</v>
      </c>
      <c r="E23" s="43">
        <f t="shared" si="3"/>
        <v>0.94962500735440558</v>
      </c>
      <c r="F23" s="18">
        <f t="shared" si="1"/>
        <v>94.962500735440557</v>
      </c>
      <c r="G23" s="33">
        <f t="shared" si="2"/>
        <v>971.46638252355694</v>
      </c>
      <c r="H23" s="16" t="s">
        <v>602</v>
      </c>
      <c r="I23" s="8"/>
      <c r="J23" s="8" t="s">
        <v>603</v>
      </c>
      <c r="K23" s="8"/>
      <c r="L23" s="8"/>
      <c r="M23" s="8"/>
      <c r="O23" s="8"/>
      <c r="P23" s="8"/>
      <c r="Q23" s="8"/>
      <c r="R23" s="8"/>
      <c r="S23" s="8"/>
      <c r="T23" s="8"/>
      <c r="U23" s="8"/>
      <c r="V23" s="8"/>
      <c r="W23" s="8"/>
      <c r="X23" s="8"/>
      <c r="Y23" s="8"/>
      <c r="Z23" s="8"/>
      <c r="AA23" s="8"/>
      <c r="AB23" s="8"/>
      <c r="AC23" s="8"/>
      <c r="AD23" s="8"/>
    </row>
    <row r="24" spans="1:30" ht="13">
      <c r="A24" s="58"/>
      <c r="B24" s="50">
        <v>21</v>
      </c>
      <c r="C24" s="16" t="s">
        <v>95</v>
      </c>
      <c r="D24" s="17">
        <v>11.52</v>
      </c>
      <c r="E24" s="43">
        <f t="shared" si="3"/>
        <v>1.0845262949610037</v>
      </c>
      <c r="F24" s="18">
        <f t="shared" si="1"/>
        <v>108.45262949610037</v>
      </c>
      <c r="G24" s="33">
        <f t="shared" si="2"/>
        <v>1109.4703997451068</v>
      </c>
      <c r="H24" s="16"/>
      <c r="I24" s="8"/>
      <c r="K24" s="8"/>
      <c r="L24" s="8"/>
      <c r="M24" s="8"/>
      <c r="O24" s="8"/>
      <c r="P24" s="8"/>
      <c r="Q24" s="8"/>
      <c r="R24" s="8"/>
      <c r="S24" s="8"/>
      <c r="T24" s="8"/>
      <c r="U24" s="8"/>
      <c r="V24" s="8"/>
      <c r="W24" s="8"/>
      <c r="X24" s="8"/>
      <c r="Y24" s="8"/>
      <c r="Z24" s="8"/>
      <c r="AA24" s="8"/>
      <c r="AB24" s="8"/>
      <c r="AC24" s="8"/>
      <c r="AD24" s="8"/>
    </row>
    <row r="25" spans="1:30" ht="13">
      <c r="A25" s="58"/>
      <c r="B25" s="50">
        <v>22</v>
      </c>
      <c r="C25" s="16" t="s">
        <v>96</v>
      </c>
      <c r="D25" s="17">
        <v>23.04</v>
      </c>
      <c r="E25" s="43">
        <f t="shared" si="3"/>
        <v>1.2201712673517779</v>
      </c>
      <c r="F25" s="18">
        <f t="shared" si="1"/>
        <v>122.0171267351778</v>
      </c>
      <c r="G25" s="33">
        <f t="shared" si="2"/>
        <v>1248.2352065008688</v>
      </c>
      <c r="H25" s="16"/>
      <c r="I25" s="8"/>
      <c r="K25" s="8"/>
      <c r="L25" s="8"/>
      <c r="M25" s="8"/>
      <c r="O25" s="8"/>
      <c r="P25" s="8"/>
      <c r="Q25" s="8"/>
      <c r="R25" s="8"/>
      <c r="S25" s="8"/>
      <c r="T25" s="8"/>
      <c r="U25" s="8"/>
      <c r="V25" s="8"/>
      <c r="W25" s="8"/>
      <c r="X25" s="8"/>
      <c r="Y25" s="8"/>
      <c r="Z25" s="8"/>
      <c r="AA25" s="8"/>
      <c r="AB25" s="8"/>
      <c r="AC25" s="8"/>
      <c r="AD25" s="8"/>
    </row>
    <row r="26" spans="1:30" ht="13">
      <c r="A26" s="58"/>
      <c r="B26" s="50">
        <v>23</v>
      </c>
      <c r="C26" s="16" t="s">
        <v>97</v>
      </c>
      <c r="D26" s="17">
        <v>46.08</v>
      </c>
      <c r="E26" s="43">
        <f t="shared" si="3"/>
        <v>1.3561912873202731</v>
      </c>
      <c r="F26" s="18">
        <f t="shared" si="1"/>
        <v>135.61912873202729</v>
      </c>
      <c r="G26" s="33">
        <f t="shared" si="2"/>
        <v>1387.3836869286392</v>
      </c>
      <c r="H26" s="16"/>
      <c r="I26" s="8"/>
      <c r="J26" s="8"/>
      <c r="K26" s="8"/>
      <c r="L26" s="8"/>
      <c r="M26" s="8"/>
      <c r="O26" s="8"/>
      <c r="P26" s="8"/>
      <c r="Q26" s="8"/>
      <c r="R26" s="8"/>
      <c r="S26" s="8"/>
      <c r="T26" s="8"/>
      <c r="U26" s="8"/>
      <c r="V26" s="8"/>
      <c r="W26" s="8"/>
      <c r="X26" s="8"/>
      <c r="Y26" s="8"/>
      <c r="Z26" s="8"/>
      <c r="AA26" s="8"/>
      <c r="AB26" s="8"/>
      <c r="AC26" s="8"/>
      <c r="AD26" s="8"/>
    </row>
    <row r="27" spans="1:30" ht="13">
      <c r="A27" s="58"/>
      <c r="B27" s="50">
        <v>24</v>
      </c>
      <c r="C27" s="5"/>
      <c r="D27" s="5"/>
      <c r="E27" s="5"/>
      <c r="F27" s="5"/>
      <c r="G27" s="5"/>
      <c r="H27" s="43"/>
      <c r="I27" s="8"/>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589</v>
      </c>
      <c r="D29" s="173" t="s">
        <v>142</v>
      </c>
      <c r="E29" s="166"/>
      <c r="F29" s="166"/>
      <c r="G29" s="167"/>
      <c r="H29" s="41" t="s">
        <v>228</v>
      </c>
      <c r="I29" s="8"/>
      <c r="J29" s="8"/>
      <c r="Y29" s="8"/>
      <c r="Z29" s="8"/>
      <c r="AA29" s="8"/>
      <c r="AB29" s="8"/>
      <c r="AC29" s="8"/>
      <c r="AD29" s="8"/>
    </row>
    <row r="30" spans="1:30" ht="42">
      <c r="A30" s="8"/>
      <c r="B30" s="41" t="s">
        <v>58</v>
      </c>
      <c r="C30" s="41" t="s">
        <v>59</v>
      </c>
      <c r="D30" s="41" t="s">
        <v>143</v>
      </c>
      <c r="E30" s="83" t="s">
        <v>144</v>
      </c>
      <c r="F30" s="83" t="s">
        <v>145</v>
      </c>
      <c r="G30" s="83" t="s">
        <v>146</v>
      </c>
      <c r="H30" s="43"/>
      <c r="I30" s="8"/>
      <c r="Y30" s="8"/>
      <c r="Z30" s="8"/>
      <c r="AA30" s="8"/>
      <c r="AB30" s="8"/>
      <c r="AC30" s="8"/>
      <c r="AD30" s="8"/>
    </row>
    <row r="31" spans="1:30" ht="15">
      <c r="A31" s="58"/>
      <c r="B31" s="69">
        <v>1</v>
      </c>
      <c r="C31" s="43" t="s">
        <v>229</v>
      </c>
      <c r="D31" s="69">
        <v>7.0312499999999997E-4</v>
      </c>
      <c r="E31" s="43">
        <f t="shared" ref="E31:E191" si="4">(0.45310179*LOG10((10.1596*(D31/0.9))+1))+0.12512248</f>
        <v>0.12667819078900661</v>
      </c>
      <c r="F31" s="71">
        <f t="shared" ref="F31:F191" si="5">E31*100</f>
        <v>12.66781907890066</v>
      </c>
      <c r="G31" s="84">
        <f t="shared" ref="G31:G191" si="6">E31*1023</f>
        <v>129.59178917715377</v>
      </c>
      <c r="H31" s="43"/>
      <c r="I31" s="8"/>
      <c r="Y31" s="8"/>
      <c r="Z31" s="8"/>
      <c r="AA31" s="8"/>
      <c r="AB31" s="8"/>
      <c r="AC31" s="8"/>
      <c r="AD31" s="8"/>
    </row>
    <row r="32" spans="1:30" ht="15">
      <c r="A32" s="58"/>
      <c r="B32" s="69">
        <v>2</v>
      </c>
      <c r="C32" s="43" t="s">
        <v>230</v>
      </c>
      <c r="D32" s="69">
        <v>7.5359071584583004E-4</v>
      </c>
      <c r="E32" s="43">
        <f t="shared" si="4"/>
        <v>0.12678937790287859</v>
      </c>
      <c r="F32" s="71">
        <f t="shared" si="5"/>
        <v>12.678937790287858</v>
      </c>
      <c r="G32" s="84">
        <f t="shared" si="6"/>
        <v>129.70553359464481</v>
      </c>
      <c r="H32" s="43"/>
      <c r="I32" s="8"/>
      <c r="Y32" s="8"/>
      <c r="Z32" s="8"/>
      <c r="AA32" s="8"/>
      <c r="AB32" s="8"/>
      <c r="AC32" s="8"/>
      <c r="AD32" s="8"/>
    </row>
    <row r="33" spans="1:30" ht="15">
      <c r="A33" s="58"/>
      <c r="B33" s="69">
        <v>3</v>
      </c>
      <c r="C33" s="43" t="s">
        <v>231</v>
      </c>
      <c r="D33" s="69">
        <v>8.0767853085729003E-4</v>
      </c>
      <c r="E33" s="43">
        <f t="shared" si="4"/>
        <v>0.12690847559219168</v>
      </c>
      <c r="F33" s="71">
        <f t="shared" si="5"/>
        <v>12.690847559219169</v>
      </c>
      <c r="G33" s="84">
        <f t="shared" si="6"/>
        <v>129.82737053081209</v>
      </c>
      <c r="H33" s="43"/>
      <c r="I33" s="8"/>
      <c r="Y33" s="8"/>
      <c r="Z33" s="8"/>
      <c r="AA33" s="8"/>
      <c r="AB33" s="8"/>
      <c r="AC33" s="8"/>
      <c r="AD33" s="8"/>
    </row>
    <row r="34" spans="1:30" ht="15">
      <c r="A34" s="58"/>
      <c r="B34" s="69">
        <v>4</v>
      </c>
      <c r="C34" s="43" t="s">
        <v>232</v>
      </c>
      <c r="D34" s="69">
        <v>8.6564841563314401E-4</v>
      </c>
      <c r="E34" s="43">
        <f t="shared" si="4"/>
        <v>0.12703604135778571</v>
      </c>
      <c r="F34" s="71">
        <f t="shared" si="5"/>
        <v>12.703604135778571</v>
      </c>
      <c r="G34" s="84">
        <f t="shared" si="6"/>
        <v>129.95787030901477</v>
      </c>
      <c r="H34" s="43"/>
      <c r="I34" s="8"/>
      <c r="Y34" s="8"/>
      <c r="Z34" s="8"/>
      <c r="AA34" s="8"/>
      <c r="AB34" s="8"/>
      <c r="AC34" s="8"/>
      <c r="AD34" s="8"/>
    </row>
    <row r="35" spans="1:30" ht="15">
      <c r="A35" s="58"/>
      <c r="B35" s="69">
        <v>5</v>
      </c>
      <c r="C35" s="43" t="s">
        <v>233</v>
      </c>
      <c r="D35" s="69">
        <v>9.2777899976219098E-4</v>
      </c>
      <c r="E35" s="43">
        <f t="shared" si="4"/>
        <v>0.1271726712095505</v>
      </c>
      <c r="F35" s="71">
        <f t="shared" si="5"/>
        <v>12.71726712095505</v>
      </c>
      <c r="G35" s="84">
        <f t="shared" si="6"/>
        <v>130.09764264737015</v>
      </c>
      <c r="H35" s="43"/>
      <c r="I35" s="8"/>
      <c r="Y35" s="8"/>
      <c r="Z35" s="8"/>
      <c r="AA35" s="8"/>
      <c r="AB35" s="8"/>
      <c r="AC35" s="8"/>
      <c r="AD35" s="8"/>
    </row>
    <row r="36" spans="1:30" ht="15">
      <c r="A36" s="58"/>
      <c r="B36" s="69">
        <v>6</v>
      </c>
      <c r="C36" s="43" t="s">
        <v>234</v>
      </c>
      <c r="D36" s="69">
        <v>9.9436891104358197E-4</v>
      </c>
      <c r="E36" s="43">
        <f t="shared" si="4"/>
        <v>0.12731900221166542</v>
      </c>
      <c r="F36" s="71">
        <f t="shared" si="5"/>
        <v>12.731900221166542</v>
      </c>
      <c r="G36" s="84">
        <f t="shared" si="6"/>
        <v>130.24733926253373</v>
      </c>
      <c r="H36" s="43"/>
      <c r="I36" s="8"/>
      <c r="Y36" s="8"/>
      <c r="Z36" s="8"/>
      <c r="AA36" s="8"/>
      <c r="AB36" s="8"/>
      <c r="AC36" s="8"/>
      <c r="AD36" s="8"/>
    </row>
    <row r="37" spans="1:30" ht="15">
      <c r="A37" s="58"/>
      <c r="B37" s="69">
        <v>7</v>
      </c>
      <c r="C37" s="43" t="s">
        <v>235</v>
      </c>
      <c r="D37" s="69">
        <v>1.06573821082762E-3</v>
      </c>
      <c r="E37" s="43">
        <f t="shared" si="4"/>
        <v>0.1274757151791483</v>
      </c>
      <c r="F37" s="71">
        <f t="shared" si="5"/>
        <v>12.74757151791483</v>
      </c>
      <c r="G37" s="84">
        <f t="shared" si="6"/>
        <v>130.40765662826871</v>
      </c>
      <c r="H37" s="43"/>
      <c r="I37" s="8"/>
      <c r="Y37" s="8"/>
      <c r="Z37" s="8"/>
      <c r="AA37" s="8"/>
      <c r="AB37" s="8"/>
      <c r="AC37" s="8"/>
      <c r="AD37" s="8"/>
    </row>
    <row r="38" spans="1:30" ht="15">
      <c r="A38" s="58"/>
      <c r="B38" s="69">
        <v>8</v>
      </c>
      <c r="C38" s="43" t="s">
        <v>236</v>
      </c>
      <c r="D38" s="69">
        <v>1.1422299323759499E-3</v>
      </c>
      <c r="E38" s="43">
        <f t="shared" si="4"/>
        <v>0.12764353753216739</v>
      </c>
      <c r="F38" s="71">
        <f t="shared" si="5"/>
        <v>12.764353753216739</v>
      </c>
      <c r="G38" s="84">
        <f t="shared" si="6"/>
        <v>130.57933889540723</v>
      </c>
      <c r="H38" s="43"/>
      <c r="I38" s="8"/>
      <c r="Y38" s="8"/>
      <c r="Z38" s="8"/>
      <c r="AA38" s="8"/>
      <c r="AB38" s="8"/>
      <c r="AC38" s="8"/>
      <c r="AD38" s="8"/>
    </row>
    <row r="39" spans="1:30" ht="15">
      <c r="A39" s="58"/>
      <c r="B39" s="69">
        <v>9</v>
      </c>
      <c r="C39" s="43" t="s">
        <v>237</v>
      </c>
      <c r="D39" s="69">
        <v>1.22421172963517E-3</v>
      </c>
      <c r="E39" s="43">
        <f t="shared" si="4"/>
        <v>0.12782324631443426</v>
      </c>
      <c r="F39" s="71">
        <f t="shared" si="5"/>
        <v>12.782324631443426</v>
      </c>
      <c r="G39" s="84">
        <f t="shared" si="6"/>
        <v>130.76318097966626</v>
      </c>
      <c r="H39" s="43"/>
      <c r="I39" s="8"/>
      <c r="Y39" s="8"/>
      <c r="Z39" s="8"/>
      <c r="AA39" s="8"/>
      <c r="AB39" s="8"/>
      <c r="AC39" s="8"/>
      <c r="AD39" s="8"/>
    </row>
    <row r="40" spans="1:30" ht="15">
      <c r="A40" s="58"/>
      <c r="B40" s="69">
        <v>10</v>
      </c>
      <c r="C40" s="43" t="s">
        <v>238</v>
      </c>
      <c r="D40" s="69">
        <v>1.31207764434863E-3</v>
      </c>
      <c r="E40" s="43">
        <f t="shared" si="4"/>
        <v>0.1280156713817765</v>
      </c>
      <c r="F40" s="71">
        <f t="shared" si="5"/>
        <v>12.801567138177649</v>
      </c>
      <c r="G40" s="84">
        <f t="shared" si="6"/>
        <v>130.96003182355736</v>
      </c>
      <c r="H40" s="43"/>
      <c r="I40" s="8"/>
      <c r="Y40" s="8"/>
      <c r="Z40" s="8"/>
      <c r="AA40" s="8"/>
      <c r="AB40" s="8"/>
      <c r="AC40" s="8"/>
      <c r="AD40" s="8"/>
    </row>
    <row r="41" spans="1:30" ht="15">
      <c r="A41" s="58"/>
      <c r="B41" s="69">
        <v>11</v>
      </c>
      <c r="C41" s="43" t="s">
        <v>239</v>
      </c>
      <c r="D41" s="69">
        <v>1.4062499999999999E-3</v>
      </c>
      <c r="E41" s="43">
        <f t="shared" si="4"/>
        <v>0.12822169876666681</v>
      </c>
      <c r="F41" s="71">
        <f t="shared" si="5"/>
        <v>12.822169876666681</v>
      </c>
      <c r="G41" s="84">
        <f t="shared" si="6"/>
        <v>131.17079783830013</v>
      </c>
      <c r="H41" s="43"/>
      <c r="I41" s="8"/>
      <c r="Y41" s="8"/>
      <c r="Z41" s="8"/>
      <c r="AA41" s="8"/>
      <c r="AB41" s="8"/>
      <c r="AC41" s="8"/>
      <c r="AD41" s="8"/>
    </row>
    <row r="42" spans="1:30" ht="15">
      <c r="A42" s="58"/>
      <c r="B42" s="69">
        <v>12</v>
      </c>
      <c r="C42" s="43" t="s">
        <v>240</v>
      </c>
      <c r="D42" s="69">
        <v>1.5071814316916601E-3</v>
      </c>
      <c r="E42" s="43">
        <f t="shared" si="4"/>
        <v>0.12844227422404661</v>
      </c>
      <c r="F42" s="71">
        <f t="shared" si="5"/>
        <v>12.844227422404661</v>
      </c>
      <c r="G42" s="84">
        <f t="shared" si="6"/>
        <v>131.39644653119967</v>
      </c>
      <c r="H42" s="43"/>
      <c r="I42" s="8"/>
      <c r="Y42" s="8"/>
      <c r="Z42" s="8"/>
      <c r="AA42" s="8"/>
      <c r="AB42" s="8"/>
      <c r="AC42" s="8"/>
      <c r="AD42" s="8"/>
    </row>
    <row r="43" spans="1:30" ht="15">
      <c r="A43" s="58"/>
      <c r="B43" s="69">
        <v>13</v>
      </c>
      <c r="C43" s="43" t="s">
        <v>241</v>
      </c>
      <c r="D43" s="69">
        <v>1.6153570617145801E-3</v>
      </c>
      <c r="E43" s="43">
        <f t="shared" si="4"/>
        <v>0.1286784069632082</v>
      </c>
      <c r="F43" s="71">
        <f t="shared" si="5"/>
        <v>12.867840696320821</v>
      </c>
      <c r="G43" s="84">
        <f t="shared" si="6"/>
        <v>131.63801032336198</v>
      </c>
      <c r="H43" s="43"/>
      <c r="I43" s="8"/>
      <c r="Y43" s="8"/>
      <c r="Z43" s="8"/>
      <c r="AA43" s="8"/>
      <c r="AB43" s="8"/>
      <c r="AC43" s="8"/>
      <c r="AD43" s="8"/>
    </row>
    <row r="44" spans="1:30" ht="15">
      <c r="A44" s="58"/>
      <c r="B44" s="69">
        <v>14</v>
      </c>
      <c r="C44" s="43" t="s">
        <v>242</v>
      </c>
      <c r="D44" s="69">
        <v>1.73129683126628E-3</v>
      </c>
      <c r="E44" s="43">
        <f t="shared" si="4"/>
        <v>0.12893117356976749</v>
      </c>
      <c r="F44" s="71">
        <f t="shared" si="5"/>
        <v>12.893117356976749</v>
      </c>
      <c r="G44" s="84">
        <f t="shared" si="6"/>
        <v>131.89659056187216</v>
      </c>
      <c r="H44" s="43"/>
      <c r="I44" s="8"/>
      <c r="Y44" s="8"/>
      <c r="Z44" s="8"/>
      <c r="AA44" s="8"/>
      <c r="AB44" s="8"/>
      <c r="AC44" s="8"/>
      <c r="AD44" s="8"/>
    </row>
    <row r="45" spans="1:30" ht="15">
      <c r="A45" s="58"/>
      <c r="B45" s="69">
        <v>15</v>
      </c>
      <c r="C45" s="43" t="s">
        <v>243</v>
      </c>
      <c r="D45" s="69">
        <v>1.85555799952438E-3</v>
      </c>
      <c r="E45" s="43">
        <f t="shared" si="4"/>
        <v>0.1292017221208519</v>
      </c>
      <c r="F45" s="71">
        <f t="shared" si="5"/>
        <v>12.920172212085191</v>
      </c>
      <c r="G45" s="84">
        <f t="shared" si="6"/>
        <v>132.17336172963149</v>
      </c>
      <c r="H45" s="43"/>
      <c r="I45" s="8"/>
      <c r="Y45" s="8"/>
      <c r="Z45" s="8"/>
      <c r="AA45" s="8"/>
      <c r="AB45" s="8"/>
      <c r="AC45" s="8"/>
      <c r="AD45" s="8"/>
    </row>
    <row r="46" spans="1:30" ht="15">
      <c r="A46" s="58"/>
      <c r="B46" s="69">
        <v>16</v>
      </c>
      <c r="C46" s="43" t="s">
        <v>244</v>
      </c>
      <c r="D46" s="69">
        <v>1.98873782208716E-3</v>
      </c>
      <c r="E46" s="43">
        <f t="shared" si="4"/>
        <v>0.12949127649551076</v>
      </c>
      <c r="F46" s="71">
        <f t="shared" si="5"/>
        <v>12.949127649551077</v>
      </c>
      <c r="G46" s="84">
        <f t="shared" si="6"/>
        <v>132.4695758549075</v>
      </c>
      <c r="H46" s="43"/>
      <c r="I46" s="8"/>
      <c r="Y46" s="8"/>
      <c r="Z46" s="8"/>
      <c r="AA46" s="8"/>
      <c r="AB46" s="8"/>
      <c r="AC46" s="8"/>
      <c r="AD46" s="8"/>
    </row>
    <row r="47" spans="1:30" ht="15">
      <c r="A47" s="58"/>
      <c r="B47" s="69">
        <v>17</v>
      </c>
      <c r="C47" s="43" t="s">
        <v>245</v>
      </c>
      <c r="D47" s="69">
        <v>2.13147642165524E-3</v>
      </c>
      <c r="E47" s="43">
        <f t="shared" si="4"/>
        <v>0.12980114088101499</v>
      </c>
      <c r="F47" s="71">
        <f t="shared" si="5"/>
        <v>12.9801140881015</v>
      </c>
      <c r="G47" s="84">
        <f t="shared" si="6"/>
        <v>132.78656712127832</v>
      </c>
      <c r="H47" s="43"/>
      <c r="I47" s="8"/>
      <c r="Y47" s="8"/>
      <c r="Z47" s="8"/>
      <c r="AA47" s="8"/>
      <c r="AB47" s="8"/>
      <c r="AC47" s="8"/>
      <c r="AD47" s="8"/>
    </row>
    <row r="48" spans="1:30" ht="15">
      <c r="A48" s="58"/>
      <c r="B48" s="69">
        <v>18</v>
      </c>
      <c r="C48" s="43" t="s">
        <v>246</v>
      </c>
      <c r="D48" s="69">
        <v>2.2844598647519098E-3</v>
      </c>
      <c r="E48" s="43">
        <f t="shared" si="4"/>
        <v>0.1301327044741051</v>
      </c>
      <c r="F48" s="71">
        <f t="shared" si="5"/>
        <v>13.013270447410511</v>
      </c>
      <c r="G48" s="84">
        <f t="shared" si="6"/>
        <v>133.12575667700952</v>
      </c>
      <c r="H48" s="43"/>
      <c r="I48" s="8"/>
      <c r="Y48" s="8"/>
      <c r="Z48" s="8"/>
      <c r="AA48" s="8"/>
      <c r="AB48" s="8"/>
      <c r="AC48" s="8"/>
      <c r="AD48" s="8"/>
    </row>
    <row r="49" spans="1:30" ht="15">
      <c r="A49" s="58"/>
      <c r="B49" s="69">
        <v>19</v>
      </c>
      <c r="C49" s="43" t="s">
        <v>247</v>
      </c>
      <c r="D49" s="69">
        <v>2.44842345927034E-3</v>
      </c>
      <c r="E49" s="43">
        <f t="shared" si="4"/>
        <v>0.13048744637435206</v>
      </c>
      <c r="F49" s="71">
        <f t="shared" si="5"/>
        <v>13.048744637435206</v>
      </c>
      <c r="G49" s="84">
        <f t="shared" si="6"/>
        <v>133.48865764096215</v>
      </c>
      <c r="H49" s="43"/>
      <c r="I49" s="8"/>
      <c r="Y49" s="8"/>
      <c r="Z49" s="8"/>
      <c r="AA49" s="8"/>
      <c r="AB49" s="8"/>
      <c r="AC49" s="8"/>
      <c r="AD49" s="8"/>
    </row>
    <row r="50" spans="1:30" ht="15">
      <c r="A50" s="58"/>
      <c r="B50" s="69">
        <v>20</v>
      </c>
      <c r="C50" s="43" t="s">
        <v>248</v>
      </c>
      <c r="D50" s="69">
        <v>2.6241552886972701E-3</v>
      </c>
      <c r="E50" s="43">
        <f t="shared" si="4"/>
        <v>0.13086694066457555</v>
      </c>
      <c r="F50" s="71">
        <f t="shared" si="5"/>
        <v>13.086694066457556</v>
      </c>
      <c r="G50" s="84">
        <f t="shared" si="6"/>
        <v>133.87688029986077</v>
      </c>
      <c r="H50" s="43"/>
      <c r="I50" s="8"/>
      <c r="Y50" s="8"/>
      <c r="Z50" s="8"/>
      <c r="AA50" s="8"/>
      <c r="AB50" s="8"/>
      <c r="AC50" s="8"/>
      <c r="AD50" s="8"/>
    </row>
    <row r="51" spans="1:30" ht="15">
      <c r="A51" s="58"/>
      <c r="B51" s="69">
        <v>21</v>
      </c>
      <c r="C51" s="43" t="s">
        <v>249</v>
      </c>
      <c r="D51" s="69">
        <v>2.8124999999999999E-3</v>
      </c>
      <c r="E51" s="43">
        <f t="shared" si="4"/>
        <v>0.13127286167068228</v>
      </c>
      <c r="F51" s="71">
        <f t="shared" si="5"/>
        <v>13.127286167068227</v>
      </c>
      <c r="G51" s="84">
        <f t="shared" si="6"/>
        <v>134.29213748910797</v>
      </c>
      <c r="H51" s="43"/>
      <c r="I51" s="8"/>
      <c r="Y51" s="8"/>
      <c r="Z51" s="8"/>
      <c r="AA51" s="8"/>
      <c r="AB51" s="8"/>
      <c r="AC51" s="8"/>
      <c r="AD51" s="8"/>
    </row>
    <row r="52" spans="1:30" ht="15">
      <c r="A52" s="58"/>
      <c r="B52" s="69">
        <v>22</v>
      </c>
      <c r="C52" s="43" t="s">
        <v>250</v>
      </c>
      <c r="D52" s="69">
        <v>3.0143628633833202E-3</v>
      </c>
      <c r="E52" s="43">
        <f t="shared" si="4"/>
        <v>0.13170698939031431</v>
      </c>
      <c r="F52" s="71">
        <f t="shared" si="5"/>
        <v>13.17069893903143</v>
      </c>
      <c r="G52" s="84">
        <f t="shared" si="6"/>
        <v>134.73625014629152</v>
      </c>
      <c r="H52" s="43"/>
      <c r="I52" s="8"/>
      <c r="Y52" s="8"/>
      <c r="Z52" s="8"/>
      <c r="AA52" s="8"/>
      <c r="AB52" s="8"/>
      <c r="AC52" s="8"/>
      <c r="AD52" s="8"/>
    </row>
    <row r="53" spans="1:30" ht="15">
      <c r="A53" s="58"/>
      <c r="B53" s="69">
        <v>23</v>
      </c>
      <c r="C53" s="43" t="s">
        <v>251</v>
      </c>
      <c r="D53" s="69">
        <v>3.2307141234291601E-3</v>
      </c>
      <c r="E53" s="43">
        <f t="shared" si="4"/>
        <v>0.1321712150762866</v>
      </c>
      <c r="F53" s="71">
        <f t="shared" si="5"/>
        <v>13.21712150762866</v>
      </c>
      <c r="G53" s="84">
        <f t="shared" si="6"/>
        <v>135.21115302304119</v>
      </c>
      <c r="H53" s="43"/>
      <c r="I53" s="8"/>
      <c r="Y53" s="8"/>
      <c r="Z53" s="8"/>
      <c r="AA53" s="8"/>
      <c r="AB53" s="8"/>
      <c r="AC53" s="8"/>
      <c r="AD53" s="8"/>
    </row>
    <row r="54" spans="1:30" ht="15">
      <c r="A54" s="58"/>
      <c r="B54" s="69">
        <v>24</v>
      </c>
      <c r="C54" s="43" t="s">
        <v>252</v>
      </c>
      <c r="D54" s="69">
        <v>3.46259366253257E-3</v>
      </c>
      <c r="E54" s="43">
        <f t="shared" si="4"/>
        <v>0.13266754695691912</v>
      </c>
      <c r="F54" s="71">
        <f t="shared" si="5"/>
        <v>13.266754695691912</v>
      </c>
      <c r="G54" s="84">
        <f t="shared" si="6"/>
        <v>135.71890053692826</v>
      </c>
      <c r="H54" s="43"/>
      <c r="I54" s="8"/>
      <c r="Y54" s="8"/>
      <c r="Z54" s="8"/>
      <c r="AA54" s="8"/>
      <c r="AB54" s="8"/>
      <c r="AC54" s="8"/>
      <c r="AD54" s="8"/>
    </row>
    <row r="55" spans="1:30" ht="15">
      <c r="A55" s="58"/>
      <c r="B55" s="69">
        <v>25</v>
      </c>
      <c r="C55" s="43" t="s">
        <v>253</v>
      </c>
      <c r="D55" s="69">
        <v>3.71111599904876E-3</v>
      </c>
      <c r="E55" s="43">
        <f t="shared" si="4"/>
        <v>0.13319811607098683</v>
      </c>
      <c r="F55" s="71">
        <f t="shared" si="5"/>
        <v>13.319811607098684</v>
      </c>
      <c r="G55" s="84">
        <f t="shared" si="6"/>
        <v>136.26167274061953</v>
      </c>
      <c r="H55" s="43"/>
      <c r="I55" s="8"/>
      <c r="Y55" s="8"/>
      <c r="Z55" s="8"/>
      <c r="AA55" s="8"/>
      <c r="AB55" s="8"/>
      <c r="AC55" s="8"/>
      <c r="AD55" s="8"/>
    </row>
    <row r="56" spans="1:30" ht="15">
      <c r="A56" s="58"/>
      <c r="B56" s="69">
        <v>26</v>
      </c>
      <c r="C56" s="43" t="s">
        <v>254</v>
      </c>
      <c r="D56" s="69">
        <v>3.9774756441743296E-3</v>
      </c>
      <c r="E56" s="43">
        <f t="shared" si="4"/>
        <v>0.13376518219009276</v>
      </c>
      <c r="F56" s="71">
        <f t="shared" si="5"/>
        <v>13.376518219009276</v>
      </c>
      <c r="G56" s="84">
        <f t="shared" si="6"/>
        <v>136.84178138046488</v>
      </c>
      <c r="H56" s="43"/>
      <c r="I56" s="8"/>
      <c r="Y56" s="8"/>
      <c r="Z56" s="8"/>
      <c r="AA56" s="8"/>
      <c r="AB56" s="8"/>
      <c r="AC56" s="8"/>
      <c r="AD56" s="8"/>
    </row>
    <row r="57" spans="1:30" ht="15">
      <c r="A57" s="58"/>
      <c r="B57" s="69">
        <v>27</v>
      </c>
      <c r="C57" s="43" t="s">
        <v>255</v>
      </c>
      <c r="D57" s="69">
        <v>4.2629528433104904E-3</v>
      </c>
      <c r="E57" s="43">
        <f t="shared" si="4"/>
        <v>0.13437113979578599</v>
      </c>
      <c r="F57" s="71">
        <f t="shared" si="5"/>
        <v>13.4371139795786</v>
      </c>
      <c r="G57" s="84">
        <f t="shared" si="6"/>
        <v>137.46167601108908</v>
      </c>
      <c r="H57" s="43"/>
      <c r="I57" s="8"/>
      <c r="Y57" s="8"/>
      <c r="Z57" s="8"/>
      <c r="AA57" s="8"/>
      <c r="AB57" s="8"/>
      <c r="AC57" s="8"/>
      <c r="AD57" s="8"/>
    </row>
    <row r="58" spans="1:30" ht="15">
      <c r="A58" s="58"/>
      <c r="B58" s="69">
        <v>28</v>
      </c>
      <c r="C58" s="43" t="s">
        <v>256</v>
      </c>
      <c r="D58" s="69">
        <v>4.5689197295038196E-3</v>
      </c>
      <c r="E58" s="43">
        <f t="shared" si="4"/>
        <v>0.13501852407267143</v>
      </c>
      <c r="F58" s="71">
        <f t="shared" si="5"/>
        <v>13.501852407267142</v>
      </c>
      <c r="G58" s="84">
        <f t="shared" si="6"/>
        <v>138.12395012634286</v>
      </c>
      <c r="H58" s="43"/>
      <c r="I58" s="8"/>
      <c r="Y58" s="8"/>
      <c r="Z58" s="8"/>
      <c r="AA58" s="8"/>
      <c r="AB58" s="8"/>
      <c r="AC58" s="8"/>
      <c r="AD58" s="8"/>
    </row>
    <row r="59" spans="1:30" ht="15">
      <c r="A59" s="58"/>
      <c r="B59" s="69">
        <v>29</v>
      </c>
      <c r="C59" s="43" t="s">
        <v>257</v>
      </c>
      <c r="D59" s="69">
        <v>4.8968469185406904E-3</v>
      </c>
      <c r="E59" s="43">
        <f t="shared" si="4"/>
        <v>0.13571001687207832</v>
      </c>
      <c r="F59" s="71">
        <f t="shared" si="5"/>
        <v>13.571001687207831</v>
      </c>
      <c r="G59" s="84">
        <f t="shared" si="6"/>
        <v>138.83134726013611</v>
      </c>
      <c r="H59" s="43"/>
      <c r="I59" s="8"/>
      <c r="Y59" s="8"/>
      <c r="Z59" s="8"/>
      <c r="AA59" s="8"/>
      <c r="AB59" s="8"/>
      <c r="AC59" s="8"/>
      <c r="AD59" s="8"/>
    </row>
    <row r="60" spans="1:30" ht="15">
      <c r="A60" s="58"/>
      <c r="B60" s="69">
        <v>30</v>
      </c>
      <c r="C60" s="43" t="s">
        <v>258</v>
      </c>
      <c r="D60" s="69">
        <v>5.2483105773945401E-3</v>
      </c>
      <c r="E60" s="43">
        <f t="shared" si="4"/>
        <v>0.13644845259356828</v>
      </c>
      <c r="F60" s="71">
        <f t="shared" si="5"/>
        <v>13.644845259356828</v>
      </c>
      <c r="G60" s="84">
        <f t="shared" si="6"/>
        <v>139.58676700322036</v>
      </c>
      <c r="H60" s="43"/>
      <c r="I60" s="8"/>
      <c r="Y60" s="8"/>
      <c r="Z60" s="8"/>
      <c r="AA60" s="8"/>
      <c r="AB60" s="8"/>
      <c r="AC60" s="8"/>
      <c r="AD60" s="8"/>
    </row>
    <row r="61" spans="1:30" ht="15">
      <c r="A61" s="58"/>
      <c r="B61" s="69">
        <v>31</v>
      </c>
      <c r="C61" s="43" t="s">
        <v>259</v>
      </c>
      <c r="D61" s="69">
        <v>5.6249999999999998E-3</v>
      </c>
      <c r="E61" s="43">
        <f t="shared" si="4"/>
        <v>0.13723682392367245</v>
      </c>
      <c r="F61" s="71">
        <f t="shared" si="5"/>
        <v>13.723682392367245</v>
      </c>
      <c r="G61" s="84">
        <f t="shared" si="6"/>
        <v>140.39327087391692</v>
      </c>
      <c r="H61" s="43"/>
      <c r="I61" s="8"/>
      <c r="Y61" s="8"/>
      <c r="Z61" s="8"/>
      <c r="AA61" s="8"/>
      <c r="AB61" s="8"/>
      <c r="AC61" s="8"/>
      <c r="AD61" s="8"/>
    </row>
    <row r="62" spans="1:30" ht="15">
      <c r="A62" s="58"/>
      <c r="B62" s="69">
        <v>32</v>
      </c>
      <c r="C62" s="43" t="s">
        <v>260</v>
      </c>
      <c r="D62" s="69">
        <v>6.0287257267666403E-3</v>
      </c>
      <c r="E62" s="43">
        <f t="shared" si="4"/>
        <v>0.13807828736278729</v>
      </c>
      <c r="F62" s="71">
        <f t="shared" si="5"/>
        <v>13.807828736278729</v>
      </c>
      <c r="G62" s="84">
        <f t="shared" si="6"/>
        <v>141.2540879721314</v>
      </c>
      <c r="H62" s="43"/>
      <c r="I62" s="8"/>
      <c r="Y62" s="8"/>
      <c r="Z62" s="8"/>
      <c r="AA62" s="8"/>
      <c r="AB62" s="8"/>
      <c r="AC62" s="8"/>
      <c r="AD62" s="8"/>
    </row>
    <row r="63" spans="1:30" ht="15">
      <c r="A63" s="58"/>
      <c r="B63" s="69">
        <v>33</v>
      </c>
      <c r="C63" s="43" t="s">
        <v>261</v>
      </c>
      <c r="D63" s="69">
        <v>6.4614282468583202E-3</v>
      </c>
      <c r="E63" s="43">
        <f t="shared" si="4"/>
        <v>0.13897616846216956</v>
      </c>
      <c r="F63" s="71">
        <f t="shared" si="5"/>
        <v>13.897616846216957</v>
      </c>
      <c r="G63" s="84">
        <f t="shared" si="6"/>
        <v>142.17262033679947</v>
      </c>
      <c r="H63" s="43"/>
      <c r="I63" s="8"/>
      <c r="Y63" s="8"/>
      <c r="Z63" s="8"/>
      <c r="AA63" s="8"/>
      <c r="AB63" s="8"/>
      <c r="AC63" s="8"/>
      <c r="AD63" s="8"/>
    </row>
    <row r="64" spans="1:30" ht="15">
      <c r="A64" s="58"/>
      <c r="B64" s="69">
        <v>34</v>
      </c>
      <c r="C64" s="43" t="s">
        <v>262</v>
      </c>
      <c r="D64" s="69">
        <v>6.9251873250651503E-3</v>
      </c>
      <c r="E64" s="43">
        <f t="shared" si="4"/>
        <v>0.13993396668353317</v>
      </c>
      <c r="F64" s="71">
        <f t="shared" si="5"/>
        <v>13.993396668353316</v>
      </c>
      <c r="G64" s="84">
        <f t="shared" si="6"/>
        <v>143.15244791725442</v>
      </c>
      <c r="H64" s="43"/>
      <c r="I64" s="8"/>
      <c r="Y64" s="8"/>
      <c r="Z64" s="8"/>
      <c r="AA64" s="8"/>
      <c r="AB64" s="8"/>
      <c r="AC64" s="8"/>
      <c r="AD64" s="8"/>
    </row>
    <row r="65" spans="1:30" ht="15">
      <c r="A65" s="58"/>
      <c r="B65" s="69">
        <v>35</v>
      </c>
      <c r="C65" s="43" t="s">
        <v>263</v>
      </c>
      <c r="D65" s="69">
        <v>7.4222319980975296E-3</v>
      </c>
      <c r="E65" s="43">
        <f t="shared" si="4"/>
        <v>0.14095535978396082</v>
      </c>
      <c r="F65" s="71">
        <f t="shared" si="5"/>
        <v>14.095535978396082</v>
      </c>
      <c r="G65" s="84">
        <f t="shared" si="6"/>
        <v>144.19733305899192</v>
      </c>
      <c r="H65" s="43"/>
      <c r="I65" s="8"/>
      <c r="Y65" s="8"/>
      <c r="Z65" s="8"/>
      <c r="AA65" s="8"/>
      <c r="AB65" s="8"/>
      <c r="AC65" s="8"/>
      <c r="AD65" s="8"/>
    </row>
    <row r="66" spans="1:30" ht="15">
      <c r="A66" s="58"/>
      <c r="B66" s="69">
        <v>36</v>
      </c>
      <c r="C66" s="43" t="s">
        <v>264</v>
      </c>
      <c r="D66" s="69">
        <v>7.9549512883486592E-3</v>
      </c>
      <c r="E66" s="43">
        <f t="shared" si="4"/>
        <v>0.14204420761884623</v>
      </c>
      <c r="F66" s="71">
        <f t="shared" si="5"/>
        <v>14.204420761884624</v>
      </c>
      <c r="G66" s="84">
        <f t="shared" si="6"/>
        <v>145.31122439407969</v>
      </c>
      <c r="H66" s="43"/>
      <c r="I66" s="8"/>
      <c r="Y66" s="8"/>
      <c r="Z66" s="8"/>
      <c r="AA66" s="8"/>
      <c r="AB66" s="8"/>
      <c r="AC66" s="8"/>
      <c r="AD66" s="8"/>
    </row>
    <row r="67" spans="1:30" ht="15">
      <c r="A67" s="58"/>
      <c r="B67" s="69">
        <v>37</v>
      </c>
      <c r="C67" s="43" t="s">
        <v>265</v>
      </c>
      <c r="D67" s="69">
        <v>8.5259056866209808E-3</v>
      </c>
      <c r="E67" s="43">
        <f t="shared" si="4"/>
        <v>0.14320455524555101</v>
      </c>
      <c r="F67" s="71">
        <f t="shared" si="5"/>
        <v>14.320455524555101</v>
      </c>
      <c r="G67" s="84">
        <f t="shared" si="6"/>
        <v>146.49826001619869</v>
      </c>
      <c r="H67" s="43"/>
      <c r="I67" s="8"/>
      <c r="Y67" s="8"/>
      <c r="Z67" s="8"/>
      <c r="AA67" s="8"/>
      <c r="AB67" s="8"/>
      <c r="AC67" s="8"/>
      <c r="AD67" s="8"/>
    </row>
    <row r="68" spans="1:30" ht="15">
      <c r="A68" s="58"/>
      <c r="B68" s="69">
        <v>38</v>
      </c>
      <c r="C68" s="43" t="s">
        <v>266</v>
      </c>
      <c r="D68" s="69">
        <v>9.1378394590076496E-3</v>
      </c>
      <c r="E68" s="43">
        <f t="shared" si="4"/>
        <v>0.14444063520061762</v>
      </c>
      <c r="F68" s="71">
        <f t="shared" si="5"/>
        <v>14.444063520061762</v>
      </c>
      <c r="G68" s="84">
        <f t="shared" si="6"/>
        <v>147.76276981023182</v>
      </c>
      <c r="H68" s="43"/>
      <c r="I68" s="8"/>
      <c r="Y68" s="8"/>
      <c r="Z68" s="8"/>
      <c r="AA68" s="8"/>
      <c r="AB68" s="8"/>
      <c r="AC68" s="8"/>
      <c r="AD68" s="8"/>
    </row>
    <row r="69" spans="1:30" ht="15">
      <c r="A69" s="58"/>
      <c r="B69" s="69">
        <v>39</v>
      </c>
      <c r="C69" s="43" t="s">
        <v>267</v>
      </c>
      <c r="D69" s="69">
        <v>9.7936938370813895E-3</v>
      </c>
      <c r="E69" s="43">
        <f t="shared" si="4"/>
        <v>0.14575686881399677</v>
      </c>
      <c r="F69" s="71">
        <f t="shared" si="5"/>
        <v>14.575686881399678</v>
      </c>
      <c r="G69" s="84">
        <f t="shared" si="6"/>
        <v>149.10927679671869</v>
      </c>
      <c r="H69" s="43"/>
      <c r="I69" s="8"/>
      <c r="Y69" s="8"/>
      <c r="Z69" s="8"/>
      <c r="AA69" s="8"/>
      <c r="AB69" s="8"/>
      <c r="AC69" s="8"/>
      <c r="AD69" s="8"/>
    </row>
    <row r="70" spans="1:30" ht="15">
      <c r="A70" s="58"/>
      <c r="B70" s="69">
        <v>40</v>
      </c>
      <c r="C70" s="43" t="s">
        <v>268</v>
      </c>
      <c r="D70" s="69">
        <v>1.0496621154789E-2</v>
      </c>
      <c r="E70" s="43">
        <f t="shared" si="4"/>
        <v>0.14715786641514247</v>
      </c>
      <c r="F70" s="71">
        <f t="shared" si="5"/>
        <v>14.715786641514248</v>
      </c>
      <c r="G70" s="84">
        <f t="shared" si="6"/>
        <v>150.54249734269075</v>
      </c>
      <c r="H70" s="43"/>
      <c r="I70" s="8"/>
      <c r="Y70" s="8"/>
      <c r="Z70" s="8"/>
      <c r="AA70" s="8"/>
      <c r="AB70" s="8"/>
      <c r="AC70" s="8"/>
      <c r="AD70" s="8"/>
    </row>
    <row r="71" spans="1:30" ht="15">
      <c r="A71" s="58"/>
      <c r="B71" s="69">
        <v>41</v>
      </c>
      <c r="C71" s="43" t="s">
        <v>269</v>
      </c>
      <c r="D71" s="69">
        <v>1.125E-2</v>
      </c>
      <c r="E71" s="43">
        <f t="shared" si="4"/>
        <v>0.14864842627837491</v>
      </c>
      <c r="F71" s="71">
        <f t="shared" si="5"/>
        <v>14.86484262783749</v>
      </c>
      <c r="G71" s="84">
        <f t="shared" si="6"/>
        <v>152.06734008277752</v>
      </c>
      <c r="H71" s="43"/>
      <c r="I71" s="8"/>
      <c r="Y71" s="8"/>
      <c r="Z71" s="8"/>
      <c r="AA71" s="8"/>
      <c r="AB71" s="8"/>
      <c r="AC71" s="8"/>
      <c r="AD71" s="8"/>
    </row>
    <row r="72" spans="1:30" ht="15">
      <c r="A72" s="58"/>
      <c r="B72" s="69">
        <v>42</v>
      </c>
      <c r="C72" s="43" t="s">
        <v>270</v>
      </c>
      <c r="D72" s="69">
        <v>1.2057451453533201E-2</v>
      </c>
      <c r="E72" s="43">
        <f t="shared" si="4"/>
        <v>0.15023353214903071</v>
      </c>
      <c r="F72" s="71">
        <f t="shared" si="5"/>
        <v>15.023353214903072</v>
      </c>
      <c r="G72" s="84">
        <f t="shared" si="6"/>
        <v>153.68890338845841</v>
      </c>
      <c r="H72" s="43"/>
      <c r="I72" s="8"/>
      <c r="Y72" s="8"/>
      <c r="Z72" s="8"/>
      <c r="AA72" s="8"/>
      <c r="AB72" s="8"/>
      <c r="AC72" s="8"/>
      <c r="AD72" s="8"/>
    </row>
    <row r="73" spans="1:30" ht="15">
      <c r="A73" s="58"/>
      <c r="B73" s="69">
        <v>43</v>
      </c>
      <c r="C73" s="43" t="s">
        <v>271</v>
      </c>
      <c r="D73" s="69">
        <v>1.2922856493716601E-2</v>
      </c>
      <c r="E73" s="43">
        <f t="shared" si="4"/>
        <v>0.15191834918810299</v>
      </c>
      <c r="F73" s="71">
        <f t="shared" si="5"/>
        <v>15.191834918810299</v>
      </c>
      <c r="G73" s="84">
        <f t="shared" si="6"/>
        <v>155.41247121942936</v>
      </c>
      <c r="H73" s="43"/>
      <c r="I73" s="8"/>
      <c r="Y73" s="8"/>
      <c r="Z73" s="8"/>
      <c r="AA73" s="8"/>
      <c r="AB73" s="8"/>
      <c r="AC73" s="8"/>
      <c r="AD73" s="8"/>
    </row>
    <row r="74" spans="1:30" ht="15">
      <c r="A74" s="58"/>
      <c r="B74" s="69">
        <v>44</v>
      </c>
      <c r="C74" s="43" t="s">
        <v>272</v>
      </c>
      <c r="D74" s="69">
        <v>1.3850374650130301E-2</v>
      </c>
      <c r="E74" s="43">
        <f t="shared" si="4"/>
        <v>0.15370821817180064</v>
      </c>
      <c r="F74" s="71">
        <f t="shared" si="5"/>
        <v>15.370821817180063</v>
      </c>
      <c r="G74" s="84">
        <f t="shared" si="6"/>
        <v>157.24350718975205</v>
      </c>
      <c r="H74" s="43"/>
      <c r="I74" s="8"/>
      <c r="Y74" s="8"/>
      <c r="Z74" s="8"/>
      <c r="AA74" s="8"/>
      <c r="AB74" s="8"/>
      <c r="AC74" s="8"/>
      <c r="AD74" s="8"/>
    </row>
    <row r="75" spans="1:30" ht="15">
      <c r="A75" s="58"/>
      <c r="B75" s="69">
        <v>45</v>
      </c>
      <c r="C75" s="43" t="s">
        <v>273</v>
      </c>
      <c r="D75" s="69">
        <v>1.4844463996195E-2</v>
      </c>
      <c r="E75" s="43">
        <f t="shared" si="4"/>
        <v>0.1556086477843335</v>
      </c>
      <c r="F75" s="71">
        <f t="shared" si="5"/>
        <v>15.56086477843335</v>
      </c>
      <c r="G75" s="84">
        <f t="shared" si="6"/>
        <v>159.18764668337317</v>
      </c>
      <c r="H75" s="43"/>
      <c r="I75" s="8"/>
      <c r="Y75" s="8"/>
      <c r="Z75" s="8"/>
      <c r="AA75" s="8"/>
      <c r="AB75" s="8"/>
      <c r="AC75" s="8"/>
      <c r="AD75" s="8"/>
    </row>
    <row r="76" spans="1:30" ht="15">
      <c r="A76" s="58"/>
      <c r="B76" s="69">
        <v>46</v>
      </c>
      <c r="C76" s="43" t="s">
        <v>274</v>
      </c>
      <c r="D76" s="69">
        <v>1.5909902576697301E-2</v>
      </c>
      <c r="E76" s="43">
        <f t="shared" si="4"/>
        <v>0.15762530484777054</v>
      </c>
      <c r="F76" s="71">
        <f t="shared" si="5"/>
        <v>15.762530484777054</v>
      </c>
      <c r="G76" s="84">
        <f t="shared" si="6"/>
        <v>161.25068685926925</v>
      </c>
      <c r="H76" s="43"/>
      <c r="I76" s="8"/>
      <c r="Y76" s="8"/>
      <c r="Z76" s="8"/>
      <c r="AA76" s="8"/>
      <c r="AB76" s="8"/>
      <c r="AC76" s="8"/>
      <c r="AD76" s="8"/>
    </row>
    <row r="77" spans="1:30" ht="15">
      <c r="A77" s="58"/>
      <c r="B77" s="69">
        <v>47</v>
      </c>
      <c r="C77" s="43" t="s">
        <v>275</v>
      </c>
      <c r="D77" s="69">
        <v>1.7051811373241899E-2</v>
      </c>
      <c r="E77" s="43">
        <f t="shared" si="4"/>
        <v>0.15976400234263316</v>
      </c>
      <c r="F77" s="71">
        <f t="shared" si="5"/>
        <v>15.976400234263316</v>
      </c>
      <c r="G77" s="84">
        <f t="shared" si="6"/>
        <v>163.43857439651373</v>
      </c>
      <c r="H77" s="43"/>
      <c r="I77" s="8"/>
      <c r="Y77" s="8"/>
      <c r="Z77" s="8"/>
      <c r="AA77" s="8"/>
      <c r="AB77" s="8"/>
      <c r="AC77" s="8"/>
      <c r="AD77" s="8"/>
    </row>
    <row r="78" spans="1:30" ht="15">
      <c r="A78" s="58"/>
      <c r="B78" s="69">
        <v>48</v>
      </c>
      <c r="C78" s="43" t="s">
        <v>276</v>
      </c>
      <c r="D78" s="69">
        <v>1.8275678918015299E-2</v>
      </c>
      <c r="E78" s="43">
        <f t="shared" si="4"/>
        <v>0.1620306850875175</v>
      </c>
      <c r="F78" s="71">
        <f t="shared" si="5"/>
        <v>16.203068508751748</v>
      </c>
      <c r="G78" s="84">
        <f t="shared" si="6"/>
        <v>165.75739084453039</v>
      </c>
      <c r="H78" s="43"/>
      <c r="I78" s="8"/>
      <c r="Y78" s="8"/>
      <c r="Z78" s="8"/>
      <c r="AA78" s="8"/>
      <c r="AB78" s="8"/>
      <c r="AC78" s="8"/>
      <c r="AD78" s="8"/>
    </row>
    <row r="79" spans="1:30" ht="15">
      <c r="A79" s="58"/>
      <c r="B79" s="69">
        <v>49</v>
      </c>
      <c r="C79" s="43" t="s">
        <v>277</v>
      </c>
      <c r="D79" s="69">
        <v>1.9587387674162699E-2</v>
      </c>
      <c r="E79" s="43">
        <f t="shared" si="4"/>
        <v>0.16443141296595473</v>
      </c>
      <c r="F79" s="71">
        <f t="shared" si="5"/>
        <v>16.443141296595474</v>
      </c>
      <c r="G79" s="84">
        <f t="shared" si="6"/>
        <v>168.21333546417168</v>
      </c>
      <c r="H79" s="43"/>
      <c r="I79" s="8"/>
      <c r="Y79" s="8"/>
      <c r="Z79" s="8"/>
      <c r="AA79" s="8"/>
      <c r="AB79" s="8"/>
      <c r="AC79" s="8"/>
      <c r="AD79" s="8"/>
    </row>
    <row r="80" spans="1:30" ht="15">
      <c r="A80" s="58"/>
      <c r="B80" s="69">
        <v>50</v>
      </c>
      <c r="C80" s="43" t="s">
        <v>278</v>
      </c>
      <c r="D80" s="69">
        <v>2.0993242309578102E-2</v>
      </c>
      <c r="E80" s="43">
        <f t="shared" si="4"/>
        <v>0.16697234161438088</v>
      </c>
      <c r="F80" s="71">
        <f t="shared" si="5"/>
        <v>16.697234161438086</v>
      </c>
      <c r="G80" s="84">
        <f t="shared" si="6"/>
        <v>170.81270547151163</v>
      </c>
      <c r="H80" s="43"/>
      <c r="I80" s="8"/>
      <c r="Y80" s="8"/>
      <c r="Z80" s="8"/>
      <c r="AA80" s="8"/>
      <c r="AB80" s="8"/>
      <c r="AC80" s="8"/>
      <c r="AD80" s="8"/>
    </row>
    <row r="81" spans="1:30" ht="15">
      <c r="A81" s="58"/>
      <c r="B81" s="69">
        <v>51</v>
      </c>
      <c r="C81" s="43" t="s">
        <v>279</v>
      </c>
      <c r="D81" s="69">
        <v>2.2499999999999999E-2</v>
      </c>
      <c r="E81" s="43">
        <f t="shared" si="4"/>
        <v>0.16965970051671303</v>
      </c>
      <c r="F81" s="71">
        <f t="shared" si="5"/>
        <v>16.965970051671302</v>
      </c>
      <c r="G81" s="84">
        <f t="shared" si="6"/>
        <v>173.56187362859743</v>
      </c>
      <c r="H81" s="43"/>
      <c r="I81" s="8"/>
      <c r="Y81" s="8"/>
      <c r="Z81" s="8"/>
      <c r="AA81" s="8"/>
      <c r="AB81" s="8"/>
      <c r="AC81" s="8"/>
      <c r="AD81" s="8"/>
    </row>
    <row r="82" spans="1:30" ht="15">
      <c r="A82" s="58"/>
      <c r="B82" s="69">
        <v>52</v>
      </c>
      <c r="C82" s="43" t="s">
        <v>280</v>
      </c>
      <c r="D82" s="69">
        <v>2.4114902907066499E-2</v>
      </c>
      <c r="E82" s="43">
        <f t="shared" si="4"/>
        <v>0.17249976848880796</v>
      </c>
      <c r="F82" s="71">
        <f t="shared" si="5"/>
        <v>17.249976848880795</v>
      </c>
      <c r="G82" s="84">
        <f t="shared" si="6"/>
        <v>176.46726316405054</v>
      </c>
      <c r="H82" s="43"/>
      <c r="I82" s="8"/>
      <c r="Y82" s="8"/>
      <c r="Z82" s="8"/>
      <c r="AA82" s="8"/>
      <c r="AB82" s="8"/>
      <c r="AC82" s="8"/>
      <c r="AD82" s="8"/>
    </row>
    <row r="83" spans="1:30" ht="15">
      <c r="A83" s="58"/>
      <c r="B83" s="69">
        <v>53</v>
      </c>
      <c r="C83" s="43" t="s">
        <v>281</v>
      </c>
      <c r="D83" s="69">
        <v>2.5845712987433201E-2</v>
      </c>
      <c r="E83" s="43">
        <f t="shared" si="4"/>
        <v>0.17549884657986162</v>
      </c>
      <c r="F83" s="71">
        <f t="shared" si="5"/>
        <v>17.549884657986162</v>
      </c>
      <c r="G83" s="84">
        <f t="shared" si="6"/>
        <v>179.53532005119843</v>
      </c>
      <c r="H83" s="43"/>
      <c r="I83" s="8"/>
      <c r="Y83" s="8"/>
      <c r="Z83" s="8"/>
      <c r="AA83" s="8"/>
      <c r="AB83" s="8"/>
      <c r="AC83" s="8"/>
      <c r="AD83" s="8"/>
    </row>
    <row r="84" spans="1:30" ht="15">
      <c r="A84" s="58"/>
      <c r="B84" s="69">
        <v>54</v>
      </c>
      <c r="C84" s="43" t="s">
        <v>282</v>
      </c>
      <c r="D84" s="69">
        <v>2.7700749300260601E-2</v>
      </c>
      <c r="E84" s="43">
        <f t="shared" si="4"/>
        <v>0.17866322846729313</v>
      </c>
      <c r="F84" s="71">
        <f t="shared" si="5"/>
        <v>17.866322846729314</v>
      </c>
      <c r="G84" s="84">
        <f t="shared" si="6"/>
        <v>182.77248272204088</v>
      </c>
      <c r="H84" s="43"/>
      <c r="I84" s="8"/>
      <c r="Y84" s="8"/>
      <c r="Z84" s="8"/>
      <c r="AA84" s="8"/>
      <c r="AB84" s="8"/>
      <c r="AC84" s="8"/>
      <c r="AD84" s="8"/>
    </row>
    <row r="85" spans="1:30" ht="15">
      <c r="A85" s="58"/>
      <c r="B85" s="69">
        <v>55</v>
      </c>
      <c r="C85" s="43" t="s">
        <v>283</v>
      </c>
      <c r="D85" s="69">
        <v>2.9688927992390101E-2</v>
      </c>
      <c r="E85" s="43">
        <f t="shared" si="4"/>
        <v>0.18199916847622388</v>
      </c>
      <c r="F85" s="71">
        <f t="shared" si="5"/>
        <v>18.19991684762239</v>
      </c>
      <c r="G85" s="84">
        <f t="shared" si="6"/>
        <v>186.18514935117705</v>
      </c>
      <c r="H85" s="43"/>
      <c r="I85" s="8"/>
      <c r="J85" s="8"/>
      <c r="Y85" s="8"/>
      <c r="Z85" s="8"/>
      <c r="AA85" s="8"/>
      <c r="AB85" s="8"/>
      <c r="AC85" s="8"/>
      <c r="AD85" s="8"/>
    </row>
    <row r="86" spans="1:30" ht="15">
      <c r="A86" s="58"/>
      <c r="B86" s="69">
        <v>56</v>
      </c>
      <c r="C86" s="43" t="s">
        <v>284</v>
      </c>
      <c r="D86" s="69">
        <v>3.1819805153394602E-2</v>
      </c>
      <c r="E86" s="43">
        <f t="shared" si="4"/>
        <v>0.18551284741336457</v>
      </c>
      <c r="F86" s="71">
        <f t="shared" si="5"/>
        <v>18.551284741336456</v>
      </c>
      <c r="G86" s="84">
        <f t="shared" si="6"/>
        <v>189.77964290387195</v>
      </c>
      <c r="H86" s="43"/>
      <c r="I86" s="8"/>
      <c r="J86" s="8"/>
      <c r="Y86" s="8"/>
      <c r="Z86" s="8"/>
      <c r="AA86" s="8"/>
      <c r="AB86" s="8"/>
      <c r="AC86" s="8"/>
      <c r="AD86" s="8"/>
    </row>
    <row r="87" spans="1:30" ht="15">
      <c r="A87" s="58"/>
      <c r="B87" s="69">
        <v>57</v>
      </c>
      <c r="C87" s="43" t="s">
        <v>285</v>
      </c>
      <c r="D87" s="69">
        <v>3.4103622746483903E-2</v>
      </c>
      <c r="E87" s="43">
        <f t="shared" si="4"/>
        <v>0.18921033646672755</v>
      </c>
      <c r="F87" s="71">
        <f t="shared" si="5"/>
        <v>18.921033646672754</v>
      </c>
      <c r="G87" s="84">
        <f t="shared" si="6"/>
        <v>193.5621742054623</v>
      </c>
      <c r="H87" s="43"/>
      <c r="I87" s="8"/>
      <c r="J87" s="8"/>
      <c r="Y87" s="8"/>
      <c r="Z87" s="8"/>
      <c r="AA87" s="8"/>
      <c r="AB87" s="8"/>
      <c r="AC87" s="8"/>
      <c r="AD87" s="8"/>
    </row>
    <row r="88" spans="1:30" ht="15">
      <c r="A88" s="58"/>
      <c r="B88" s="69">
        <v>58</v>
      </c>
      <c r="C88" s="43" t="s">
        <v>286</v>
      </c>
      <c r="D88" s="69">
        <v>3.6551357836030599E-2</v>
      </c>
      <c r="E88" s="43">
        <f t="shared" si="4"/>
        <v>0.19309755948551183</v>
      </c>
      <c r="F88" s="71">
        <f t="shared" si="5"/>
        <v>19.309755948551182</v>
      </c>
      <c r="G88" s="84">
        <f t="shared" si="6"/>
        <v>197.53880335367859</v>
      </c>
      <c r="H88" s="43"/>
      <c r="I88" s="8"/>
      <c r="J88" s="8"/>
      <c r="Y88" s="8"/>
      <c r="Z88" s="8"/>
      <c r="AA88" s="8"/>
      <c r="AB88" s="8"/>
      <c r="AC88" s="8"/>
      <c r="AD88" s="8"/>
    </row>
    <row r="89" spans="1:30" ht="15">
      <c r="A89" s="58"/>
      <c r="B89" s="69">
        <v>59</v>
      </c>
      <c r="C89" s="43" t="s">
        <v>287</v>
      </c>
      <c r="D89" s="69">
        <v>3.9174775348325502E-2</v>
      </c>
      <c r="E89" s="43">
        <f t="shared" si="4"/>
        <v>0.19718025401688288</v>
      </c>
      <c r="F89" s="71">
        <f t="shared" si="5"/>
        <v>19.718025401688287</v>
      </c>
      <c r="G89" s="84">
        <f t="shared" si="6"/>
        <v>201.7153998592712</v>
      </c>
      <c r="H89" s="43"/>
      <c r="I89" s="8"/>
      <c r="J89" s="8"/>
      <c r="Y89" s="8"/>
      <c r="Z89" s="8"/>
      <c r="AA89" s="8"/>
      <c r="AB89" s="8"/>
      <c r="AC89" s="8"/>
      <c r="AD89" s="8"/>
    </row>
    <row r="90" spans="1:30" ht="15">
      <c r="A90" s="58"/>
      <c r="B90" s="69">
        <v>60</v>
      </c>
      <c r="C90" s="43" t="s">
        <v>288</v>
      </c>
      <c r="D90" s="69">
        <v>4.19864846191563E-2</v>
      </c>
      <c r="E90" s="43">
        <f t="shared" si="4"/>
        <v>0.2014639315360737</v>
      </c>
      <c r="F90" s="71">
        <f t="shared" si="5"/>
        <v>20.14639315360737</v>
      </c>
      <c r="G90" s="84">
        <f t="shared" si="6"/>
        <v>206.0976019614034</v>
      </c>
      <c r="H90" s="43"/>
      <c r="I90" s="8"/>
      <c r="J90" s="8"/>
      <c r="Y90" s="8"/>
      <c r="Z90" s="8"/>
      <c r="AA90" s="8"/>
      <c r="AB90" s="8"/>
      <c r="AC90" s="8"/>
      <c r="AD90" s="8"/>
    </row>
    <row r="91" spans="1:30" ht="15">
      <c r="A91" s="58"/>
      <c r="B91" s="69">
        <v>61</v>
      </c>
      <c r="C91" s="43" t="s">
        <v>289</v>
      </c>
      <c r="D91" s="69">
        <v>4.4999999999999998E-2</v>
      </c>
      <c r="E91" s="43">
        <f t="shared" si="4"/>
        <v>0.20595383736092604</v>
      </c>
      <c r="F91" s="71">
        <f t="shared" si="5"/>
        <v>20.595383736092604</v>
      </c>
      <c r="G91" s="84">
        <f t="shared" si="6"/>
        <v>210.69077562022733</v>
      </c>
      <c r="H91" s="43"/>
      <c r="I91" s="8"/>
      <c r="J91" s="8"/>
      <c r="Y91" s="8"/>
      <c r="Z91" s="8"/>
      <c r="AA91" s="8"/>
      <c r="AB91" s="8"/>
      <c r="AC91" s="8"/>
      <c r="AD91" s="8"/>
    </row>
    <row r="92" spans="1:30" ht="15">
      <c r="A92" s="58"/>
      <c r="B92" s="69">
        <v>62</v>
      </c>
      <c r="C92" s="43" t="s">
        <v>290</v>
      </c>
      <c r="D92" s="69">
        <v>4.8229805814133102E-2</v>
      </c>
      <c r="E92" s="43">
        <f t="shared" si="4"/>
        <v>0.21065491078928927</v>
      </c>
      <c r="F92" s="71">
        <f t="shared" si="5"/>
        <v>21.065491078928929</v>
      </c>
      <c r="G92" s="84">
        <f t="shared" si="6"/>
        <v>215.49997373744293</v>
      </c>
      <c r="H92" s="43"/>
      <c r="I92" s="8"/>
      <c r="J92" s="8"/>
      <c r="Y92" s="8"/>
      <c r="Z92" s="8"/>
      <c r="AA92" s="8"/>
      <c r="AB92" s="8"/>
      <c r="AC92" s="8"/>
      <c r="AD92" s="8"/>
    </row>
    <row r="93" spans="1:30" ht="15">
      <c r="A93" s="58"/>
      <c r="B93" s="69">
        <v>63</v>
      </c>
      <c r="C93" s="43" t="s">
        <v>291</v>
      </c>
      <c r="D93" s="69">
        <v>5.1691425974866499E-2</v>
      </c>
      <c r="E93" s="43">
        <f t="shared" si="4"/>
        <v>0.21557174603515011</v>
      </c>
      <c r="F93" s="71">
        <f t="shared" si="5"/>
        <v>21.557174603515012</v>
      </c>
      <c r="G93" s="84">
        <f t="shared" si="6"/>
        <v>220.52989619395856</v>
      </c>
      <c r="H93" s="43"/>
      <c r="I93" s="8"/>
      <c r="J93" s="8"/>
      <c r="Y93" s="8"/>
      <c r="Z93" s="8"/>
      <c r="AA93" s="8"/>
      <c r="AB93" s="8"/>
      <c r="AC93" s="8"/>
      <c r="AD93" s="8"/>
    </row>
    <row r="94" spans="1:30" ht="15">
      <c r="A94" s="58"/>
      <c r="B94" s="69">
        <v>64</v>
      </c>
      <c r="C94" s="43" t="s">
        <v>292</v>
      </c>
      <c r="D94" s="69">
        <v>5.5401498600521203E-2</v>
      </c>
      <c r="E94" s="43">
        <f t="shared" si="4"/>
        <v>0.2207085545647488</v>
      </c>
      <c r="F94" s="71">
        <f t="shared" si="5"/>
        <v>22.070855456474881</v>
      </c>
      <c r="G94" s="84">
        <f t="shared" si="6"/>
        <v>225.78485131973804</v>
      </c>
      <c r="H94" s="43"/>
      <c r="I94" s="8"/>
      <c r="J94" s="8"/>
      <c r="Y94" s="8"/>
      <c r="Z94" s="8"/>
      <c r="AA94" s="8"/>
      <c r="AB94" s="8"/>
      <c r="AC94" s="8"/>
      <c r="AD94" s="8"/>
    </row>
    <row r="95" spans="1:30" ht="15">
      <c r="A95" s="58"/>
      <c r="B95" s="69">
        <v>65</v>
      </c>
      <c r="C95" s="43" t="s">
        <v>293</v>
      </c>
      <c r="D95" s="69">
        <v>5.9377855984780202E-2</v>
      </c>
      <c r="E95" s="43">
        <f t="shared" si="4"/>
        <v>0.22606912944524163</v>
      </c>
      <c r="F95" s="71">
        <f t="shared" si="5"/>
        <v>22.606912944524161</v>
      </c>
      <c r="G95" s="84">
        <f t="shared" si="6"/>
        <v>231.26871942248218</v>
      </c>
      <c r="H95" s="43"/>
      <c r="I95" s="8"/>
      <c r="J95" s="8"/>
      <c r="Y95" s="8"/>
      <c r="Z95" s="8"/>
      <c r="AA95" s="8"/>
      <c r="AB95" s="8"/>
      <c r="AC95" s="8"/>
      <c r="AD95" s="8"/>
    </row>
    <row r="96" spans="1:30" ht="15">
      <c r="A96" s="58"/>
      <c r="B96" s="69">
        <v>66</v>
      </c>
      <c r="C96" s="43" t="s">
        <v>294</v>
      </c>
      <c r="D96" s="69">
        <v>6.3639610306789204E-2</v>
      </c>
      <c r="E96" s="43">
        <f t="shared" si="4"/>
        <v>0.23165681231410964</v>
      </c>
      <c r="F96" s="71">
        <f t="shared" si="5"/>
        <v>23.165681231410964</v>
      </c>
      <c r="G96" s="84">
        <f t="shared" si="6"/>
        <v>236.98491899733418</v>
      </c>
      <c r="H96" s="43"/>
      <c r="I96" s="8"/>
      <c r="J96" s="8"/>
      <c r="Y96" s="8"/>
      <c r="Z96" s="8"/>
      <c r="AA96" s="8"/>
      <c r="AB96" s="8"/>
      <c r="AC96" s="8"/>
      <c r="AD96" s="8"/>
    </row>
    <row r="97" spans="1:30" ht="15">
      <c r="A97" s="58"/>
      <c r="B97" s="69">
        <v>67</v>
      </c>
      <c r="C97" s="43" t="s">
        <v>295</v>
      </c>
      <c r="D97" s="69">
        <v>6.8207245492967902E-2</v>
      </c>
      <c r="E97" s="43">
        <f t="shared" si="4"/>
        <v>0.23747446355646346</v>
      </c>
      <c r="F97" s="71">
        <f t="shared" si="5"/>
        <v>23.747446355646346</v>
      </c>
      <c r="G97" s="84">
        <f t="shared" si="6"/>
        <v>242.93637621826213</v>
      </c>
      <c r="H97" s="43"/>
      <c r="I97" s="8"/>
      <c r="J97" s="8"/>
      <c r="Y97" s="8"/>
      <c r="Z97" s="8"/>
      <c r="AA97" s="8"/>
      <c r="AB97" s="8"/>
      <c r="AC97" s="8"/>
      <c r="AD97" s="8"/>
    </row>
    <row r="98" spans="1:30" ht="15">
      <c r="A98" s="58"/>
      <c r="B98" s="69">
        <v>68</v>
      </c>
      <c r="C98" s="43" t="s">
        <v>296</v>
      </c>
      <c r="D98" s="69">
        <v>7.31027156720611E-2</v>
      </c>
      <c r="E98" s="43">
        <f t="shared" si="4"/>
        <v>0.24352443623924713</v>
      </c>
      <c r="F98" s="71">
        <f t="shared" si="5"/>
        <v>24.352443623924714</v>
      </c>
      <c r="G98" s="84">
        <f t="shared" si="6"/>
        <v>249.12549827274981</v>
      </c>
      <c r="H98" s="43"/>
      <c r="I98" s="8"/>
      <c r="J98" s="8"/>
      <c r="Y98" s="8"/>
      <c r="Z98" s="8"/>
      <c r="AA98" s="8"/>
      <c r="AB98" s="8"/>
      <c r="AC98" s="8"/>
      <c r="AD98" s="8"/>
    </row>
    <row r="99" spans="1:30" ht="15">
      <c r="A99" s="58"/>
      <c r="B99" s="69">
        <v>69</v>
      </c>
      <c r="C99" s="43" t="s">
        <v>297</v>
      </c>
      <c r="D99" s="69">
        <v>7.8349550696651102E-2</v>
      </c>
      <c r="E99" s="43">
        <f t="shared" si="4"/>
        <v>0.24980855429642643</v>
      </c>
      <c r="F99" s="71">
        <f t="shared" si="5"/>
        <v>24.980855429642641</v>
      </c>
      <c r="G99" s="84">
        <f t="shared" si="6"/>
        <v>255.55415104524423</v>
      </c>
      <c r="H99" s="43"/>
      <c r="I99" s="8"/>
      <c r="J99" s="8"/>
      <c r="Y99" s="8"/>
      <c r="Z99" s="8"/>
      <c r="AA99" s="8"/>
      <c r="AB99" s="8"/>
      <c r="AC99" s="8"/>
      <c r="AD99" s="8"/>
    </row>
    <row r="100" spans="1:30" ht="15">
      <c r="A100" s="58"/>
      <c r="B100" s="69">
        <v>70</v>
      </c>
      <c r="C100" s="43" t="s">
        <v>298</v>
      </c>
      <c r="D100" s="69">
        <v>8.39729692383126E-2</v>
      </c>
      <c r="E100" s="43">
        <f t="shared" si="4"/>
        <v>0.25632809538862666</v>
      </c>
      <c r="F100" s="71">
        <f t="shared" si="5"/>
        <v>25.632809538862666</v>
      </c>
      <c r="G100" s="84">
        <f t="shared" si="6"/>
        <v>262.22364158256505</v>
      </c>
      <c r="H100" s="43"/>
      <c r="I100" s="8"/>
      <c r="J100" s="8"/>
      <c r="Y100" s="8"/>
      <c r="Z100" s="8"/>
      <c r="AA100" s="8"/>
      <c r="AB100" s="8"/>
      <c r="AC100" s="8"/>
      <c r="AD100" s="8"/>
    </row>
    <row r="101" spans="1:30" ht="15">
      <c r="A101" s="58"/>
      <c r="B101" s="69">
        <v>71</v>
      </c>
      <c r="C101" s="43" t="s">
        <v>299</v>
      </c>
      <c r="D101" s="69">
        <v>0.09</v>
      </c>
      <c r="E101" s="43">
        <f t="shared" si="4"/>
        <v>0.26308377877619327</v>
      </c>
      <c r="F101" s="71">
        <f t="shared" si="5"/>
        <v>26.308377877619328</v>
      </c>
      <c r="G101" s="84">
        <f t="shared" si="6"/>
        <v>269.1347056880457</v>
      </c>
      <c r="H101" s="43"/>
      <c r="I101" s="8"/>
      <c r="J101" s="8"/>
      <c r="Y101" s="8"/>
      <c r="Z101" s="8"/>
      <c r="AA101" s="8"/>
      <c r="AB101" s="8"/>
      <c r="AC101" s="8"/>
      <c r="AD101" s="8"/>
    </row>
    <row r="102" spans="1:30" ht="15">
      <c r="A102" s="58"/>
      <c r="B102" s="69">
        <v>72</v>
      </c>
      <c r="C102" s="43" t="s">
        <v>300</v>
      </c>
      <c r="D102" s="69">
        <v>9.6459611628266301E-2</v>
      </c>
      <c r="E102" s="43">
        <f t="shared" si="4"/>
        <v>0.27007575844876741</v>
      </c>
      <c r="F102" s="71">
        <f t="shared" si="5"/>
        <v>27.00757584487674</v>
      </c>
      <c r="G102" s="84">
        <f t="shared" si="6"/>
        <v>276.28750089308909</v>
      </c>
      <c r="H102" s="43"/>
      <c r="I102" s="8"/>
      <c r="J102" s="8"/>
      <c r="Y102" s="8"/>
      <c r="Z102" s="8"/>
      <c r="AA102" s="8"/>
      <c r="AB102" s="8"/>
      <c r="AC102" s="8"/>
      <c r="AD102" s="8"/>
    </row>
    <row r="103" spans="1:30" ht="15">
      <c r="A103" s="58"/>
      <c r="B103" s="69">
        <v>73</v>
      </c>
      <c r="C103" s="43" t="s">
        <v>301</v>
      </c>
      <c r="D103" s="69">
        <v>0.103382851949733</v>
      </c>
      <c r="E103" s="43">
        <f t="shared" si="4"/>
        <v>0.2773036216502891</v>
      </c>
      <c r="F103" s="71">
        <f t="shared" si="5"/>
        <v>27.730362165028911</v>
      </c>
      <c r="G103" s="84">
        <f t="shared" si="6"/>
        <v>283.68160494824576</v>
      </c>
      <c r="H103" s="43"/>
      <c r="I103" s="8"/>
      <c r="J103" s="8"/>
      <c r="Y103" s="8"/>
      <c r="Z103" s="8"/>
      <c r="AA103" s="8"/>
      <c r="AB103" s="8"/>
      <c r="AC103" s="8"/>
      <c r="AD103" s="8"/>
    </row>
    <row r="104" spans="1:30" ht="15">
      <c r="A104" s="58"/>
      <c r="B104" s="69">
        <v>74</v>
      </c>
      <c r="C104" s="43" t="s">
        <v>302</v>
      </c>
      <c r="D104" s="69">
        <v>0.110802997201042</v>
      </c>
      <c r="E104" s="43">
        <f t="shared" si="4"/>
        <v>0.28476639282936128</v>
      </c>
      <c r="F104" s="71">
        <f t="shared" si="5"/>
        <v>28.476639282936127</v>
      </c>
      <c r="G104" s="84">
        <f t="shared" si="6"/>
        <v>291.31601986443661</v>
      </c>
      <c r="H104" s="43"/>
      <c r="I104" s="8"/>
      <c r="J104" s="8"/>
      <c r="Y104" s="8"/>
      <c r="Z104" s="8"/>
      <c r="AA104" s="8"/>
      <c r="AB104" s="8"/>
      <c r="AC104" s="8"/>
      <c r="AD104" s="8"/>
    </row>
    <row r="105" spans="1:30" ht="15">
      <c r="A105" s="58"/>
      <c r="B105" s="69">
        <v>75</v>
      </c>
      <c r="C105" s="43" t="s">
        <v>303</v>
      </c>
      <c r="D105" s="69">
        <v>0.11875571196956</v>
      </c>
      <c r="E105" s="43">
        <f t="shared" si="4"/>
        <v>0.29246254293489582</v>
      </c>
      <c r="F105" s="71">
        <f t="shared" si="5"/>
        <v>29.246254293489581</v>
      </c>
      <c r="G105" s="84">
        <f t="shared" si="6"/>
        <v>299.18918142239841</v>
      </c>
      <c r="H105" s="43"/>
      <c r="I105" s="8"/>
      <c r="J105" s="8"/>
      <c r="Y105" s="8"/>
      <c r="Z105" s="8"/>
      <c r="AA105" s="8"/>
      <c r="AB105" s="8"/>
      <c r="AC105" s="8"/>
      <c r="AD105" s="8"/>
    </row>
    <row r="106" spans="1:30" ht="15">
      <c r="A106" s="58"/>
      <c r="B106" s="69">
        <v>76</v>
      </c>
      <c r="C106" s="43" t="s">
        <v>304</v>
      </c>
      <c r="D106" s="69">
        <v>0.12727922061357799</v>
      </c>
      <c r="E106" s="43">
        <f t="shared" si="4"/>
        <v>0.30039000386971121</v>
      </c>
      <c r="F106" s="71">
        <f t="shared" si="5"/>
        <v>30.039000386971122</v>
      </c>
      <c r="G106" s="84">
        <f t="shared" si="6"/>
        <v>307.29897395871456</v>
      </c>
      <c r="H106" s="43"/>
      <c r="I106" s="8"/>
      <c r="J106" s="8"/>
      <c r="Y106" s="8"/>
      <c r="Z106" s="8"/>
      <c r="AA106" s="8"/>
      <c r="AB106" s="8"/>
      <c r="AC106" s="8"/>
      <c r="AD106" s="8"/>
    </row>
    <row r="107" spans="1:30" ht="15">
      <c r="A107" s="58"/>
      <c r="B107" s="69">
        <v>77</v>
      </c>
      <c r="C107" s="43" t="s">
        <v>305</v>
      </c>
      <c r="D107" s="69">
        <v>0.136414490985935</v>
      </c>
      <c r="E107" s="43">
        <f t="shared" si="4"/>
        <v>0.30854618781396492</v>
      </c>
      <c r="F107" s="71">
        <f t="shared" si="5"/>
        <v>30.854618781396493</v>
      </c>
      <c r="G107" s="84">
        <f t="shared" si="6"/>
        <v>315.64275013368609</v>
      </c>
      <c r="H107" s="43"/>
      <c r="I107" s="8"/>
      <c r="J107" s="8"/>
      <c r="Y107" s="8"/>
      <c r="Z107" s="8"/>
      <c r="AA107" s="8"/>
      <c r="AB107" s="8"/>
      <c r="AC107" s="8"/>
      <c r="AD107" s="8"/>
    </row>
    <row r="108" spans="1:30" ht="15">
      <c r="A108" s="58"/>
      <c r="B108" s="69">
        <v>78</v>
      </c>
      <c r="C108" s="43" t="s">
        <v>306</v>
      </c>
      <c r="D108" s="69">
        <v>0.14620543134412201</v>
      </c>
      <c r="E108" s="43">
        <f t="shared" si="4"/>
        <v>0.31692801103926266</v>
      </c>
      <c r="F108" s="71">
        <f t="shared" si="5"/>
        <v>31.692801103926264</v>
      </c>
      <c r="G108" s="84">
        <f t="shared" si="6"/>
        <v>324.21735529316572</v>
      </c>
      <c r="H108" s="43"/>
      <c r="I108" s="8"/>
      <c r="J108" s="8"/>
      <c r="Y108" s="8"/>
      <c r="Z108" s="8"/>
      <c r="AA108" s="8"/>
      <c r="AB108" s="8"/>
      <c r="AC108" s="8"/>
      <c r="AD108" s="8"/>
    </row>
    <row r="109" spans="1:30" ht="15">
      <c r="A109" s="58"/>
      <c r="B109" s="69">
        <v>79</v>
      </c>
      <c r="C109" s="43" t="s">
        <v>307</v>
      </c>
      <c r="D109" s="69">
        <v>0.15669910139330201</v>
      </c>
      <c r="E109" s="43">
        <f t="shared" si="4"/>
        <v>0.32553192175586509</v>
      </c>
      <c r="F109" s="71">
        <f t="shared" si="5"/>
        <v>32.55319217558651</v>
      </c>
      <c r="G109" s="84">
        <f t="shared" si="6"/>
        <v>333.01915595625002</v>
      </c>
      <c r="H109" s="43"/>
      <c r="I109" s="8"/>
      <c r="J109" s="8"/>
      <c r="Y109" s="8"/>
      <c r="Z109" s="8"/>
      <c r="AA109" s="8"/>
      <c r="AB109" s="8"/>
      <c r="AC109" s="8"/>
      <c r="AD109" s="8"/>
    </row>
    <row r="110" spans="1:30" ht="15">
      <c r="A110" s="58"/>
      <c r="B110" s="69">
        <v>80</v>
      </c>
      <c r="C110" s="43" t="s">
        <v>85</v>
      </c>
      <c r="D110" s="69">
        <v>0.16794593847662501</v>
      </c>
      <c r="E110" s="43">
        <f t="shared" si="4"/>
        <v>0.33435393147179404</v>
      </c>
      <c r="F110" s="71">
        <f t="shared" si="5"/>
        <v>33.435393147179404</v>
      </c>
      <c r="G110" s="84">
        <f t="shared" si="6"/>
        <v>342.04407189564529</v>
      </c>
      <c r="H110" s="43"/>
      <c r="I110" s="8"/>
      <c r="J110" s="8"/>
      <c r="Y110" s="8"/>
      <c r="Z110" s="8"/>
      <c r="AA110" s="8"/>
      <c r="AB110" s="8"/>
      <c r="AC110" s="8"/>
      <c r="AD110" s="8"/>
    </row>
    <row r="111" spans="1:30" ht="15">
      <c r="A111" s="58"/>
      <c r="B111" s="69">
        <v>81</v>
      </c>
      <c r="C111" s="43" t="s">
        <v>308</v>
      </c>
      <c r="D111" s="69">
        <v>0.18</v>
      </c>
      <c r="E111" s="43">
        <f t="shared" si="4"/>
        <v>0.3433896492952806</v>
      </c>
      <c r="F111" s="71">
        <f t="shared" si="5"/>
        <v>34.338964929528061</v>
      </c>
      <c r="G111" s="84">
        <f t="shared" si="6"/>
        <v>351.28761122907207</v>
      </c>
      <c r="H111" s="43"/>
      <c r="I111" s="8"/>
      <c r="J111" s="8"/>
      <c r="Y111" s="8"/>
      <c r="Z111" s="8"/>
      <c r="AA111" s="8"/>
      <c r="AB111" s="8"/>
      <c r="AC111" s="8"/>
      <c r="AD111" s="8"/>
    </row>
    <row r="112" spans="1:30" ht="15">
      <c r="A112" s="58"/>
      <c r="B112" s="69">
        <v>82</v>
      </c>
      <c r="C112" s="43" t="s">
        <v>309</v>
      </c>
      <c r="D112" s="69">
        <v>0.19291922325653199</v>
      </c>
      <c r="E112" s="43">
        <f t="shared" si="4"/>
        <v>0.3526343185816786</v>
      </c>
      <c r="F112" s="71">
        <f t="shared" si="5"/>
        <v>35.263431858167863</v>
      </c>
      <c r="G112" s="84">
        <f t="shared" si="6"/>
        <v>360.74490790905719</v>
      </c>
      <c r="H112" s="43"/>
      <c r="I112" s="8"/>
      <c r="J112" s="8"/>
      <c r="Y112" s="8"/>
      <c r="Z112" s="8"/>
      <c r="AA112" s="8"/>
      <c r="AB112" s="8"/>
      <c r="AC112" s="8"/>
      <c r="AD112" s="8"/>
    </row>
    <row r="113" spans="1:30" ht="15">
      <c r="A113" s="58"/>
      <c r="B113" s="69">
        <v>83</v>
      </c>
      <c r="C113" s="43" t="s">
        <v>87</v>
      </c>
      <c r="D113" s="69">
        <v>0.206765703899466</v>
      </c>
      <c r="E113" s="43">
        <f t="shared" si="4"/>
        <v>0.36208285531263407</v>
      </c>
      <c r="F113" s="71">
        <f t="shared" si="5"/>
        <v>36.208285531263407</v>
      </c>
      <c r="G113" s="84">
        <f t="shared" si="6"/>
        <v>370.41076098482466</v>
      </c>
      <c r="H113" s="43"/>
      <c r="I113" s="8"/>
      <c r="J113" s="8"/>
      <c r="Y113" s="8"/>
      <c r="Z113" s="8"/>
      <c r="AA113" s="8"/>
      <c r="AB113" s="8"/>
      <c r="AC113" s="8"/>
      <c r="AD113" s="8"/>
    </row>
    <row r="114" spans="1:30" ht="15">
      <c r="A114" s="58"/>
      <c r="B114" s="69">
        <v>84</v>
      </c>
      <c r="C114" s="43" t="s">
        <v>310</v>
      </c>
      <c r="D114" s="69">
        <v>0.22160599440208401</v>
      </c>
      <c r="E114" s="43">
        <f t="shared" si="4"/>
        <v>0.37172988759824249</v>
      </c>
      <c r="F114" s="71">
        <f t="shared" si="5"/>
        <v>37.17298875982425</v>
      </c>
      <c r="G114" s="84">
        <f t="shared" si="6"/>
        <v>380.27967501300208</v>
      </c>
      <c r="H114" s="43"/>
      <c r="I114" s="8"/>
      <c r="J114" s="8"/>
      <c r="Y114" s="8"/>
      <c r="Z114" s="8"/>
      <c r="AA114" s="8"/>
      <c r="AB114" s="8"/>
      <c r="AC114" s="8"/>
      <c r="AD114" s="8"/>
    </row>
    <row r="115" spans="1:30" ht="15">
      <c r="A115" s="58"/>
      <c r="B115" s="69">
        <v>85</v>
      </c>
      <c r="C115" s="43" t="s">
        <v>311</v>
      </c>
      <c r="D115" s="69">
        <v>0.23751142393912</v>
      </c>
      <c r="E115" s="43">
        <f t="shared" si="4"/>
        <v>0.38156979571092131</v>
      </c>
      <c r="F115" s="71">
        <f t="shared" si="5"/>
        <v>38.15697957109213</v>
      </c>
      <c r="G115" s="84">
        <f t="shared" si="6"/>
        <v>390.34590101227252</v>
      </c>
      <c r="H115" s="43"/>
      <c r="I115" s="8"/>
      <c r="J115" s="8"/>
      <c r="Y115" s="8"/>
      <c r="Z115" s="8"/>
      <c r="AA115" s="8"/>
      <c r="AB115" s="8"/>
      <c r="AC115" s="8"/>
      <c r="AD115" s="8"/>
    </row>
    <row r="116" spans="1:30" ht="15">
      <c r="A116" s="58"/>
      <c r="B116" s="69">
        <v>86</v>
      </c>
      <c r="C116" s="43" t="s">
        <v>312</v>
      </c>
      <c r="D116" s="69">
        <v>0.25455844122715698</v>
      </c>
      <c r="E116" s="43">
        <f t="shared" si="4"/>
        <v>0.39159675209084643</v>
      </c>
      <c r="F116" s="71">
        <f t="shared" si="5"/>
        <v>39.159675209084646</v>
      </c>
      <c r="G116" s="84">
        <f t="shared" si="6"/>
        <v>400.60347738893591</v>
      </c>
      <c r="H116" s="43"/>
      <c r="I116" s="8"/>
      <c r="J116" s="8"/>
      <c r="Y116" s="8"/>
      <c r="Z116" s="8"/>
      <c r="AA116" s="8"/>
      <c r="AB116" s="8"/>
      <c r="AC116" s="8"/>
      <c r="AD116" s="8"/>
    </row>
    <row r="117" spans="1:30" ht="15">
      <c r="A117" s="58"/>
      <c r="B117" s="69">
        <v>87</v>
      </c>
      <c r="C117" s="43" t="s">
        <v>313</v>
      </c>
      <c r="D117" s="69">
        <v>0.272828981971871</v>
      </c>
      <c r="E117" s="43">
        <f t="shared" si="4"/>
        <v>0.4018047608050852</v>
      </c>
      <c r="F117" s="71">
        <f t="shared" si="5"/>
        <v>40.180476080508519</v>
      </c>
      <c r="G117" s="84">
        <f t="shared" si="6"/>
        <v>411.04627030360217</v>
      </c>
      <c r="H117" s="43"/>
      <c r="I117" s="8"/>
      <c r="J117" s="8"/>
      <c r="Y117" s="8"/>
      <c r="Z117" s="8"/>
      <c r="AA117" s="8"/>
      <c r="AB117" s="8"/>
      <c r="AC117" s="8"/>
      <c r="AD117" s="8"/>
    </row>
    <row r="118" spans="1:30" ht="15">
      <c r="A118" s="58"/>
      <c r="B118" s="69">
        <v>88</v>
      </c>
      <c r="C118" s="43" t="s">
        <v>314</v>
      </c>
      <c r="D118" s="69">
        <v>0.29241086268824401</v>
      </c>
      <c r="E118" s="43">
        <f t="shared" si="4"/>
        <v>0.41218769599351879</v>
      </c>
      <c r="F118" s="71">
        <f t="shared" si="5"/>
        <v>41.21876959935188</v>
      </c>
      <c r="G118" s="84">
        <f t="shared" si="6"/>
        <v>421.66801300136973</v>
      </c>
      <c r="H118" s="43"/>
      <c r="I118" s="8"/>
      <c r="J118" s="8"/>
      <c r="Y118" s="8"/>
      <c r="Z118" s="8"/>
      <c r="AA118" s="8"/>
      <c r="AB118" s="8"/>
      <c r="AC118" s="8"/>
      <c r="AD118" s="8"/>
    </row>
    <row r="119" spans="1:30" ht="15">
      <c r="A119" s="58"/>
      <c r="B119" s="69">
        <v>89</v>
      </c>
      <c r="C119" s="43" t="s">
        <v>315</v>
      </c>
      <c r="D119" s="69">
        <v>0.31339820278660402</v>
      </c>
      <c r="E119" s="43">
        <f t="shared" si="4"/>
        <v>0.42273933889191884</v>
      </c>
      <c r="F119" s="71">
        <f t="shared" si="5"/>
        <v>42.273933889191881</v>
      </c>
      <c r="G119" s="84">
        <f t="shared" si="6"/>
        <v>432.46234368643297</v>
      </c>
      <c r="H119" s="43"/>
      <c r="I119" s="8"/>
      <c r="J119" s="8"/>
      <c r="Y119" s="8"/>
      <c r="Z119" s="8"/>
      <c r="AA119" s="8"/>
      <c r="AB119" s="8"/>
      <c r="AC119" s="8"/>
      <c r="AD119" s="8"/>
    </row>
    <row r="120" spans="1:30" ht="15">
      <c r="A120" s="58"/>
      <c r="B120" s="69">
        <v>90</v>
      </c>
      <c r="C120" s="43" t="s">
        <v>316</v>
      </c>
      <c r="D120" s="69">
        <v>0.33589187695325001</v>
      </c>
      <c r="E120" s="43">
        <f t="shared" si="4"/>
        <v>0.43345341308376484</v>
      </c>
      <c r="F120" s="71">
        <f t="shared" si="5"/>
        <v>43.345341308376483</v>
      </c>
      <c r="G120" s="84">
        <f t="shared" si="6"/>
        <v>443.42284158469141</v>
      </c>
      <c r="H120" s="43"/>
      <c r="I120" s="8"/>
      <c r="J120" s="8"/>
      <c r="Y120" s="8"/>
      <c r="Z120" s="8"/>
      <c r="AA120" s="8"/>
      <c r="AB120" s="8"/>
      <c r="AC120" s="8"/>
      <c r="AD120" s="8"/>
    </row>
    <row r="121" spans="1:30" ht="15">
      <c r="A121" s="58"/>
      <c r="B121" s="69">
        <v>91</v>
      </c>
      <c r="C121" s="43" t="s">
        <v>317</v>
      </c>
      <c r="D121" s="69">
        <v>0.36</v>
      </c>
      <c r="E121" s="43">
        <f t="shared" si="4"/>
        <v>0.44432361769525375</v>
      </c>
      <c r="F121" s="71">
        <f t="shared" si="5"/>
        <v>44.432361769525372</v>
      </c>
      <c r="G121" s="84">
        <f t="shared" si="6"/>
        <v>454.54306090224458</v>
      </c>
      <c r="H121" s="43"/>
      <c r="I121" s="8"/>
      <c r="J121" s="8"/>
      <c r="Y121" s="8"/>
      <c r="Z121" s="8"/>
      <c r="AA121" s="8"/>
      <c r="AB121" s="8"/>
      <c r="AC121" s="8"/>
      <c r="AD121" s="8"/>
    </row>
    <row r="122" spans="1:30" ht="15">
      <c r="A122" s="58"/>
      <c r="B122" s="69">
        <v>92</v>
      </c>
      <c r="C122" s="43" t="s">
        <v>318</v>
      </c>
      <c r="D122" s="69">
        <v>0.38583844651306498</v>
      </c>
      <c r="E122" s="43">
        <f t="shared" si="4"/>
        <v>0.45534365831049295</v>
      </c>
      <c r="F122" s="71">
        <f t="shared" si="5"/>
        <v>45.534365831049293</v>
      </c>
      <c r="G122" s="84">
        <f t="shared" si="6"/>
        <v>465.8165624516343</v>
      </c>
      <c r="H122" s="43"/>
      <c r="I122" s="8"/>
      <c r="J122" s="8"/>
      <c r="Y122" s="8"/>
      <c r="Z122" s="8"/>
      <c r="AA122" s="8"/>
      <c r="AB122" s="8"/>
      <c r="AC122" s="8"/>
      <c r="AD122" s="8"/>
    </row>
    <row r="123" spans="1:30" ht="15">
      <c r="A123" s="58"/>
      <c r="B123" s="69">
        <v>93</v>
      </c>
      <c r="C123" s="43" t="s">
        <v>319</v>
      </c>
      <c r="D123" s="69">
        <v>0.41353140779893199</v>
      </c>
      <c r="E123" s="43">
        <f t="shared" si="4"/>
        <v>0.46650727544433201</v>
      </c>
      <c r="F123" s="71">
        <f t="shared" si="5"/>
        <v>46.650727544433202</v>
      </c>
      <c r="G123" s="84">
        <f t="shared" si="6"/>
        <v>477.23694277955167</v>
      </c>
      <c r="H123" s="43"/>
      <c r="I123" s="8"/>
      <c r="J123" s="8"/>
      <c r="Y123" s="8"/>
      <c r="Z123" s="8"/>
      <c r="AA123" s="8"/>
      <c r="AB123" s="8"/>
      <c r="AC123" s="8"/>
      <c r="AD123" s="8"/>
    </row>
    <row r="124" spans="1:30" ht="15">
      <c r="A124" s="58"/>
      <c r="B124" s="69">
        <v>94</v>
      </c>
      <c r="C124" s="43" t="s">
        <v>320</v>
      </c>
      <c r="D124" s="69">
        <v>0.44321198880416901</v>
      </c>
      <c r="E124" s="43">
        <f t="shared" si="4"/>
        <v>0.47780827046722318</v>
      </c>
      <c r="F124" s="71">
        <f t="shared" si="5"/>
        <v>47.780827046722315</v>
      </c>
      <c r="G124" s="84">
        <f t="shared" si="6"/>
        <v>488.79786068796932</v>
      </c>
      <c r="H124" s="43"/>
      <c r="I124" s="8"/>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43">
        <f t="shared" si="4"/>
        <v>0.48924052892885506</v>
      </c>
      <c r="F125" s="71">
        <f t="shared" si="5"/>
        <v>48.924052892885506</v>
      </c>
      <c r="G125" s="84">
        <f t="shared" si="6"/>
        <v>500.49306109421872</v>
      </c>
      <c r="H125" s="43"/>
      <c r="I125" s="8"/>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43">
        <f t="shared" si="4"/>
        <v>0.50079804127423388</v>
      </c>
      <c r="F126" s="71">
        <f t="shared" si="5"/>
        <v>50.079804127423387</v>
      </c>
      <c r="G126" s="84">
        <f t="shared" si="6"/>
        <v>512.31639622354123</v>
      </c>
      <c r="H126" s="43"/>
      <c r="I126" s="8"/>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43">
        <f t="shared" si="4"/>
        <v>0.5124749209869558</v>
      </c>
      <c r="F127" s="71">
        <f t="shared" si="5"/>
        <v>51.247492098695581</v>
      </c>
      <c r="G127" s="84">
        <f t="shared" si="6"/>
        <v>524.26184416965577</v>
      </c>
      <c r="H127" s="43"/>
      <c r="I127" s="8"/>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43">
        <f t="shared" si="4"/>
        <v>0.52426542022938016</v>
      </c>
      <c r="F128" s="71">
        <f t="shared" si="5"/>
        <v>52.426542022938015</v>
      </c>
      <c r="G128" s="84">
        <f t="shared" si="6"/>
        <v>536.32352489465586</v>
      </c>
      <c r="H128" s="43"/>
      <c r="I128" s="8"/>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43">
        <f t="shared" si="4"/>
        <v>0.53616394307828397</v>
      </c>
      <c r="F129" s="71">
        <f t="shared" si="5"/>
        <v>53.616394307828394</v>
      </c>
      <c r="G129" s="84">
        <f t="shared" si="6"/>
        <v>548.49571376908455</v>
      </c>
      <c r="H129" s="43"/>
      <c r="I129" s="8"/>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43">
        <f t="shared" si="4"/>
        <v>0.54816505647757607</v>
      </c>
      <c r="F130" s="71">
        <f t="shared" si="5"/>
        <v>54.816505647757609</v>
      </c>
      <c r="G130" s="84">
        <f t="shared" si="6"/>
        <v>560.77285277656028</v>
      </c>
      <c r="H130" s="43"/>
      <c r="I130" s="8"/>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43">
        <f t="shared" si="4"/>
        <v>0.5602634990470936</v>
      </c>
      <c r="F131" s="71">
        <f t="shared" si="5"/>
        <v>56.026349904709363</v>
      </c>
      <c r="G131" s="84">
        <f t="shared" si="6"/>
        <v>573.14955952517676</v>
      </c>
      <c r="H131" s="43"/>
      <c r="I131" s="8"/>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43">
        <f t="shared" si="4"/>
        <v>0.57245418789886338</v>
      </c>
      <c r="F132" s="71">
        <f t="shared" si="5"/>
        <v>57.245418789886337</v>
      </c>
      <c r="G132" s="84">
        <f t="shared" si="6"/>
        <v>585.62063422053723</v>
      </c>
      <c r="H132" s="43"/>
      <c r="I132" s="8"/>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43">
        <f t="shared" si="4"/>
        <v>0.58473222362001109</v>
      </c>
      <c r="F133" s="71">
        <f t="shared" si="5"/>
        <v>58.47322236200111</v>
      </c>
      <c r="G133" s="84">
        <f t="shared" si="6"/>
        <v>598.18106476327137</v>
      </c>
      <c r="H133" s="43"/>
      <c r="I133" s="8"/>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43">
        <f t="shared" si="4"/>
        <v>0.59709289358529027</v>
      </c>
      <c r="F134" s="71">
        <f t="shared" si="5"/>
        <v>59.709289358529027</v>
      </c>
      <c r="G134" s="84">
        <f t="shared" si="6"/>
        <v>610.8260301377519</v>
      </c>
      <c r="H134" s="43"/>
      <c r="I134" s="8"/>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43">
        <f t="shared" si="4"/>
        <v>0.60953167376257256</v>
      </c>
      <c r="F135" s="71">
        <f t="shared" si="5"/>
        <v>60.953167376257255</v>
      </c>
      <c r="G135" s="84">
        <f t="shared" si="6"/>
        <v>623.55090225911169</v>
      </c>
      <c r="H135" s="43"/>
      <c r="I135" s="8"/>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43">
        <f t="shared" si="4"/>
        <v>0.62204422917214053</v>
      </c>
      <c r="F136" s="71">
        <f t="shared" si="5"/>
        <v>62.204422917214053</v>
      </c>
      <c r="G136" s="84">
        <f t="shared" si="6"/>
        <v>636.35124644309974</v>
      </c>
      <c r="H136" s="43"/>
      <c r="I136" s="8"/>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43">
        <f t="shared" si="4"/>
        <v>0.63462641315580792</v>
      </c>
      <c r="F137" s="71">
        <f t="shared" si="5"/>
        <v>63.46264131558079</v>
      </c>
      <c r="G137" s="84">
        <f t="shared" si="6"/>
        <v>649.22282065839147</v>
      </c>
      <c r="H137" s="43"/>
      <c r="I137" s="8"/>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43">
        <f t="shared" si="4"/>
        <v>0.6472742656052094</v>
      </c>
      <c r="F138" s="71">
        <f t="shared" si="5"/>
        <v>64.727426560520939</v>
      </c>
      <c r="G138" s="84">
        <f t="shared" si="6"/>
        <v>662.16157371412919</v>
      </c>
      <c r="H138" s="43"/>
      <c r="I138" s="8"/>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43">
        <f t="shared" si="4"/>
        <v>0.65998401029062714</v>
      </c>
      <c r="F139" s="71">
        <f t="shared" si="5"/>
        <v>65.99840102906272</v>
      </c>
      <c r="G139" s="84">
        <f t="shared" si="6"/>
        <v>675.16364252731159</v>
      </c>
      <c r="H139" s="43"/>
      <c r="I139" s="8"/>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43">
        <f t="shared" si="4"/>
        <v>0.67275205142265593</v>
      </c>
      <c r="F140" s="71">
        <f t="shared" si="5"/>
        <v>67.275205142265591</v>
      </c>
      <c r="G140" s="84">
        <f t="shared" si="6"/>
        <v>688.22534860537701</v>
      </c>
      <c r="H140" s="43"/>
      <c r="I140" s="8"/>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43">
        <f t="shared" si="4"/>
        <v>0.68557496956942088</v>
      </c>
      <c r="F141" s="71">
        <f t="shared" si="5"/>
        <v>68.557496956942089</v>
      </c>
      <c r="G141" s="84">
        <f t="shared" si="6"/>
        <v>701.34319386951756</v>
      </c>
      <c r="H141" s="43"/>
      <c r="I141" s="8"/>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43">
        <f t="shared" si="4"/>
        <v>0.69844951704209357</v>
      </c>
      <c r="F142" s="71">
        <f t="shared" si="5"/>
        <v>69.84495170420935</v>
      </c>
      <c r="G142" s="84">
        <f t="shared" si="6"/>
        <v>714.51385593406167</v>
      </c>
      <c r="H142" s="43"/>
      <c r="I142" s="8"/>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43">
        <f t="shared" si="4"/>
        <v>0.71137261285139819</v>
      </c>
      <c r="F143" s="71">
        <f t="shared" si="5"/>
        <v>71.137261285139815</v>
      </c>
      <c r="G143" s="84">
        <f t="shared" si="6"/>
        <v>727.73418294698035</v>
      </c>
      <c r="H143" s="43"/>
      <c r="I143" s="8"/>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43">
        <f t="shared" si="4"/>
        <v>0.72434133732788775</v>
      </c>
      <c r="F144" s="71">
        <f t="shared" si="5"/>
        <v>72.43413373278878</v>
      </c>
      <c r="G144" s="84">
        <f t="shared" si="6"/>
        <v>741.00118808642912</v>
      </c>
      <c r="H144" s="43"/>
      <c r="I144" s="8"/>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43">
        <f t="shared" si="4"/>
        <v>0.73735292648913797</v>
      </c>
      <c r="F145" s="71">
        <f t="shared" si="5"/>
        <v>73.735292648913799</v>
      </c>
      <c r="G145" s="84">
        <f t="shared" si="6"/>
        <v>754.31204379838812</v>
      </c>
      <c r="H145" s="43"/>
      <c r="I145" s="8"/>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43">
        <f t="shared" si="4"/>
        <v>0.75040476622772878</v>
      </c>
      <c r="F146" s="71">
        <f t="shared" si="5"/>
        <v>75.040476622772871</v>
      </c>
      <c r="G146" s="84">
        <f t="shared" si="6"/>
        <v>767.66407585096658</v>
      </c>
      <c r="H146" s="43"/>
      <c r="I146" s="8"/>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43">
        <f t="shared" si="4"/>
        <v>0.76349438638517308</v>
      </c>
      <c r="F147" s="71">
        <f t="shared" si="5"/>
        <v>76.349438638517313</v>
      </c>
      <c r="G147" s="84">
        <f t="shared" si="6"/>
        <v>781.05475727203202</v>
      </c>
      <c r="H147" s="43"/>
      <c r="I147" s="8"/>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43">
        <f t="shared" si="4"/>
        <v>0.77661945476870686</v>
      </c>
      <c r="F148" s="71">
        <f t="shared" si="5"/>
        <v>77.661945476870685</v>
      </c>
      <c r="G148" s="84">
        <f t="shared" si="6"/>
        <v>794.48170222838712</v>
      </c>
      <c r="H148" s="43"/>
      <c r="I148" s="8"/>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43">
        <f t="shared" si="4"/>
        <v>0.78977777116026926</v>
      </c>
      <c r="F149" s="71">
        <f t="shared" si="5"/>
        <v>78.977777116026928</v>
      </c>
      <c r="G149" s="84">
        <f t="shared" si="6"/>
        <v>807.94265989695543</v>
      </c>
      <c r="H149" s="43"/>
      <c r="I149" s="8"/>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43">
        <f t="shared" si="4"/>
        <v>0.80296726135996332</v>
      </c>
      <c r="F150" s="71">
        <f t="shared" si="5"/>
        <v>80.296726135996337</v>
      </c>
      <c r="G150" s="84">
        <f t="shared" si="6"/>
        <v>821.43550837124246</v>
      </c>
      <c r="H150" s="43"/>
      <c r="I150" s="8"/>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43">
        <f t="shared" si="4"/>
        <v>0.81618597129991621</v>
      </c>
      <c r="F151" s="71">
        <f t="shared" si="5"/>
        <v>81.618597129991628</v>
      </c>
      <c r="G151" s="84">
        <f t="shared" si="6"/>
        <v>834.95824863981431</v>
      </c>
      <c r="H151" s="43"/>
      <c r="I151" s="8"/>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43">
        <f t="shared" si="4"/>
        <v>0.82943206125862867</v>
      </c>
      <c r="F152" s="71">
        <f t="shared" si="5"/>
        <v>82.943206125862872</v>
      </c>
      <c r="G152" s="84">
        <f t="shared" si="6"/>
        <v>848.50899866757709</v>
      </c>
      <c r="H152" s="43"/>
      <c r="I152" s="8"/>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43">
        <f t="shared" si="4"/>
        <v>0.84270380020070113</v>
      </c>
      <c r="F153" s="71">
        <f t="shared" si="5"/>
        <v>84.270380020070107</v>
      </c>
      <c r="G153" s="84">
        <f t="shared" si="6"/>
        <v>862.0859876053172</v>
      </c>
      <c r="H153" s="43"/>
      <c r="I153" s="8"/>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43">
        <f t="shared" si="4"/>
        <v>0.85599956026213542</v>
      </c>
      <c r="F154" s="71">
        <f t="shared" si="5"/>
        <v>85.599956026213547</v>
      </c>
      <c r="G154" s="84">
        <f t="shared" si="6"/>
        <v>875.68755014816452</v>
      </c>
      <c r="H154" s="43"/>
      <c r="I154" s="8"/>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43">
        <f t="shared" si="4"/>
        <v>0.86931781139729203</v>
      </c>
      <c r="F155" s="71">
        <f t="shared" si="5"/>
        <v>86.931781139729196</v>
      </c>
      <c r="G155" s="84">
        <f t="shared" si="6"/>
        <v>889.31212105942973</v>
      </c>
      <c r="H155" s="43"/>
      <c r="I155" s="8"/>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43">
        <f t="shared" si="4"/>
        <v>0.88265711619989218</v>
      </c>
      <c r="F156" s="71">
        <f t="shared" si="5"/>
        <v>88.265711619989219</v>
      </c>
      <c r="G156" s="84">
        <f t="shared" si="6"/>
        <v>902.95822987248971</v>
      </c>
      <c r="H156" s="43"/>
      <c r="I156" s="8"/>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43">
        <f t="shared" si="4"/>
        <v>0.89601612490727944</v>
      </c>
      <c r="F157" s="71">
        <f t="shared" si="5"/>
        <v>89.601612490727945</v>
      </c>
      <c r="G157" s="84">
        <f t="shared" si="6"/>
        <v>916.62449578014684</v>
      </c>
      <c r="H157" s="43"/>
      <c r="I157" s="8"/>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43">
        <f t="shared" si="4"/>
        <v>0.90939357059434511</v>
      </c>
      <c r="F158" s="71">
        <f t="shared" si="5"/>
        <v>90.939357059434514</v>
      </c>
      <c r="G158" s="84">
        <f t="shared" si="6"/>
        <v>930.30962271801502</v>
      </c>
      <c r="H158" s="43"/>
      <c r="I158" s="8"/>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43">
        <f t="shared" si="4"/>
        <v>0.92278826456111429</v>
      </c>
      <c r="F159" s="71">
        <f t="shared" si="5"/>
        <v>92.278826456111432</v>
      </c>
      <c r="G159" s="84">
        <f t="shared" si="6"/>
        <v>944.01239464601997</v>
      </c>
      <c r="H159" s="43"/>
      <c r="I159" s="8"/>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43">
        <f t="shared" si="4"/>
        <v>0.93619909191593065</v>
      </c>
      <c r="F160" s="71">
        <f t="shared" si="5"/>
        <v>93.619909191593067</v>
      </c>
      <c r="G160" s="84">
        <f t="shared" si="6"/>
        <v>957.73167102999707</v>
      </c>
      <c r="H160" s="43"/>
      <c r="I160" s="8"/>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43">
        <f t="shared" si="4"/>
        <v>0.94962500735440558</v>
      </c>
      <c r="F161" s="71">
        <f t="shared" si="5"/>
        <v>94.962500735440557</v>
      </c>
      <c r="G161" s="84">
        <f t="shared" si="6"/>
        <v>971.46638252355694</v>
      </c>
      <c r="H161" s="43"/>
      <c r="I161" s="8"/>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43">
        <f t="shared" si="4"/>
        <v>0.96306503113282771</v>
      </c>
      <c r="F162" s="71">
        <f t="shared" si="5"/>
        <v>96.306503113282773</v>
      </c>
      <c r="G162" s="84">
        <f t="shared" si="6"/>
        <v>985.21552684888275</v>
      </c>
      <c r="H162" s="43"/>
      <c r="I162" s="8"/>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43">
        <f t="shared" si="4"/>
        <v>0.97651824523348341</v>
      </c>
      <c r="F163" s="71">
        <f t="shared" si="5"/>
        <v>97.651824523348338</v>
      </c>
      <c r="G163" s="84">
        <f t="shared" si="6"/>
        <v>998.97816487385353</v>
      </c>
      <c r="H163" s="43"/>
      <c r="I163" s="8"/>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43">
        <f t="shared" si="4"/>
        <v>0.98998378971832712</v>
      </c>
      <c r="F164" s="71">
        <f t="shared" si="5"/>
        <v>98.998378971832707</v>
      </c>
      <c r="G164" s="84">
        <f t="shared" si="6"/>
        <v>1012.7534168818487</v>
      </c>
      <c r="H164" s="107" t="s">
        <v>604</v>
      </c>
      <c r="I164" s="8"/>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43">
        <f t="shared" si="4"/>
        <v>1.0034608592666163</v>
      </c>
      <c r="F165" s="71">
        <f t="shared" si="5"/>
        <v>100.34608592666163</v>
      </c>
      <c r="G165" s="84">
        <f t="shared" si="6"/>
        <v>1026.5404590297485</v>
      </c>
      <c r="H165" s="43"/>
      <c r="I165" s="8"/>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43">
        <f t="shared" si="4"/>
        <v>1.0169486998914627</v>
      </c>
      <c r="F166" s="71">
        <f t="shared" si="5"/>
        <v>101.69486998914627</v>
      </c>
      <c r="G166" s="84">
        <f t="shared" si="6"/>
        <v>1040.3385199889665</v>
      </c>
      <c r="H166" s="43"/>
      <c r="I166" s="8"/>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43">
        <f t="shared" si="4"/>
        <v>1.0304466058297499</v>
      </c>
      <c r="F167" s="71">
        <f t="shared" si="5"/>
        <v>103.04466058297498</v>
      </c>
      <c r="G167" s="84">
        <f t="shared" si="6"/>
        <v>1054.1468777638343</v>
      </c>
      <c r="H167" s="43"/>
      <c r="I167" s="8"/>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43">
        <f t="shared" si="4"/>
        <v>1.0439539165994747</v>
      </c>
      <c r="F168" s="71">
        <f t="shared" si="5"/>
        <v>104.39539165994746</v>
      </c>
      <c r="G168" s="84">
        <f t="shared" si="6"/>
        <v>1067.9648566812625</v>
      </c>
      <c r="H168" s="43"/>
      <c r="I168" s="8"/>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43">
        <f t="shared" si="4"/>
        <v>1.0574700142183071</v>
      </c>
      <c r="F169" s="71">
        <f t="shared" si="5"/>
        <v>105.74700142183072</v>
      </c>
      <c r="G169" s="84">
        <f t="shared" si="6"/>
        <v>1081.7918245453282</v>
      </c>
      <c r="H169" s="43"/>
      <c r="I169" s="8"/>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43">
        <f t="shared" si="4"/>
        <v>1.0709943205769799</v>
      </c>
      <c r="F170" s="71">
        <f t="shared" si="5"/>
        <v>107.09943205769798</v>
      </c>
      <c r="G170" s="84">
        <f t="shared" si="6"/>
        <v>1095.6271899502503</v>
      </c>
      <c r="H170" s="43"/>
      <c r="I170" s="8"/>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43">
        <f t="shared" si="4"/>
        <v>1.0845262949610037</v>
      </c>
      <c r="F171" s="71">
        <f t="shared" si="5"/>
        <v>108.45262949610037</v>
      </c>
      <c r="G171" s="84">
        <f t="shared" si="6"/>
        <v>1109.4703997451068</v>
      </c>
      <c r="H171" s="43"/>
      <c r="I171" s="8"/>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43">
        <f t="shared" si="4"/>
        <v>1.0980654317142091</v>
      </c>
      <c r="F172" s="71">
        <f t="shared" si="5"/>
        <v>109.80654317142091</v>
      </c>
      <c r="G172" s="84">
        <f t="shared" si="6"/>
        <v>1123.3209366436358</v>
      </c>
      <c r="H172" s="43"/>
      <c r="I172" s="8"/>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43">
        <f t="shared" si="4"/>
        <v>1.1116112580376023</v>
      </c>
      <c r="F173" s="71">
        <f t="shared" si="5"/>
        <v>111.16112580376023</v>
      </c>
      <c r="G173" s="84">
        <f t="shared" si="6"/>
        <v>1137.1783169724672</v>
      </c>
      <c r="H173" s="43"/>
      <c r="I173" s="8"/>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43">
        <f t="shared" si="4"/>
        <v>1.1251633319170942</v>
      </c>
      <c r="F174" s="71">
        <f t="shared" si="5"/>
        <v>112.51633319170942</v>
      </c>
      <c r="G174" s="84">
        <f t="shared" si="6"/>
        <v>1151.0420885511874</v>
      </c>
      <c r="H174" s="43"/>
      <c r="I174" s="8"/>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43">
        <f t="shared" si="4"/>
        <v>1.1387212401738172</v>
      </c>
      <c r="F175" s="71">
        <f t="shared" si="5"/>
        <v>113.87212401738171</v>
      </c>
      <c r="G175" s="84">
        <f t="shared" si="6"/>
        <v>1164.9118286978151</v>
      </c>
      <c r="H175" s="43"/>
      <c r="I175" s="8"/>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43" t="s">
        <v>372</v>
      </c>
      <c r="D176" s="69">
        <v>16.291740238538001</v>
      </c>
      <c r="E176" s="43">
        <f t="shared" si="4"/>
        <v>1.1522845966308191</v>
      </c>
      <c r="F176" s="71">
        <f t="shared" si="5"/>
        <v>115.22845966308191</v>
      </c>
      <c r="G176" s="84">
        <f t="shared" si="6"/>
        <v>1178.7871423533279</v>
      </c>
      <c r="H176" s="43"/>
      <c r="I176" s="8"/>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t="s">
        <v>373</v>
      </c>
      <c r="D177" s="69">
        <v>17.461054846199701</v>
      </c>
      <c r="E177" s="43">
        <f t="shared" si="4"/>
        <v>1.1658530403901315</v>
      </c>
      <c r="F177" s="71">
        <f t="shared" si="5"/>
        <v>116.58530403901315</v>
      </c>
      <c r="G177" s="84">
        <f t="shared" si="6"/>
        <v>1192.6676603191045</v>
      </c>
      <c r="H177" s="43"/>
      <c r="I177" s="8"/>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t="s">
        <v>374</v>
      </c>
      <c r="D178" s="69">
        <v>18.714295212047599</v>
      </c>
      <c r="E178" s="43">
        <f t="shared" si="4"/>
        <v>1.1794262342143793</v>
      </c>
      <c r="F178" s="71">
        <f t="shared" si="5"/>
        <v>117.94262342143793</v>
      </c>
      <c r="G178" s="84">
        <f t="shared" si="6"/>
        <v>1206.5530376013101</v>
      </c>
      <c r="H178" s="43"/>
      <c r="I178" s="8"/>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t="s">
        <v>375</v>
      </c>
      <c r="D179" s="69">
        <v>20.0574849783426</v>
      </c>
      <c r="E179" s="43">
        <f t="shared" si="4"/>
        <v>1.1930038630072919</v>
      </c>
      <c r="F179" s="71">
        <f t="shared" si="5"/>
        <v>119.30038630072919</v>
      </c>
      <c r="G179" s="84">
        <f t="shared" si="6"/>
        <v>1220.4429518564596</v>
      </c>
      <c r="H179" s="43"/>
      <c r="I179" s="8"/>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t="s">
        <v>376</v>
      </c>
      <c r="D180" s="69">
        <v>21.497080125008001</v>
      </c>
      <c r="E180" s="43">
        <f t="shared" si="4"/>
        <v>1.2065856323876987</v>
      </c>
      <c r="F180" s="71">
        <f t="shared" si="5"/>
        <v>120.65856323876987</v>
      </c>
      <c r="G180" s="84">
        <f t="shared" si="6"/>
        <v>1234.3371019326157</v>
      </c>
      <c r="H180" s="43"/>
      <c r="I180" s="8"/>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t="s">
        <v>377</v>
      </c>
      <c r="D181" s="69">
        <v>23.04</v>
      </c>
      <c r="E181" s="43">
        <f t="shared" si="4"/>
        <v>1.2201712673517779</v>
      </c>
      <c r="F181" s="71">
        <f t="shared" si="5"/>
        <v>122.0171267351778</v>
      </c>
      <c r="G181" s="84">
        <f t="shared" si="6"/>
        <v>1248.2352065008688</v>
      </c>
      <c r="H181" s="43"/>
      <c r="I181" s="8"/>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t="s">
        <v>378</v>
      </c>
      <c r="D182" s="69">
        <v>24.693660576836098</v>
      </c>
      <c r="E182" s="43">
        <f t="shared" si="4"/>
        <v>1.2337605110185825</v>
      </c>
      <c r="F182" s="71">
        <f t="shared" si="5"/>
        <v>123.37605110185825</v>
      </c>
      <c r="G182" s="84">
        <f t="shared" si="6"/>
        <v>1262.13700277201</v>
      </c>
      <c r="H182" s="43"/>
      <c r="I182" s="8"/>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t="s">
        <v>379</v>
      </c>
      <c r="D183" s="69">
        <v>26.466010099131601</v>
      </c>
      <c r="E183" s="43">
        <f t="shared" si="4"/>
        <v>1.2473531234540594</v>
      </c>
      <c r="F183" s="71">
        <f t="shared" si="5"/>
        <v>124.73531234540593</v>
      </c>
      <c r="G183" s="84">
        <f t="shared" si="6"/>
        <v>1276.0422452935027</v>
      </c>
      <c r="H183" s="43"/>
      <c r="I183" s="8"/>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t="s">
        <v>380</v>
      </c>
      <c r="D184" s="69">
        <v>28.365567283466799</v>
      </c>
      <c r="E184" s="43">
        <f t="shared" si="4"/>
        <v>1.2609488805689979</v>
      </c>
      <c r="F184" s="71">
        <f t="shared" si="5"/>
        <v>126.09488805689979</v>
      </c>
      <c r="G184" s="84">
        <f t="shared" si="6"/>
        <v>1289.9507048220848</v>
      </c>
      <c r="H184" s="43"/>
      <c r="I184" s="8"/>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t="s">
        <v>381</v>
      </c>
      <c r="D185" s="69">
        <v>30.401462264207399</v>
      </c>
      <c r="E185" s="43">
        <f t="shared" si="4"/>
        <v>1.274547573086585</v>
      </c>
      <c r="F185" s="71">
        <f t="shared" si="5"/>
        <v>127.4547573086585</v>
      </c>
      <c r="G185" s="84">
        <f t="shared" si="6"/>
        <v>1303.8621672675763</v>
      </c>
      <c r="H185" s="43"/>
      <c r="I185" s="8"/>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t="s">
        <v>382</v>
      </c>
      <c r="D186" s="69">
        <v>32.583480477076101</v>
      </c>
      <c r="E186" s="43">
        <f t="shared" si="4"/>
        <v>1.2881490055754306</v>
      </c>
      <c r="F186" s="71">
        <f t="shared" si="5"/>
        <v>128.81490055754307</v>
      </c>
      <c r="G186" s="84">
        <f t="shared" si="6"/>
        <v>1317.7764327036655</v>
      </c>
      <c r="H186" s="43"/>
      <c r="I186" s="8"/>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t="s">
        <v>383</v>
      </c>
      <c r="D187" s="69">
        <v>34.922109692399502</v>
      </c>
      <c r="E187" s="43">
        <f t="shared" si="4"/>
        <v>1.3017529955441451</v>
      </c>
      <c r="F187" s="71">
        <f t="shared" si="5"/>
        <v>130.17529955441452</v>
      </c>
      <c r="G187" s="84">
        <f t="shared" si="6"/>
        <v>1331.6933144416605</v>
      </c>
      <c r="H187" s="43"/>
      <c r="I187" s="8"/>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t="s">
        <v>384</v>
      </c>
      <c r="D188" s="69">
        <v>37.428590424095297</v>
      </c>
      <c r="E188" s="43">
        <f t="shared" si="4"/>
        <v>1.3153593725937651</v>
      </c>
      <c r="F188" s="71">
        <f t="shared" si="5"/>
        <v>131.53593725937651</v>
      </c>
      <c r="G188" s="84">
        <f t="shared" si="6"/>
        <v>1345.6126381634217</v>
      </c>
      <c r="H188" s="43"/>
      <c r="I188" s="8"/>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t="s">
        <v>385</v>
      </c>
      <c r="D189" s="69">
        <v>40.1149699566853</v>
      </c>
      <c r="E189" s="43">
        <f t="shared" si="4"/>
        <v>1.3289679776244943</v>
      </c>
      <c r="F189" s="71">
        <f t="shared" si="5"/>
        <v>132.89679776244944</v>
      </c>
      <c r="G189" s="84">
        <f t="shared" si="6"/>
        <v>1359.5342411098577</v>
      </c>
      <c r="H189" s="43"/>
      <c r="I189" s="8"/>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43" t="s">
        <v>386</v>
      </c>
      <c r="D190" s="69">
        <v>42.994160250016002</v>
      </c>
      <c r="E190" s="43">
        <f t="shared" si="4"/>
        <v>1.342578662093453</v>
      </c>
      <c r="F190" s="71">
        <f t="shared" si="5"/>
        <v>134.25786620934531</v>
      </c>
      <c r="G190" s="84">
        <f t="shared" si="6"/>
        <v>1373.4579713216024</v>
      </c>
      <c r="H190" s="43"/>
      <c r="I190" s="8"/>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43" t="s">
        <v>387</v>
      </c>
      <c r="D191" s="69">
        <v>46.08</v>
      </c>
      <c r="E191" s="43">
        <f t="shared" si="4"/>
        <v>1.3561912873202731</v>
      </c>
      <c r="F191" s="71">
        <f t="shared" si="5"/>
        <v>135.61912873202729</v>
      </c>
      <c r="G191" s="84">
        <f t="shared" si="6"/>
        <v>1387.3836869286392</v>
      </c>
      <c r="H191" s="43"/>
      <c r="I191" s="8"/>
      <c r="J191" s="8"/>
      <c r="K191" s="8"/>
      <c r="L191" s="8"/>
      <c r="M191" s="8"/>
      <c r="N191" s="8"/>
      <c r="O191" s="8"/>
      <c r="P191" s="8"/>
      <c r="Q191" s="8"/>
      <c r="R191" s="8"/>
      <c r="S191" s="8"/>
      <c r="T191" s="8"/>
      <c r="U191" s="8"/>
      <c r="V191" s="8"/>
      <c r="W191" s="8"/>
      <c r="X191" s="8"/>
      <c r="Y191" s="8"/>
      <c r="Z191" s="8"/>
      <c r="AA191" s="8"/>
      <c r="AB191" s="8"/>
      <c r="AC191" s="8"/>
      <c r="AD191" s="8"/>
    </row>
    <row r="192" spans="1:30"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row>
    <row r="193" spans="1:30"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spans="1:30"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spans="1:30"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spans="1:30"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spans="1:30"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spans="1:30"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spans="1:30"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spans="1:30"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Q1004" s="8"/>
      <c r="R1004" s="8"/>
      <c r="S1004" s="8"/>
      <c r="T1004" s="8"/>
      <c r="U1004" s="8"/>
      <c r="V1004" s="8"/>
      <c r="W1004" s="8"/>
      <c r="X1004" s="8"/>
      <c r="Y1004" s="8"/>
      <c r="Z1004" s="8"/>
      <c r="AA1004" s="8"/>
      <c r="AB1004" s="8"/>
      <c r="AC1004" s="8"/>
      <c r="AD1004" s="8"/>
    </row>
  </sheetData>
  <mergeCells count="2">
    <mergeCell ref="D2:G2"/>
    <mergeCell ref="D29:G29"/>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D1004"/>
  <sheetViews>
    <sheetView zoomScale="125" workbookViewId="0">
      <selection activeCell="D20" sqref="D20"/>
    </sheetView>
  </sheetViews>
  <sheetFormatPr baseColWidth="10" defaultColWidth="12.6640625" defaultRowHeight="15.75" customHeight="1"/>
  <cols>
    <col min="1" max="1" width="12.1640625" customWidth="1"/>
    <col min="2" max="2" width="3.6640625" customWidth="1"/>
    <col min="3" max="3" width="14.6640625" customWidth="1"/>
    <col min="6" max="6" width="7.83203125" customWidth="1"/>
    <col min="7" max="7" width="10.33203125" customWidth="1"/>
    <col min="8" max="8" width="61.83203125" customWidth="1"/>
    <col min="9" max="9" width="12.1640625" bestFit="1" customWidth="1"/>
    <col min="10" max="10" width="5.33203125" customWidth="1"/>
  </cols>
  <sheetData>
    <row r="1" spans="1:30" ht="13">
      <c r="A1" s="8"/>
      <c r="B1" s="9"/>
      <c r="C1" s="9"/>
      <c r="D1" s="9"/>
      <c r="E1" s="9"/>
      <c r="F1" s="9"/>
      <c r="G1" s="9"/>
      <c r="H1" s="9"/>
      <c r="I1" s="185"/>
      <c r="J1" s="8"/>
      <c r="K1" s="8"/>
      <c r="L1" s="8"/>
      <c r="M1" s="8"/>
      <c r="N1" s="8"/>
      <c r="O1" s="8"/>
      <c r="P1" s="8"/>
      <c r="Q1" s="8"/>
      <c r="R1" s="8"/>
      <c r="S1" s="8"/>
      <c r="T1" s="8"/>
      <c r="U1" s="8"/>
      <c r="V1" s="8"/>
      <c r="W1" s="8"/>
      <c r="X1" s="8"/>
      <c r="Y1" s="8"/>
      <c r="Z1" s="8"/>
      <c r="AA1" s="8"/>
      <c r="AB1" s="8"/>
      <c r="AC1" s="8"/>
      <c r="AD1" s="8"/>
    </row>
    <row r="2" spans="1:30" ht="29.25" customHeight="1">
      <c r="A2" s="8"/>
      <c r="B2" s="56"/>
      <c r="C2" s="12" t="s">
        <v>605</v>
      </c>
      <c r="D2" s="174" t="s">
        <v>142</v>
      </c>
      <c r="E2" s="170"/>
      <c r="F2" s="170"/>
      <c r="G2" s="171"/>
      <c r="H2" s="16"/>
      <c r="I2" s="185"/>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188" t="s">
        <v>813</v>
      </c>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f t="shared" ref="E4:E12" si="0">(0.24136077*LOG10((87.099375*(D4/0.9))+1))+0.092864125</f>
        <v>9.2878576635835319E-2</v>
      </c>
      <c r="F4" s="18">
        <f t="shared" ref="F4:F27" si="1">E4*100</f>
        <v>9.2878576635835319</v>
      </c>
      <c r="G4" s="33">
        <f t="shared" ref="G4:G27" si="2">E4*1023</f>
        <v>95.014783898459527</v>
      </c>
      <c r="H4" s="16" t="s">
        <v>161</v>
      </c>
      <c r="I4" s="189"/>
      <c r="J4" s="8"/>
      <c r="K4" s="64" t="s">
        <v>162</v>
      </c>
      <c r="L4" s="8"/>
      <c r="M4" s="8"/>
      <c r="N4" s="8"/>
      <c r="P4" s="8"/>
      <c r="Q4" s="8"/>
      <c r="R4" s="8"/>
      <c r="S4" s="8"/>
      <c r="T4" s="8"/>
      <c r="U4" s="8"/>
      <c r="V4" s="8"/>
      <c r="W4" s="8"/>
      <c r="X4" s="8"/>
      <c r="Y4" s="8"/>
      <c r="Z4" s="8"/>
      <c r="AA4" s="8"/>
      <c r="AB4" s="8"/>
      <c r="AC4" s="8"/>
      <c r="AD4" s="8"/>
    </row>
    <row r="5" spans="1:30" ht="13">
      <c r="A5" s="58"/>
      <c r="B5" s="50">
        <v>2</v>
      </c>
      <c r="C5" s="16" t="s">
        <v>76</v>
      </c>
      <c r="D5" s="17">
        <v>7.0312499999999997E-4</v>
      </c>
      <c r="E5" s="43">
        <f t="shared" si="0"/>
        <v>9.9764657196582812E-2</v>
      </c>
      <c r="F5" s="18">
        <f t="shared" si="1"/>
        <v>9.9764657196582807</v>
      </c>
      <c r="G5" s="33">
        <f t="shared" si="2"/>
        <v>102.05924431210421</v>
      </c>
      <c r="H5" s="16" t="s">
        <v>164</v>
      </c>
      <c r="I5" s="189">
        <f t="shared" ref="I5:I27" si="3">E5*(2^16-1)</f>
        <v>6538.0768093780543</v>
      </c>
      <c r="J5" s="8"/>
      <c r="K5" s="56" t="s">
        <v>165</v>
      </c>
      <c r="L5" s="8"/>
      <c r="M5" s="8"/>
      <c r="N5" s="8"/>
      <c r="P5" s="8"/>
      <c r="Q5" s="8"/>
      <c r="R5" s="8"/>
      <c r="S5" s="8"/>
      <c r="T5" s="8"/>
      <c r="U5" s="8"/>
      <c r="V5" s="8"/>
      <c r="W5" s="8"/>
      <c r="X5" s="8"/>
      <c r="Y5" s="8"/>
      <c r="Z5" s="8"/>
      <c r="AA5" s="8"/>
      <c r="AB5" s="8"/>
      <c r="AC5" s="8"/>
      <c r="AD5" s="8"/>
    </row>
    <row r="6" spans="1:30" ht="13">
      <c r="A6" s="58"/>
      <c r="B6" s="50">
        <v>3</v>
      </c>
      <c r="C6" s="16" t="s">
        <v>77</v>
      </c>
      <c r="D6" s="17">
        <v>1.4062499999999999E-3</v>
      </c>
      <c r="E6" s="43">
        <f t="shared" si="0"/>
        <v>0.1062388417968597</v>
      </c>
      <c r="F6" s="18">
        <f t="shared" si="1"/>
        <v>10.62388417968597</v>
      </c>
      <c r="G6" s="33">
        <f t="shared" si="2"/>
        <v>108.68233515818747</v>
      </c>
      <c r="H6" s="12" t="s">
        <v>606</v>
      </c>
      <c r="I6" s="189">
        <f t="shared" si="3"/>
        <v>6962.3624971572008</v>
      </c>
      <c r="J6" s="8"/>
      <c r="K6" s="8"/>
      <c r="L6" s="8"/>
      <c r="M6" s="8"/>
      <c r="N6" s="8"/>
      <c r="P6" s="8"/>
      <c r="Q6" s="8"/>
      <c r="R6" s="8"/>
      <c r="S6" s="8"/>
      <c r="T6" s="8"/>
      <c r="U6" s="8"/>
      <c r="V6" s="8"/>
      <c r="W6" s="8"/>
      <c r="X6" s="8"/>
      <c r="Y6" s="8"/>
      <c r="Z6" s="8"/>
      <c r="AA6" s="8"/>
      <c r="AB6" s="8"/>
      <c r="AC6" s="8"/>
      <c r="AD6" s="8"/>
    </row>
    <row r="7" spans="1:30" ht="13">
      <c r="A7" s="58"/>
      <c r="B7" s="50">
        <v>4</v>
      </c>
      <c r="C7" s="16" t="s">
        <v>78</v>
      </c>
      <c r="D7" s="17">
        <v>2.8124999999999999E-3</v>
      </c>
      <c r="E7" s="43">
        <f t="shared" si="0"/>
        <v>0.11809850387987314</v>
      </c>
      <c r="F7" s="18">
        <f t="shared" si="1"/>
        <v>11.809850387987314</v>
      </c>
      <c r="G7" s="33">
        <f t="shared" si="2"/>
        <v>120.81476946911022</v>
      </c>
      <c r="H7" s="16"/>
      <c r="I7" s="189">
        <f t="shared" si="3"/>
        <v>7739.5854517674861</v>
      </c>
      <c r="J7" s="8"/>
      <c r="L7" s="8"/>
      <c r="M7" s="8"/>
      <c r="N7" s="8"/>
      <c r="P7" s="8"/>
      <c r="Q7" s="8"/>
      <c r="R7" s="8"/>
      <c r="S7" s="8"/>
      <c r="T7" s="8"/>
      <c r="U7" s="8"/>
      <c r="V7" s="8"/>
      <c r="W7" s="8"/>
      <c r="X7" s="8"/>
      <c r="Y7" s="8"/>
      <c r="Z7" s="8"/>
      <c r="AA7" s="8"/>
      <c r="AB7" s="8"/>
      <c r="AC7" s="8"/>
      <c r="AD7" s="8"/>
    </row>
    <row r="8" spans="1:30" ht="13">
      <c r="A8" s="58"/>
      <c r="B8" s="50">
        <v>5</v>
      </c>
      <c r="C8" s="16" t="s">
        <v>79</v>
      </c>
      <c r="D8" s="17">
        <v>5.6249999999999998E-3</v>
      </c>
      <c r="E8" s="43">
        <f t="shared" si="0"/>
        <v>0.1384213720260738</v>
      </c>
      <c r="F8" s="18">
        <f t="shared" si="1"/>
        <v>13.842137202607379</v>
      </c>
      <c r="G8" s="33">
        <f t="shared" si="2"/>
        <v>141.60506358267349</v>
      </c>
      <c r="H8" s="16"/>
      <c r="I8" s="189">
        <f t="shared" si="3"/>
        <v>9071.4446157287457</v>
      </c>
      <c r="J8" s="8"/>
      <c r="K8" s="2" t="s">
        <v>607</v>
      </c>
      <c r="L8" s="8"/>
      <c r="M8" s="8"/>
      <c r="N8" s="8"/>
      <c r="P8" s="8"/>
      <c r="Q8" s="8"/>
      <c r="R8" s="8"/>
      <c r="S8" s="8"/>
      <c r="T8" s="8"/>
      <c r="U8" s="8"/>
      <c r="V8" s="8"/>
      <c r="W8" s="8"/>
      <c r="X8" s="8"/>
      <c r="Y8" s="8"/>
      <c r="Z8" s="8"/>
      <c r="AA8" s="8"/>
      <c r="AB8" s="8"/>
      <c r="AC8" s="8"/>
      <c r="AD8" s="8"/>
    </row>
    <row r="9" spans="1:30" ht="13">
      <c r="A9" s="58"/>
      <c r="B9" s="50">
        <v>6</v>
      </c>
      <c r="C9" s="16" t="s">
        <v>80</v>
      </c>
      <c r="D9" s="17">
        <v>1.125E-2</v>
      </c>
      <c r="E9" s="43">
        <f t="shared" si="0"/>
        <v>0.17007177593590783</v>
      </c>
      <c r="F9" s="18">
        <f t="shared" si="1"/>
        <v>17.007177593590782</v>
      </c>
      <c r="G9" s="33">
        <f t="shared" si="2"/>
        <v>173.98342678243372</v>
      </c>
      <c r="H9" s="16"/>
      <c r="I9" s="189">
        <f t="shared" si="3"/>
        <v>11145.65383595972</v>
      </c>
      <c r="J9" s="8"/>
      <c r="K9" s="8" t="s">
        <v>592</v>
      </c>
      <c r="L9" s="8"/>
      <c r="M9" s="8"/>
      <c r="N9" s="8"/>
      <c r="P9" s="8"/>
      <c r="Q9" s="8"/>
      <c r="R9" s="8"/>
      <c r="S9" s="8"/>
      <c r="T9" s="8"/>
      <c r="U9" s="8"/>
      <c r="V9" s="8"/>
      <c r="W9" s="8"/>
      <c r="X9" s="8"/>
      <c r="Y9" s="8"/>
      <c r="Z9" s="8"/>
      <c r="AA9" s="8"/>
      <c r="AB9" s="8"/>
      <c r="AC9" s="8"/>
      <c r="AD9" s="8"/>
    </row>
    <row r="10" spans="1:30" ht="13">
      <c r="A10" s="58"/>
      <c r="B10" s="50">
        <v>7</v>
      </c>
      <c r="C10" s="16" t="s">
        <v>81</v>
      </c>
      <c r="D10" s="17">
        <v>2.2499999999999999E-2</v>
      </c>
      <c r="E10" s="43">
        <f t="shared" si="0"/>
        <v>0.21404736673069727</v>
      </c>
      <c r="F10" s="18">
        <f t="shared" si="1"/>
        <v>21.404736673069728</v>
      </c>
      <c r="G10" s="33">
        <f t="shared" si="2"/>
        <v>218.97045616550329</v>
      </c>
      <c r="H10" s="16"/>
      <c r="I10" s="189">
        <f t="shared" si="3"/>
        <v>14027.594178696245</v>
      </c>
      <c r="J10" s="8"/>
      <c r="K10" s="8" t="s">
        <v>608</v>
      </c>
      <c r="L10" s="8"/>
      <c r="M10" s="8"/>
      <c r="N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f t="shared" si="0"/>
        <v>0.26875746136521922</v>
      </c>
      <c r="F11" s="18">
        <f t="shared" si="1"/>
        <v>26.875746136521922</v>
      </c>
      <c r="G11" s="33">
        <f t="shared" si="2"/>
        <v>274.93888297661925</v>
      </c>
      <c r="H11" s="16"/>
      <c r="I11" s="189">
        <f t="shared" si="3"/>
        <v>17613.02023056964</v>
      </c>
      <c r="J11" s="8"/>
      <c r="K11" s="8" t="s">
        <v>609</v>
      </c>
      <c r="L11" s="8"/>
      <c r="M11" s="8"/>
      <c r="N11" s="8"/>
      <c r="Q11" s="8"/>
      <c r="R11" s="8"/>
      <c r="S11" s="8"/>
      <c r="T11" s="8"/>
      <c r="U11" s="8"/>
      <c r="V11" s="8"/>
      <c r="W11" s="8"/>
      <c r="X11" s="8"/>
      <c r="Y11" s="8"/>
      <c r="Z11" s="8"/>
      <c r="AA11" s="8"/>
      <c r="AB11" s="8"/>
      <c r="AC11" s="8"/>
      <c r="AD11" s="8"/>
    </row>
    <row r="12" spans="1:30" ht="13">
      <c r="A12" s="58"/>
      <c r="B12" s="50">
        <v>9</v>
      </c>
      <c r="C12" s="16" t="s">
        <v>83</v>
      </c>
      <c r="D12" s="17">
        <v>0.09</v>
      </c>
      <c r="E12" s="43">
        <f t="shared" si="0"/>
        <v>0.33113944378556742</v>
      </c>
      <c r="F12" s="18">
        <f t="shared" si="1"/>
        <v>33.113944378556745</v>
      </c>
      <c r="G12" s="33">
        <f t="shared" si="2"/>
        <v>338.75565099263548</v>
      </c>
      <c r="H12" s="16"/>
      <c r="I12" s="189">
        <f t="shared" si="3"/>
        <v>21701.223448487162</v>
      </c>
      <c r="J12" s="8"/>
      <c r="K12" s="8" t="s">
        <v>610</v>
      </c>
      <c r="L12" s="8"/>
      <c r="M12" s="8"/>
      <c r="N12" s="8"/>
      <c r="P12" s="8"/>
      <c r="Q12" s="8"/>
      <c r="R12" s="8"/>
      <c r="S12" s="8"/>
      <c r="T12" s="8"/>
      <c r="U12" s="8"/>
      <c r="V12" s="8"/>
      <c r="W12" s="8"/>
      <c r="X12" s="8"/>
      <c r="Y12" s="8"/>
      <c r="Z12" s="8"/>
      <c r="AA12" s="8"/>
      <c r="AB12" s="8"/>
      <c r="AC12" s="8"/>
      <c r="AD12" s="8"/>
    </row>
    <row r="13" spans="1:30" ht="13">
      <c r="A13" s="58"/>
      <c r="B13" s="50">
        <v>10</v>
      </c>
      <c r="C13" s="16" t="s">
        <v>84</v>
      </c>
      <c r="D13" s="69">
        <v>0.12727922061357799</v>
      </c>
      <c r="E13" s="43">
        <f t="shared" ref="E13:E15" si="4">(0.24136077*LOG10((87.099375*(D13/0.9))+1))+0.092864125</f>
        <v>0.36425732157999796</v>
      </c>
      <c r="F13" s="18">
        <f t="shared" si="1"/>
        <v>36.425732157999796</v>
      </c>
      <c r="G13" s="33">
        <f t="shared" si="2"/>
        <v>372.63523997633791</v>
      </c>
      <c r="H13" s="16"/>
      <c r="I13" s="189">
        <f>E13*(2^16-1)</f>
        <v>23871.603569745166</v>
      </c>
      <c r="J13" s="8"/>
      <c r="K13" s="8" t="s">
        <v>596</v>
      </c>
      <c r="L13" s="8"/>
      <c r="M13" s="8"/>
      <c r="N13" s="8"/>
      <c r="P13" s="8"/>
      <c r="Q13" s="8"/>
      <c r="R13" s="8"/>
      <c r="S13" s="8"/>
      <c r="T13" s="8"/>
      <c r="U13" s="8"/>
      <c r="V13" s="8"/>
      <c r="W13" s="8"/>
      <c r="X13" s="8"/>
      <c r="Y13" s="8"/>
      <c r="Z13" s="8"/>
      <c r="AA13" s="8"/>
      <c r="AB13" s="8"/>
      <c r="AC13" s="8"/>
      <c r="AD13" s="8"/>
    </row>
    <row r="14" spans="1:30" ht="13">
      <c r="A14" s="58"/>
      <c r="B14" s="50">
        <v>11</v>
      </c>
      <c r="C14" s="43" t="s">
        <v>85</v>
      </c>
      <c r="D14" s="69">
        <f>0.18*2^-0.1</f>
        <v>0.16794593847662534</v>
      </c>
      <c r="E14" s="43">
        <f t="shared" si="4"/>
        <v>0.39139665514579414</v>
      </c>
      <c r="F14" s="18">
        <f t="shared" si="1"/>
        <v>39.139665514579413</v>
      </c>
      <c r="G14" s="33">
        <f t="shared" si="2"/>
        <v>400.3987782141474</v>
      </c>
      <c r="H14" s="16"/>
      <c r="I14" s="189"/>
      <c r="J14" s="8"/>
      <c r="K14" s="8" t="s">
        <v>597</v>
      </c>
      <c r="L14" s="8"/>
      <c r="M14" s="8"/>
      <c r="N14" s="8"/>
      <c r="P14" s="8"/>
      <c r="Q14" s="8"/>
      <c r="R14" s="8"/>
      <c r="S14" s="8"/>
      <c r="T14" s="8"/>
      <c r="U14" s="8"/>
      <c r="V14" s="8"/>
      <c r="W14" s="8"/>
      <c r="X14" s="8"/>
      <c r="Y14" s="8"/>
      <c r="Z14" s="8"/>
      <c r="AA14" s="8"/>
      <c r="AB14" s="8"/>
      <c r="AC14" s="8"/>
      <c r="AD14" s="8"/>
    </row>
    <row r="15" spans="1:30" ht="13">
      <c r="A15" s="58"/>
      <c r="B15" s="50">
        <v>12</v>
      </c>
      <c r="C15" s="16" t="s">
        <v>86</v>
      </c>
      <c r="D15" s="17">
        <v>0.18</v>
      </c>
      <c r="E15" s="43">
        <f t="shared" si="4"/>
        <v>0.39825469203794917</v>
      </c>
      <c r="F15" s="18">
        <f t="shared" si="1"/>
        <v>39.825469203794917</v>
      </c>
      <c r="G15" s="33">
        <f t="shared" si="2"/>
        <v>407.41454995482201</v>
      </c>
      <c r="H15" s="16"/>
      <c r="I15" s="189">
        <f t="shared" si="3"/>
        <v>26099.621242706999</v>
      </c>
      <c r="J15" s="8"/>
      <c r="K15" s="8"/>
      <c r="L15" s="8"/>
      <c r="M15" s="8"/>
      <c r="N15" s="8"/>
      <c r="P15" s="8"/>
      <c r="Q15" s="8"/>
      <c r="R15" s="8"/>
      <c r="S15" s="8"/>
      <c r="T15" s="8"/>
      <c r="U15" s="8"/>
      <c r="V15" s="8"/>
      <c r="W15" s="8"/>
      <c r="X15" s="8"/>
      <c r="Y15" s="8"/>
      <c r="Z15" s="8"/>
      <c r="AA15" s="8"/>
      <c r="AB15" s="8"/>
      <c r="AC15" s="8"/>
      <c r="AD15" s="8"/>
    </row>
    <row r="16" spans="1:30" ht="13">
      <c r="A16" s="58"/>
      <c r="B16" s="50">
        <v>13</v>
      </c>
      <c r="C16" s="43" t="s">
        <v>87</v>
      </c>
      <c r="D16" s="69">
        <f>0.18*2^0.2</f>
        <v>0.2067657038994663</v>
      </c>
      <c r="E16" s="43">
        <f t="shared" ref="E16:E27" si="5">0.24136077*LOG10((87.099375*(D16/0.9))+1)+0.092864125</f>
        <v>0.41204680208116579</v>
      </c>
      <c r="F16" s="18">
        <f t="shared" si="1"/>
        <v>41.204680208116578</v>
      </c>
      <c r="G16" s="33">
        <f t="shared" si="2"/>
        <v>421.52387852903257</v>
      </c>
      <c r="H16" s="16"/>
      <c r="I16" s="189"/>
      <c r="J16" s="8"/>
      <c r="K16" s="2" t="s">
        <v>611</v>
      </c>
      <c r="L16" s="8"/>
      <c r="M16" s="8"/>
      <c r="N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f t="shared" si="5"/>
        <v>0.43290295194263306</v>
      </c>
      <c r="F17" s="18">
        <f t="shared" si="1"/>
        <v>43.290295194263308</v>
      </c>
      <c r="G17" s="33">
        <f t="shared" si="2"/>
        <v>442.85971983731361</v>
      </c>
      <c r="H17" s="16"/>
      <c r="I17" s="189">
        <f t="shared" si="3"/>
        <v>28370.294955560457</v>
      </c>
      <c r="J17" s="8"/>
      <c r="K17" s="8" t="s">
        <v>612</v>
      </c>
      <c r="L17" s="8"/>
      <c r="M17" s="8"/>
      <c r="N17" s="8"/>
      <c r="P17" s="8"/>
      <c r="Q17" s="8"/>
      <c r="R17" s="8"/>
      <c r="S17" s="8"/>
      <c r="T17" s="8"/>
      <c r="U17" s="8"/>
      <c r="V17" s="8"/>
      <c r="W17" s="8"/>
      <c r="X17" s="8"/>
      <c r="Y17" s="8"/>
      <c r="Z17" s="8"/>
      <c r="AA17" s="8"/>
      <c r="AB17" s="8"/>
      <c r="AC17" s="8"/>
      <c r="AD17" s="8"/>
    </row>
    <row r="18" spans="1:30" ht="13">
      <c r="A18" s="58"/>
      <c r="B18" s="50">
        <v>15</v>
      </c>
      <c r="C18" s="16" t="s">
        <v>89</v>
      </c>
      <c r="D18" s="17">
        <v>0.36</v>
      </c>
      <c r="E18" s="43">
        <f t="shared" si="5"/>
        <v>0.46802685140197015</v>
      </c>
      <c r="F18" s="18">
        <f t="shared" si="1"/>
        <v>46.802685140197013</v>
      </c>
      <c r="G18" s="33">
        <f t="shared" si="2"/>
        <v>478.79146898421544</v>
      </c>
      <c r="H18" s="16"/>
      <c r="I18" s="189">
        <f t="shared" si="3"/>
        <v>30672.139706628113</v>
      </c>
      <c r="J18" s="8"/>
      <c r="K18" s="8" t="s">
        <v>613</v>
      </c>
      <c r="L18" s="8"/>
      <c r="M18" s="8"/>
      <c r="N18" s="8"/>
      <c r="P18" s="8"/>
      <c r="Q18" s="8"/>
      <c r="R18" s="8"/>
      <c r="S18" s="8"/>
      <c r="T18" s="8"/>
      <c r="U18" s="8"/>
      <c r="V18" s="8"/>
      <c r="W18" s="8"/>
      <c r="X18" s="8"/>
      <c r="Y18" s="8"/>
      <c r="Z18" s="8"/>
      <c r="AA18" s="8"/>
      <c r="AB18" s="8"/>
      <c r="AC18" s="8"/>
      <c r="AD18" s="8"/>
    </row>
    <row r="19" spans="1:30" ht="13">
      <c r="A19" s="58"/>
      <c r="B19" s="50">
        <v>16</v>
      </c>
      <c r="C19" s="16" t="s">
        <v>90</v>
      </c>
      <c r="D19" s="17">
        <v>0.72</v>
      </c>
      <c r="E19" s="43">
        <f t="shared" si="5"/>
        <v>0.53921102052887127</v>
      </c>
      <c r="F19" s="18">
        <f t="shared" si="1"/>
        <v>53.921102052887129</v>
      </c>
      <c r="G19" s="33">
        <f t="shared" si="2"/>
        <v>551.61287400103527</v>
      </c>
      <c r="H19" s="16"/>
      <c r="I19" s="189">
        <f t="shared" si="3"/>
        <v>35337.194230359579</v>
      </c>
      <c r="J19" s="8"/>
      <c r="K19" s="8" t="s">
        <v>614</v>
      </c>
      <c r="L19" s="8"/>
      <c r="M19" s="8"/>
      <c r="N19" s="8"/>
      <c r="P19" s="8"/>
      <c r="Q19" s="8"/>
      <c r="R19" s="8"/>
      <c r="S19" s="8"/>
      <c r="T19" s="8"/>
      <c r="U19" s="8"/>
      <c r="V19" s="8"/>
      <c r="W19" s="8"/>
      <c r="X19" s="8"/>
      <c r="Y19" s="8"/>
      <c r="Z19" s="8"/>
      <c r="AA19" s="8"/>
      <c r="AB19" s="8"/>
      <c r="AC19" s="8"/>
      <c r="AD19" s="8"/>
    </row>
    <row r="20" spans="1:30" ht="13">
      <c r="A20" s="58"/>
      <c r="B20" s="82">
        <v>17</v>
      </c>
      <c r="C20" s="73" t="s">
        <v>91</v>
      </c>
      <c r="D20" s="74">
        <f>0.18*2^2.322</f>
        <v>0.90004485786135058</v>
      </c>
      <c r="E20" s="98">
        <f t="shared" si="5"/>
        <v>0.56230942935415285</v>
      </c>
      <c r="F20" s="76">
        <f t="shared" si="1"/>
        <v>56.230942935415285</v>
      </c>
      <c r="G20" s="77">
        <f t="shared" si="2"/>
        <v>575.24254622929834</v>
      </c>
      <c r="H20" s="73" t="s">
        <v>205</v>
      </c>
      <c r="I20" s="189"/>
      <c r="J20" s="8"/>
      <c r="K20" s="8" t="s">
        <v>615</v>
      </c>
      <c r="L20" s="8"/>
      <c r="M20" s="8"/>
      <c r="N20" s="8"/>
      <c r="P20" s="8"/>
      <c r="Q20" s="8"/>
      <c r="R20" s="8"/>
      <c r="S20" s="8"/>
      <c r="T20" s="8"/>
      <c r="U20" s="8"/>
      <c r="V20" s="8"/>
      <c r="W20" s="8"/>
      <c r="X20" s="8"/>
      <c r="Y20" s="8"/>
      <c r="Z20" s="8"/>
      <c r="AA20" s="8"/>
      <c r="AB20" s="8"/>
      <c r="AC20" s="8"/>
      <c r="AD20" s="8"/>
    </row>
    <row r="21" spans="1:30" ht="13">
      <c r="A21" s="58"/>
      <c r="B21" s="50">
        <v>18</v>
      </c>
      <c r="C21" s="16" t="s">
        <v>92</v>
      </c>
      <c r="D21" s="17">
        <v>1.44</v>
      </c>
      <c r="E21" s="43">
        <f t="shared" si="5"/>
        <v>0.61112368882839607</v>
      </c>
      <c r="F21" s="18">
        <f t="shared" si="1"/>
        <v>61.112368882839604</v>
      </c>
      <c r="G21" s="33">
        <f t="shared" si="2"/>
        <v>625.17953367144924</v>
      </c>
      <c r="H21" s="16"/>
      <c r="I21" s="189">
        <f t="shared" si="3"/>
        <v>40049.990947368933</v>
      </c>
      <c r="J21" s="8"/>
      <c r="K21" s="8"/>
      <c r="L21" s="8"/>
      <c r="M21" s="8"/>
      <c r="N21" s="8"/>
      <c r="P21" s="8"/>
      <c r="Q21" s="8"/>
      <c r="R21" s="8"/>
      <c r="S21" s="8"/>
      <c r="T21" s="8"/>
      <c r="U21" s="8"/>
      <c r="V21" s="8"/>
      <c r="W21" s="8"/>
      <c r="X21" s="8"/>
      <c r="Y21" s="8"/>
      <c r="Z21" s="8"/>
      <c r="AA21" s="8"/>
      <c r="AB21" s="8"/>
      <c r="AC21" s="8"/>
      <c r="AD21" s="8"/>
    </row>
    <row r="22" spans="1:30" ht="13">
      <c r="A22" s="58"/>
      <c r="B22" s="50">
        <v>19</v>
      </c>
      <c r="C22" s="16" t="s">
        <v>93</v>
      </c>
      <c r="D22" s="17">
        <v>2.88</v>
      </c>
      <c r="E22" s="43">
        <f t="shared" si="5"/>
        <v>0.6834064481818608</v>
      </c>
      <c r="F22" s="18">
        <f t="shared" si="1"/>
        <v>68.340644818186078</v>
      </c>
      <c r="G22" s="33">
        <f t="shared" si="2"/>
        <v>699.12479649004365</v>
      </c>
      <c r="H22" s="16"/>
      <c r="I22" s="189">
        <f t="shared" si="3"/>
        <v>44787.041581598249</v>
      </c>
      <c r="J22" s="8"/>
      <c r="K22" s="8"/>
      <c r="L22" s="8"/>
      <c r="M22" s="8"/>
      <c r="N22" s="8"/>
      <c r="P22" s="8"/>
      <c r="Q22" s="8"/>
      <c r="R22" s="8"/>
      <c r="S22" s="8"/>
      <c r="T22" s="8"/>
      <c r="U22" s="8"/>
      <c r="V22" s="8"/>
      <c r="W22" s="8"/>
      <c r="X22" s="8"/>
      <c r="Y22" s="8"/>
      <c r="Z22" s="8"/>
      <c r="AA22" s="8"/>
      <c r="AB22" s="8"/>
      <c r="AC22" s="8"/>
      <c r="AD22" s="8"/>
    </row>
    <row r="23" spans="1:30" ht="13">
      <c r="A23" s="58"/>
      <c r="B23" s="50">
        <v>20</v>
      </c>
      <c r="C23" s="16" t="s">
        <v>94</v>
      </c>
      <c r="D23" s="17">
        <v>5.76</v>
      </c>
      <c r="E23" s="43">
        <f t="shared" si="5"/>
        <v>0.75587574183763873</v>
      </c>
      <c r="F23" s="18">
        <f t="shared" si="1"/>
        <v>75.587574183763877</v>
      </c>
      <c r="G23" s="33">
        <f t="shared" si="2"/>
        <v>773.26088389990446</v>
      </c>
      <c r="H23" s="16"/>
      <c r="I23" s="189">
        <f t="shared" si="3"/>
        <v>49536.316741329654</v>
      </c>
      <c r="J23" s="8"/>
      <c r="K23" s="8"/>
      <c r="L23" s="8"/>
      <c r="M23" s="8"/>
      <c r="N23" s="8"/>
      <c r="P23" s="8"/>
      <c r="Q23" s="8"/>
      <c r="R23" s="8"/>
      <c r="S23" s="8"/>
      <c r="T23" s="8"/>
      <c r="U23" s="8"/>
      <c r="V23" s="8"/>
      <c r="W23" s="8"/>
      <c r="X23" s="8"/>
      <c r="Y23" s="8"/>
      <c r="Z23" s="8"/>
      <c r="AA23" s="8"/>
      <c r="AB23" s="8"/>
      <c r="AC23" s="8"/>
      <c r="AD23" s="8"/>
    </row>
    <row r="24" spans="1:30" ht="13">
      <c r="A24" s="58"/>
      <c r="B24" s="50">
        <v>21</v>
      </c>
      <c r="C24" s="16" t="s">
        <v>95</v>
      </c>
      <c r="D24" s="17">
        <v>11.52</v>
      </c>
      <c r="E24" s="43">
        <f t="shared" si="5"/>
        <v>0.82843867846604125</v>
      </c>
      <c r="F24" s="18">
        <f t="shared" si="1"/>
        <v>82.843867846604127</v>
      </c>
      <c r="G24" s="33">
        <f t="shared" si="2"/>
        <v>847.49276807076023</v>
      </c>
      <c r="H24" s="16" t="s">
        <v>616</v>
      </c>
      <c r="I24" s="189">
        <f t="shared" si="3"/>
        <v>54291.728793272014</v>
      </c>
      <c r="J24" s="8"/>
      <c r="K24" s="8"/>
      <c r="L24" s="8"/>
      <c r="M24" s="8"/>
      <c r="N24" s="8"/>
      <c r="P24" s="8"/>
      <c r="Q24" s="8"/>
      <c r="R24" s="8"/>
      <c r="S24" s="8"/>
      <c r="T24" s="8"/>
      <c r="U24" s="8"/>
      <c r="V24" s="8"/>
      <c r="W24" s="8"/>
      <c r="X24" s="8"/>
      <c r="Y24" s="8"/>
      <c r="Z24" s="8"/>
      <c r="AA24" s="8"/>
      <c r="AB24" s="8"/>
      <c r="AC24" s="8"/>
      <c r="AD24" s="8"/>
    </row>
    <row r="25" spans="1:30" ht="13">
      <c r="A25" s="58"/>
      <c r="B25" s="50">
        <v>22</v>
      </c>
      <c r="C25" s="16" t="s">
        <v>96</v>
      </c>
      <c r="D25" s="17">
        <v>23.04</v>
      </c>
      <c r="E25" s="43">
        <f t="shared" si="5"/>
        <v>0.90104853099447313</v>
      </c>
      <c r="F25" s="18">
        <f t="shared" si="1"/>
        <v>90.104853099447311</v>
      </c>
      <c r="G25" s="33">
        <f t="shared" si="2"/>
        <v>921.77264720734604</v>
      </c>
      <c r="H25" s="16"/>
      <c r="I25" s="189">
        <f t="shared" si="3"/>
        <v>59050.215478722799</v>
      </c>
      <c r="J25" s="8"/>
      <c r="K25" s="8"/>
      <c r="L25" s="8"/>
      <c r="M25" s="8"/>
      <c r="N25" s="8"/>
      <c r="P25" s="8"/>
      <c r="Q25" s="8"/>
      <c r="R25" s="8"/>
      <c r="S25" s="8"/>
      <c r="T25" s="8"/>
      <c r="U25" s="8"/>
      <c r="V25" s="8"/>
      <c r="W25" s="8"/>
      <c r="X25" s="8"/>
      <c r="Y25" s="8"/>
      <c r="Z25" s="8"/>
      <c r="AA25" s="8"/>
      <c r="AB25" s="8"/>
      <c r="AC25" s="8"/>
      <c r="AD25" s="8"/>
    </row>
    <row r="26" spans="1:30" ht="13">
      <c r="A26" s="58"/>
      <c r="B26" s="50">
        <v>23</v>
      </c>
      <c r="C26" s="16" t="s">
        <v>97</v>
      </c>
      <c r="D26" s="17">
        <v>46.08</v>
      </c>
      <c r="E26" s="43">
        <f t="shared" si="5"/>
        <v>0.97368186513395205</v>
      </c>
      <c r="F26" s="18">
        <f t="shared" si="1"/>
        <v>97.368186513395202</v>
      </c>
      <c r="G26" s="33">
        <f t="shared" si="2"/>
        <v>996.07654803203297</v>
      </c>
      <c r="H26" s="16"/>
      <c r="I26" s="189">
        <f t="shared" si="3"/>
        <v>63810.241031553545</v>
      </c>
      <c r="J26" s="8"/>
      <c r="K26" s="8"/>
      <c r="L26" s="8"/>
      <c r="M26" s="8"/>
      <c r="N26" s="8"/>
      <c r="P26" s="8"/>
      <c r="Q26" s="8"/>
      <c r="R26" s="8"/>
      <c r="S26" s="8"/>
      <c r="T26" s="8"/>
      <c r="U26" s="8"/>
      <c r="V26" s="8"/>
      <c r="W26" s="8"/>
      <c r="X26" s="8"/>
      <c r="Y26" s="8"/>
      <c r="Z26" s="8"/>
      <c r="AA26" s="8"/>
      <c r="AB26" s="8"/>
      <c r="AC26" s="8"/>
      <c r="AD26" s="8"/>
    </row>
    <row r="27" spans="1:30" ht="15">
      <c r="A27" s="58"/>
      <c r="B27" s="69">
        <v>24</v>
      </c>
      <c r="C27" s="190" t="s">
        <v>814</v>
      </c>
      <c r="D27" s="142">
        <f>0.18*2^8.36229702</f>
        <v>59.234501890192121</v>
      </c>
      <c r="E27" s="142">
        <f t="shared" si="5"/>
        <v>0.9999999997844502</v>
      </c>
      <c r="F27" s="194">
        <f t="shared" si="1"/>
        <v>99.999999978445018</v>
      </c>
      <c r="G27" s="195">
        <f t="shared" si="2"/>
        <v>1022.9999997794926</v>
      </c>
      <c r="H27" s="142"/>
      <c r="I27" s="189"/>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605</v>
      </c>
      <c r="D29" s="173" t="s">
        <v>142</v>
      </c>
      <c r="E29" s="166"/>
      <c r="F29" s="166"/>
      <c r="G29" s="167"/>
      <c r="H29" s="41" t="s">
        <v>228</v>
      </c>
      <c r="I29" s="187"/>
      <c r="J29" s="8"/>
      <c r="K29" s="8"/>
      <c r="L29" s="8"/>
      <c r="M29" s="8"/>
      <c r="N29" s="8"/>
      <c r="O29" s="8"/>
      <c r="P29" s="8"/>
      <c r="Q29" s="8"/>
      <c r="R29" s="8"/>
      <c r="S29" s="8"/>
      <c r="T29" s="8"/>
      <c r="U29" s="8"/>
      <c r="V29" s="8"/>
      <c r="W29" s="8"/>
      <c r="X29" s="8"/>
      <c r="Y29" s="8"/>
      <c r="Z29" s="8"/>
      <c r="AA29" s="8"/>
      <c r="AB29" s="8"/>
      <c r="AC29" s="8"/>
      <c r="AD29" s="8"/>
    </row>
    <row r="30" spans="1:30" ht="42">
      <c r="A30" s="8"/>
      <c r="B30" s="41" t="s">
        <v>58</v>
      </c>
      <c r="C30" s="41" t="s">
        <v>59</v>
      </c>
      <c r="D30" s="41" t="s">
        <v>143</v>
      </c>
      <c r="E30" s="83" t="s">
        <v>144</v>
      </c>
      <c r="F30" s="83" t="s">
        <v>145</v>
      </c>
      <c r="G30" s="83" t="s">
        <v>146</v>
      </c>
      <c r="H30" s="43"/>
      <c r="I30" s="188" t="s">
        <v>813</v>
      </c>
      <c r="J30" s="8"/>
      <c r="K30" s="8"/>
      <c r="L30" s="8"/>
      <c r="M30" s="8"/>
      <c r="N30" s="8"/>
      <c r="O30" s="8"/>
      <c r="P30" s="8"/>
      <c r="Q30" s="8"/>
      <c r="R30" s="8"/>
      <c r="S30" s="8"/>
      <c r="T30" s="8"/>
      <c r="U30" s="8"/>
      <c r="V30" s="8"/>
      <c r="W30" s="8"/>
      <c r="X30" s="8"/>
      <c r="Y30" s="8"/>
      <c r="Z30" s="8"/>
      <c r="AA30" s="8"/>
      <c r="AB30" s="8"/>
      <c r="AC30" s="8"/>
      <c r="AD30" s="8"/>
    </row>
    <row r="31" spans="1:30" ht="15">
      <c r="A31" s="58"/>
      <c r="B31" s="69">
        <v>1</v>
      </c>
      <c r="C31" s="43" t="s">
        <v>229</v>
      </c>
      <c r="D31" s="69">
        <v>7.0312499999999997E-4</v>
      </c>
      <c r="E31" s="43">
        <f t="shared" ref="E31:E192" si="6">0.24136077*LOG10((87.099375*(D31/0.9))+1)+0.092864125</f>
        <v>9.9764657196582812E-2</v>
      </c>
      <c r="F31" s="71">
        <f t="shared" ref="F31:F191" si="7">E31*100</f>
        <v>9.9764657196582807</v>
      </c>
      <c r="G31" s="84">
        <f t="shared" ref="G31:G191" si="8">E31*1023</f>
        <v>102.05924431210421</v>
      </c>
      <c r="H31" s="43"/>
      <c r="I31" s="185">
        <f t="shared" ref="I31:I94" si="9">E31*(2^16-1)</f>
        <v>6538.0768093780543</v>
      </c>
      <c r="J31" s="8"/>
      <c r="K31" s="8"/>
      <c r="L31" s="8"/>
      <c r="M31" s="8"/>
      <c r="N31" s="8"/>
      <c r="O31" s="8"/>
      <c r="P31" s="8"/>
      <c r="Q31" s="8"/>
      <c r="R31" s="8"/>
      <c r="S31" s="8"/>
      <c r="T31" s="8"/>
      <c r="U31" s="8"/>
      <c r="V31" s="8"/>
      <c r="W31" s="8"/>
      <c r="X31" s="8"/>
      <c r="Y31" s="8"/>
      <c r="Z31" s="8"/>
      <c r="AA31" s="8"/>
      <c r="AB31" s="8"/>
      <c r="AC31" s="8"/>
      <c r="AD31" s="8"/>
    </row>
    <row r="32" spans="1:30" ht="15">
      <c r="A32" s="58"/>
      <c r="B32" s="69">
        <v>2</v>
      </c>
      <c r="C32" s="43" t="s">
        <v>230</v>
      </c>
      <c r="D32" s="69">
        <v>7.5359071584583004E-4</v>
      </c>
      <c r="E32" s="43">
        <f t="shared" si="6"/>
        <v>0.10024288934726316</v>
      </c>
      <c r="F32" s="71">
        <f t="shared" si="7"/>
        <v>10.024288934726316</v>
      </c>
      <c r="G32" s="84">
        <f t="shared" si="8"/>
        <v>102.54847580225022</v>
      </c>
      <c r="H32" s="43"/>
      <c r="I32" s="185">
        <f t="shared" si="9"/>
        <v>6569.4177533728916</v>
      </c>
      <c r="J32" s="8"/>
      <c r="K32" s="8"/>
      <c r="L32" s="8"/>
      <c r="M32" s="8"/>
      <c r="N32" s="8"/>
      <c r="O32" s="8"/>
      <c r="P32" s="8"/>
      <c r="Q32" s="8"/>
      <c r="R32" s="8"/>
      <c r="S32" s="8"/>
      <c r="T32" s="8"/>
      <c r="U32" s="8"/>
      <c r="V32" s="8"/>
      <c r="W32" s="8"/>
      <c r="X32" s="8"/>
      <c r="Y32" s="8"/>
      <c r="Z32" s="8"/>
      <c r="AA32" s="8"/>
      <c r="AB32" s="8"/>
      <c r="AC32" s="8"/>
      <c r="AD32" s="8"/>
    </row>
    <row r="33" spans="1:30" ht="15">
      <c r="A33" s="58"/>
      <c r="B33" s="69">
        <v>3</v>
      </c>
      <c r="C33" s="43" t="s">
        <v>231</v>
      </c>
      <c r="D33" s="69">
        <v>8.0767853085729003E-4</v>
      </c>
      <c r="E33" s="43">
        <f t="shared" si="6"/>
        <v>0.10075303501851948</v>
      </c>
      <c r="F33" s="71">
        <f t="shared" si="7"/>
        <v>10.075303501851948</v>
      </c>
      <c r="G33" s="84">
        <f t="shared" si="8"/>
        <v>103.07035482394544</v>
      </c>
      <c r="H33" s="43"/>
      <c r="I33" s="185">
        <f t="shared" si="9"/>
        <v>6602.8501499386739</v>
      </c>
      <c r="J33" s="8"/>
      <c r="K33" s="8"/>
      <c r="L33" s="8"/>
      <c r="M33" s="8"/>
      <c r="N33" s="8"/>
      <c r="O33" s="8"/>
      <c r="P33" s="8"/>
      <c r="Q33" s="8"/>
      <c r="R33" s="8"/>
      <c r="S33" s="8"/>
      <c r="T33" s="8"/>
      <c r="U33" s="8"/>
      <c r="V33" s="8"/>
      <c r="W33" s="8"/>
      <c r="X33" s="8"/>
      <c r="Y33" s="8"/>
      <c r="Z33" s="8"/>
      <c r="AA33" s="8"/>
      <c r="AB33" s="8"/>
      <c r="AC33" s="8"/>
      <c r="AD33" s="8"/>
    </row>
    <row r="34" spans="1:30" ht="15">
      <c r="A34" s="58"/>
      <c r="B34" s="69">
        <v>4</v>
      </c>
      <c r="C34" s="43" t="s">
        <v>232</v>
      </c>
      <c r="D34" s="69">
        <v>8.6564841563314401E-4</v>
      </c>
      <c r="E34" s="43">
        <f t="shared" si="6"/>
        <v>0.10129705312429149</v>
      </c>
      <c r="F34" s="71">
        <f t="shared" si="7"/>
        <v>10.129705312429149</v>
      </c>
      <c r="G34" s="84">
        <f t="shared" si="8"/>
        <v>103.62688534615019</v>
      </c>
      <c r="H34" s="43"/>
      <c r="I34" s="185">
        <f t="shared" si="9"/>
        <v>6638.5023765004426</v>
      </c>
      <c r="J34" s="8"/>
      <c r="K34" s="8"/>
      <c r="L34" s="8"/>
      <c r="M34" s="8"/>
      <c r="N34" s="8"/>
      <c r="O34" s="8"/>
      <c r="P34" s="8"/>
      <c r="Q34" s="8"/>
      <c r="R34" s="8"/>
      <c r="S34" s="8"/>
      <c r="T34" s="8"/>
      <c r="U34" s="8"/>
      <c r="V34" s="8"/>
      <c r="W34" s="8"/>
      <c r="X34" s="8"/>
      <c r="Y34" s="8"/>
      <c r="Z34" s="8"/>
      <c r="AA34" s="8"/>
      <c r="AB34" s="8"/>
      <c r="AC34" s="8"/>
      <c r="AD34" s="8"/>
    </row>
    <row r="35" spans="1:30" ht="15">
      <c r="A35" s="58"/>
      <c r="B35" s="69">
        <v>5</v>
      </c>
      <c r="C35" s="43" t="s">
        <v>233</v>
      </c>
      <c r="D35" s="69">
        <v>9.2777899976219098E-4</v>
      </c>
      <c r="E35" s="43">
        <f t="shared" si="6"/>
        <v>0.10187699957630131</v>
      </c>
      <c r="F35" s="71">
        <f t="shared" si="7"/>
        <v>10.18769995763013</v>
      </c>
      <c r="G35" s="84">
        <f t="shared" si="8"/>
        <v>104.22017056655623</v>
      </c>
      <c r="H35" s="43"/>
      <c r="I35" s="185">
        <f t="shared" si="9"/>
        <v>6676.5091672329063</v>
      </c>
      <c r="J35" s="8"/>
      <c r="K35" s="8"/>
      <c r="L35" s="8"/>
      <c r="M35" s="8"/>
      <c r="N35" s="8"/>
      <c r="O35" s="8"/>
      <c r="P35" s="8"/>
      <c r="Q35" s="8"/>
      <c r="R35" s="8"/>
      <c r="S35" s="8"/>
      <c r="T35" s="8"/>
      <c r="U35" s="8"/>
      <c r="V35" s="8"/>
      <c r="W35" s="8"/>
      <c r="X35" s="8"/>
      <c r="Y35" s="8"/>
      <c r="Z35" s="8"/>
      <c r="AA35" s="8"/>
      <c r="AB35" s="8"/>
      <c r="AC35" s="8"/>
      <c r="AD35" s="8"/>
    </row>
    <row r="36" spans="1:30" ht="15">
      <c r="A36" s="58"/>
      <c r="B36" s="69">
        <v>6</v>
      </c>
      <c r="C36" s="43" t="s">
        <v>234</v>
      </c>
      <c r="D36" s="69">
        <v>9.9436891104358197E-4</v>
      </c>
      <c r="E36" s="43">
        <f t="shared" si="6"/>
        <v>0.10249502893806126</v>
      </c>
      <c r="F36" s="71">
        <f t="shared" si="7"/>
        <v>10.249502893806126</v>
      </c>
      <c r="G36" s="84">
        <f t="shared" si="8"/>
        <v>104.85241460363666</v>
      </c>
      <c r="H36" s="43"/>
      <c r="I36" s="185">
        <f t="shared" si="9"/>
        <v>6717.0117214558441</v>
      </c>
      <c r="J36" s="8"/>
      <c r="K36" s="8"/>
      <c r="L36" s="8"/>
      <c r="M36" s="8"/>
      <c r="N36" s="8"/>
      <c r="O36" s="8"/>
      <c r="P36" s="8"/>
      <c r="Q36" s="8"/>
      <c r="R36" s="8"/>
      <c r="S36" s="8"/>
      <c r="T36" s="8"/>
      <c r="U36" s="8"/>
      <c r="V36" s="8"/>
      <c r="W36" s="8"/>
      <c r="X36" s="8"/>
      <c r="Y36" s="8"/>
      <c r="Z36" s="8"/>
      <c r="AA36" s="8"/>
      <c r="AB36" s="8"/>
      <c r="AC36" s="8"/>
      <c r="AD36" s="8"/>
    </row>
    <row r="37" spans="1:30" ht="15">
      <c r="A37" s="58"/>
      <c r="B37" s="69">
        <v>7</v>
      </c>
      <c r="C37" s="43" t="s">
        <v>235</v>
      </c>
      <c r="D37" s="69">
        <v>1.06573821082762E-3</v>
      </c>
      <c r="E37" s="43">
        <f t="shared" si="6"/>
        <v>0.10315339563877438</v>
      </c>
      <c r="F37" s="71">
        <f t="shared" si="7"/>
        <v>10.315339563877437</v>
      </c>
      <c r="G37" s="84">
        <f t="shared" si="8"/>
        <v>105.52592373846619</v>
      </c>
      <c r="H37" s="43"/>
      <c r="I37" s="185">
        <f t="shared" si="9"/>
        <v>6760.1577831870791</v>
      </c>
      <c r="J37" s="8"/>
      <c r="K37" s="8"/>
      <c r="L37" s="8"/>
      <c r="M37" s="8"/>
      <c r="N37" s="8"/>
      <c r="O37" s="8"/>
      <c r="P37" s="8"/>
      <c r="Q37" s="8"/>
      <c r="R37" s="8"/>
      <c r="S37" s="8"/>
      <c r="T37" s="8"/>
      <c r="U37" s="8"/>
      <c r="V37" s="8"/>
      <c r="W37" s="8"/>
      <c r="X37" s="8"/>
      <c r="Y37" s="8"/>
      <c r="Z37" s="8"/>
      <c r="AA37" s="8"/>
      <c r="AB37" s="8"/>
      <c r="AC37" s="8"/>
      <c r="AD37" s="8"/>
    </row>
    <row r="38" spans="1:30" ht="15">
      <c r="A38" s="58"/>
      <c r="B38" s="69">
        <v>8</v>
      </c>
      <c r="C38" s="43" t="s">
        <v>236</v>
      </c>
      <c r="D38" s="69">
        <v>1.1422299323759499E-3</v>
      </c>
      <c r="E38" s="43">
        <f t="shared" si="6"/>
        <v>0.10385445467440298</v>
      </c>
      <c r="F38" s="71">
        <f t="shared" si="7"/>
        <v>10.385445467440297</v>
      </c>
      <c r="G38" s="84">
        <f t="shared" si="8"/>
        <v>106.24310713191424</v>
      </c>
      <c r="H38" s="43"/>
      <c r="I38" s="185">
        <f t="shared" si="9"/>
        <v>6806.1016870869989</v>
      </c>
      <c r="J38" s="8"/>
      <c r="K38" s="8"/>
      <c r="L38" s="8"/>
      <c r="M38" s="8"/>
      <c r="N38" s="8"/>
      <c r="O38" s="8"/>
      <c r="P38" s="8"/>
      <c r="Q38" s="8"/>
      <c r="R38" s="8"/>
      <c r="S38" s="8"/>
      <c r="T38" s="8"/>
      <c r="U38" s="8"/>
      <c r="V38" s="8"/>
      <c r="W38" s="8"/>
      <c r="X38" s="8"/>
      <c r="Y38" s="8"/>
      <c r="Z38" s="8"/>
      <c r="AA38" s="8"/>
      <c r="AB38" s="8"/>
      <c r="AC38" s="8"/>
      <c r="AD38" s="8"/>
    </row>
    <row r="39" spans="1:30" ht="15">
      <c r="A39" s="58"/>
      <c r="B39" s="69">
        <v>9</v>
      </c>
      <c r="C39" s="43" t="s">
        <v>237</v>
      </c>
      <c r="D39" s="69">
        <v>1.22421172963517E-3</v>
      </c>
      <c r="E39" s="43">
        <f t="shared" si="6"/>
        <v>0.10460066171859461</v>
      </c>
      <c r="F39" s="71">
        <f t="shared" si="7"/>
        <v>10.460066171859461</v>
      </c>
      <c r="G39" s="84">
        <f t="shared" si="8"/>
        <v>107.00647693812229</v>
      </c>
      <c r="H39" s="43"/>
      <c r="I39" s="185">
        <f t="shared" si="9"/>
        <v>6855.0043657280976</v>
      </c>
      <c r="J39" s="8"/>
      <c r="K39" s="8"/>
      <c r="L39" s="8"/>
      <c r="M39" s="8"/>
      <c r="N39" s="8"/>
      <c r="O39" s="8"/>
      <c r="P39" s="8"/>
      <c r="Q39" s="8"/>
      <c r="R39" s="8"/>
      <c r="S39" s="8"/>
      <c r="T39" s="8"/>
      <c r="U39" s="8"/>
      <c r="V39" s="8"/>
      <c r="W39" s="8"/>
      <c r="X39" s="8"/>
      <c r="Y39" s="8"/>
      <c r="Z39" s="8"/>
      <c r="AA39" s="8"/>
      <c r="AB39" s="8"/>
      <c r="AC39" s="8"/>
      <c r="AD39" s="8"/>
    </row>
    <row r="40" spans="1:30" ht="15">
      <c r="A40" s="58"/>
      <c r="B40" s="69">
        <v>10</v>
      </c>
      <c r="C40" s="43" t="s">
        <v>238</v>
      </c>
      <c r="D40" s="69">
        <v>1.31207764434863E-3</v>
      </c>
      <c r="E40" s="43">
        <f t="shared" si="6"/>
        <v>0.10539457256218429</v>
      </c>
      <c r="F40" s="71">
        <f t="shared" si="7"/>
        <v>10.539457256218428</v>
      </c>
      <c r="G40" s="84">
        <f t="shared" si="8"/>
        <v>107.81864773111452</v>
      </c>
      <c r="H40" s="43"/>
      <c r="I40" s="185">
        <f t="shared" si="9"/>
        <v>6907.0333128627472</v>
      </c>
      <c r="J40" s="8"/>
      <c r="K40" s="8"/>
      <c r="L40" s="8"/>
      <c r="M40" s="8"/>
      <c r="N40" s="8"/>
      <c r="O40" s="8"/>
      <c r="P40" s="8"/>
      <c r="Q40" s="8"/>
      <c r="R40" s="8"/>
      <c r="S40" s="8"/>
      <c r="T40" s="8"/>
      <c r="U40" s="8"/>
      <c r="V40" s="8"/>
      <c r="W40" s="8"/>
      <c r="X40" s="8"/>
      <c r="Y40" s="8"/>
      <c r="Z40" s="8"/>
      <c r="AA40" s="8"/>
      <c r="AB40" s="8"/>
      <c r="AC40" s="8"/>
      <c r="AD40" s="8"/>
    </row>
    <row r="41" spans="1:30" ht="15">
      <c r="A41" s="58"/>
      <c r="B41" s="69">
        <v>11</v>
      </c>
      <c r="C41" s="43" t="s">
        <v>239</v>
      </c>
      <c r="D41" s="69">
        <v>1.4062499999999999E-3</v>
      </c>
      <c r="E41" s="43">
        <f t="shared" si="6"/>
        <v>0.1062388417968597</v>
      </c>
      <c r="F41" s="71">
        <f t="shared" si="7"/>
        <v>10.62388417968597</v>
      </c>
      <c r="G41" s="84">
        <f t="shared" si="8"/>
        <v>108.68233515818747</v>
      </c>
      <c r="H41" s="43"/>
      <c r="I41" s="185">
        <f t="shared" si="9"/>
        <v>6962.3624971572008</v>
      </c>
      <c r="J41" s="8"/>
      <c r="K41" s="8"/>
      <c r="L41" s="8"/>
      <c r="M41" s="8"/>
      <c r="N41" s="8"/>
      <c r="O41" s="8"/>
      <c r="P41" s="8"/>
      <c r="Q41" s="8"/>
      <c r="R41" s="8"/>
      <c r="S41" s="8"/>
      <c r="T41" s="8"/>
      <c r="U41" s="8"/>
      <c r="V41" s="8"/>
      <c r="W41" s="8"/>
      <c r="X41" s="8"/>
      <c r="Y41" s="8"/>
      <c r="Z41" s="8"/>
      <c r="AA41" s="8"/>
      <c r="AB41" s="8"/>
      <c r="AC41" s="8"/>
      <c r="AD41" s="8"/>
    </row>
    <row r="42" spans="1:30" ht="15">
      <c r="A42" s="58"/>
      <c r="B42" s="69">
        <v>12</v>
      </c>
      <c r="C42" s="43" t="s">
        <v>240</v>
      </c>
      <c r="D42" s="69">
        <v>1.5071814316916601E-3</v>
      </c>
      <c r="E42" s="43">
        <f t="shared" si="6"/>
        <v>0.10713622065653354</v>
      </c>
      <c r="F42" s="71">
        <f t="shared" si="7"/>
        <v>10.713622065653354</v>
      </c>
      <c r="G42" s="84">
        <f t="shared" si="8"/>
        <v>109.60035373163382</v>
      </c>
      <c r="H42" s="43"/>
      <c r="I42" s="185">
        <f t="shared" si="9"/>
        <v>7021.1722207259254</v>
      </c>
      <c r="J42" s="8"/>
      <c r="K42" s="8"/>
      <c r="L42" s="8"/>
      <c r="M42" s="8"/>
      <c r="N42" s="8"/>
      <c r="O42" s="8"/>
      <c r="P42" s="8"/>
      <c r="Q42" s="8"/>
      <c r="R42" s="8"/>
      <c r="S42" s="8"/>
      <c r="T42" s="8"/>
      <c r="U42" s="8"/>
      <c r="V42" s="8"/>
      <c r="W42" s="8"/>
      <c r="X42" s="8"/>
      <c r="Y42" s="8"/>
      <c r="Z42" s="8"/>
      <c r="AA42" s="8"/>
      <c r="AB42" s="8"/>
      <c r="AC42" s="8"/>
      <c r="AD42" s="8"/>
    </row>
    <row r="43" spans="1:30" ht="15">
      <c r="A43" s="58"/>
      <c r="B43" s="69">
        <v>13</v>
      </c>
      <c r="C43" s="43" t="s">
        <v>241</v>
      </c>
      <c r="D43" s="69">
        <v>1.6153570617145801E-3</v>
      </c>
      <c r="E43" s="43">
        <f t="shared" si="6"/>
        <v>0.10808955392929749</v>
      </c>
      <c r="F43" s="71">
        <f t="shared" si="7"/>
        <v>10.808955392929748</v>
      </c>
      <c r="G43" s="84">
        <f t="shared" si="8"/>
        <v>110.57561366967133</v>
      </c>
      <c r="H43" s="43"/>
      <c r="I43" s="185">
        <f t="shared" si="9"/>
        <v>7083.6489167565114</v>
      </c>
      <c r="J43" s="8"/>
      <c r="K43" s="8"/>
      <c r="L43" s="8"/>
      <c r="M43" s="8"/>
      <c r="N43" s="8"/>
      <c r="O43" s="8"/>
      <c r="P43" s="8"/>
      <c r="Q43" s="8"/>
      <c r="R43" s="8"/>
      <c r="S43" s="8"/>
      <c r="T43" s="8"/>
      <c r="U43" s="8"/>
      <c r="V43" s="8"/>
      <c r="W43" s="8"/>
      <c r="X43" s="8"/>
      <c r="Y43" s="8"/>
      <c r="Z43" s="8"/>
      <c r="AA43" s="8"/>
      <c r="AB43" s="8"/>
      <c r="AC43" s="8"/>
      <c r="AD43" s="8"/>
    </row>
    <row r="44" spans="1:30" ht="15">
      <c r="A44" s="58"/>
      <c r="B44" s="69">
        <v>14</v>
      </c>
      <c r="C44" s="43" t="s">
        <v>242</v>
      </c>
      <c r="D44" s="69">
        <v>1.73129683126628E-3</v>
      </c>
      <c r="E44" s="43">
        <f t="shared" si="6"/>
        <v>0.10910177585381665</v>
      </c>
      <c r="F44" s="71">
        <f t="shared" si="7"/>
        <v>10.910177585381666</v>
      </c>
      <c r="G44" s="84">
        <f t="shared" si="8"/>
        <v>111.61111669845444</v>
      </c>
      <c r="H44" s="43"/>
      <c r="I44" s="185">
        <f t="shared" si="9"/>
        <v>7149.9848805798747</v>
      </c>
      <c r="J44" s="8"/>
      <c r="K44" s="8"/>
      <c r="L44" s="8"/>
      <c r="M44" s="8"/>
      <c r="N44" s="8"/>
      <c r="O44" s="8"/>
      <c r="P44" s="8"/>
      <c r="Q44" s="8"/>
      <c r="R44" s="8"/>
      <c r="S44" s="8"/>
      <c r="T44" s="8"/>
      <c r="U44" s="8"/>
      <c r="V44" s="8"/>
      <c r="W44" s="8"/>
      <c r="X44" s="8"/>
      <c r="Y44" s="8"/>
      <c r="Z44" s="8"/>
      <c r="AA44" s="8"/>
      <c r="AB44" s="8"/>
      <c r="AC44" s="8"/>
      <c r="AD44" s="8"/>
    </row>
    <row r="45" spans="1:30" ht="15">
      <c r="A45" s="58"/>
      <c r="B45" s="69">
        <v>15</v>
      </c>
      <c r="C45" s="43" t="s">
        <v>243</v>
      </c>
      <c r="D45" s="69">
        <v>1.85555799952438E-3</v>
      </c>
      <c r="E45" s="43">
        <f t="shared" si="6"/>
        <v>0.11017590491698065</v>
      </c>
      <c r="F45" s="71">
        <f t="shared" si="7"/>
        <v>11.017590491698066</v>
      </c>
      <c r="G45" s="84">
        <f t="shared" si="8"/>
        <v>112.7099507300712</v>
      </c>
      <c r="H45" s="43"/>
      <c r="I45" s="185">
        <f t="shared" si="9"/>
        <v>7220.3779287343268</v>
      </c>
      <c r="J45" s="8"/>
      <c r="K45" s="8"/>
      <c r="L45" s="8"/>
      <c r="M45" s="8"/>
      <c r="N45" s="8"/>
      <c r="O45" s="8"/>
      <c r="P45" s="8"/>
      <c r="Q45" s="8"/>
      <c r="R45" s="8"/>
      <c r="S45" s="8"/>
      <c r="T45" s="8"/>
      <c r="U45" s="8"/>
      <c r="V45" s="8"/>
      <c r="W45" s="8"/>
      <c r="X45" s="8"/>
      <c r="Y45" s="8"/>
      <c r="Z45" s="8"/>
      <c r="AA45" s="8"/>
      <c r="AB45" s="8"/>
      <c r="AC45" s="8"/>
      <c r="AD45" s="8"/>
    </row>
    <row r="46" spans="1:30" ht="15">
      <c r="A46" s="58"/>
      <c r="B46" s="69">
        <v>16</v>
      </c>
      <c r="C46" s="43" t="s">
        <v>244</v>
      </c>
      <c r="D46" s="69">
        <v>1.98873782208716E-3</v>
      </c>
      <c r="E46" s="43">
        <f t="shared" si="6"/>
        <v>0.11131503747484608</v>
      </c>
      <c r="F46" s="71">
        <f t="shared" si="7"/>
        <v>11.131503747484608</v>
      </c>
      <c r="G46" s="84">
        <f t="shared" si="8"/>
        <v>113.87528333676754</v>
      </c>
      <c r="H46" s="43"/>
      <c r="I46" s="185">
        <f t="shared" si="9"/>
        <v>7295.0309809140381</v>
      </c>
      <c r="J46" s="8"/>
      <c r="K46" s="8"/>
      <c r="L46" s="8"/>
      <c r="M46" s="8"/>
      <c r="N46" s="8"/>
      <c r="O46" s="8"/>
      <c r="P46" s="8"/>
      <c r="Q46" s="8"/>
      <c r="R46" s="8"/>
      <c r="S46" s="8"/>
      <c r="T46" s="8"/>
      <c r="U46" s="8"/>
      <c r="V46" s="8"/>
      <c r="W46" s="8"/>
      <c r="X46" s="8"/>
      <c r="Y46" s="8"/>
      <c r="Z46" s="8"/>
      <c r="AA46" s="8"/>
      <c r="AB46" s="8"/>
      <c r="AC46" s="8"/>
      <c r="AD46" s="8"/>
    </row>
    <row r="47" spans="1:30" ht="15">
      <c r="A47" s="58"/>
      <c r="B47" s="69">
        <v>17</v>
      </c>
      <c r="C47" s="43" t="s">
        <v>245</v>
      </c>
      <c r="D47" s="69">
        <v>2.13147642165524E-3</v>
      </c>
      <c r="E47" s="43">
        <f t="shared" si="6"/>
        <v>0.11252234012669564</v>
      </c>
      <c r="F47" s="71">
        <f t="shared" si="7"/>
        <v>11.252234012669565</v>
      </c>
      <c r="G47" s="84">
        <f t="shared" si="8"/>
        <v>115.11035394960963</v>
      </c>
      <c r="H47" s="43"/>
      <c r="I47" s="185">
        <f t="shared" si="9"/>
        <v>7374.1515602029986</v>
      </c>
      <c r="J47" s="8"/>
      <c r="K47" s="8"/>
      <c r="L47" s="8"/>
      <c r="M47" s="8"/>
      <c r="N47" s="8"/>
      <c r="O47" s="8"/>
      <c r="P47" s="8"/>
      <c r="Q47" s="8"/>
      <c r="R47" s="8"/>
      <c r="S47" s="8"/>
      <c r="T47" s="8"/>
      <c r="U47" s="8"/>
      <c r="V47" s="8"/>
      <c r="W47" s="8"/>
      <c r="X47" s="8"/>
      <c r="Y47" s="8"/>
      <c r="Z47" s="8"/>
      <c r="AA47" s="8"/>
      <c r="AB47" s="8"/>
      <c r="AC47" s="8"/>
      <c r="AD47" s="8"/>
    </row>
    <row r="48" spans="1:30" ht="15">
      <c r="A48" s="58"/>
      <c r="B48" s="69">
        <v>18</v>
      </c>
      <c r="C48" s="43" t="s">
        <v>246</v>
      </c>
      <c r="D48" s="69">
        <v>2.2844598647519098E-3</v>
      </c>
      <c r="E48" s="43">
        <f t="shared" si="6"/>
        <v>0.11380104078264409</v>
      </c>
      <c r="F48" s="71">
        <f t="shared" si="7"/>
        <v>11.380104078264409</v>
      </c>
      <c r="G48" s="84">
        <f t="shared" si="8"/>
        <v>116.41846472064491</v>
      </c>
      <c r="H48" s="43"/>
      <c r="I48" s="185">
        <f t="shared" si="9"/>
        <v>7457.9512076905803</v>
      </c>
      <c r="J48" s="8"/>
      <c r="K48" s="8"/>
      <c r="L48" s="8"/>
      <c r="M48" s="8"/>
      <c r="N48" s="8"/>
      <c r="O48" s="8"/>
      <c r="P48" s="8"/>
      <c r="Q48" s="8"/>
      <c r="R48" s="8"/>
      <c r="S48" s="8"/>
      <c r="T48" s="8"/>
      <c r="U48" s="8"/>
      <c r="V48" s="8"/>
      <c r="W48" s="8"/>
      <c r="X48" s="8"/>
      <c r="Y48" s="8"/>
      <c r="Z48" s="8"/>
      <c r="AA48" s="8"/>
      <c r="AB48" s="8"/>
      <c r="AC48" s="8"/>
      <c r="AD48" s="8"/>
    </row>
    <row r="49" spans="1:30" ht="15">
      <c r="A49" s="58"/>
      <c r="B49" s="69">
        <v>19</v>
      </c>
      <c r="C49" s="43" t="s">
        <v>247</v>
      </c>
      <c r="D49" s="69">
        <v>2.44842345927034E-3</v>
      </c>
      <c r="E49" s="43">
        <f t="shared" si="6"/>
        <v>0.11515441837888062</v>
      </c>
      <c r="F49" s="71">
        <f t="shared" si="7"/>
        <v>11.515441837888062</v>
      </c>
      <c r="G49" s="84">
        <f t="shared" si="8"/>
        <v>117.80297000159487</v>
      </c>
      <c r="H49" s="43"/>
      <c r="I49" s="185">
        <f t="shared" si="9"/>
        <v>7546.6448084599415</v>
      </c>
      <c r="J49" s="8"/>
      <c r="K49" s="8"/>
      <c r="L49" s="8"/>
      <c r="M49" s="8"/>
      <c r="N49" s="8"/>
      <c r="O49" s="8"/>
      <c r="P49" s="8"/>
      <c r="Q49" s="8"/>
      <c r="R49" s="8"/>
      <c r="S49" s="8"/>
      <c r="T49" s="8"/>
      <c r="U49" s="8"/>
      <c r="V49" s="8"/>
      <c r="W49" s="8"/>
      <c r="X49" s="8"/>
      <c r="Y49" s="8"/>
      <c r="Z49" s="8"/>
      <c r="AA49" s="8"/>
      <c r="AB49" s="8"/>
      <c r="AC49" s="8"/>
      <c r="AD49" s="8"/>
    </row>
    <row r="50" spans="1:30" ht="15">
      <c r="A50" s="58"/>
      <c r="B50" s="69">
        <v>20</v>
      </c>
      <c r="C50" s="43" t="s">
        <v>248</v>
      </c>
      <c r="D50" s="69">
        <v>2.6241552886972701E-3</v>
      </c>
      <c r="E50" s="43">
        <f t="shared" si="6"/>
        <v>0.11658579121148631</v>
      </c>
      <c r="F50" s="71">
        <f t="shared" si="7"/>
        <v>11.65857912114863</v>
      </c>
      <c r="G50" s="84">
        <f t="shared" si="8"/>
        <v>119.26726440935049</v>
      </c>
      <c r="H50" s="43"/>
      <c r="I50" s="185">
        <f t="shared" si="9"/>
        <v>7640.4498270447557</v>
      </c>
      <c r="J50" s="8"/>
      <c r="K50" s="8"/>
      <c r="L50" s="8"/>
      <c r="M50" s="8"/>
      <c r="N50" s="8"/>
      <c r="O50" s="8"/>
      <c r="P50" s="8"/>
      <c r="Q50" s="8"/>
      <c r="R50" s="8"/>
      <c r="S50" s="8"/>
      <c r="T50" s="8"/>
      <c r="U50" s="8"/>
      <c r="V50" s="8"/>
      <c r="W50" s="8"/>
      <c r="X50" s="8"/>
      <c r="Y50" s="8"/>
      <c r="Z50" s="8"/>
      <c r="AA50" s="8"/>
      <c r="AB50" s="8"/>
      <c r="AC50" s="8"/>
      <c r="AD50" s="8"/>
    </row>
    <row r="51" spans="1:30" ht="15">
      <c r="A51" s="58"/>
      <c r="B51" s="69">
        <v>21</v>
      </c>
      <c r="C51" s="43" t="s">
        <v>249</v>
      </c>
      <c r="D51" s="69">
        <v>2.8124999999999999E-3</v>
      </c>
      <c r="E51" s="43">
        <f t="shared" si="6"/>
        <v>0.11809850387987314</v>
      </c>
      <c r="F51" s="71">
        <f t="shared" si="7"/>
        <v>11.809850387987314</v>
      </c>
      <c r="G51" s="84">
        <f t="shared" si="8"/>
        <v>120.81476946911022</v>
      </c>
      <c r="H51" s="43"/>
      <c r="I51" s="185">
        <f t="shared" si="9"/>
        <v>7739.5854517674861</v>
      </c>
      <c r="J51" s="8"/>
      <c r="K51" s="8"/>
      <c r="L51" s="8"/>
      <c r="M51" s="8"/>
      <c r="N51" s="8"/>
      <c r="O51" s="8"/>
      <c r="P51" s="8"/>
      <c r="Q51" s="8"/>
      <c r="R51" s="8"/>
      <c r="S51" s="8"/>
      <c r="T51" s="8"/>
      <c r="U51" s="8"/>
      <c r="V51" s="8"/>
      <c r="W51" s="8"/>
      <c r="X51" s="8"/>
      <c r="Y51" s="8"/>
      <c r="Z51" s="8"/>
      <c r="AA51" s="8"/>
      <c r="AB51" s="8"/>
      <c r="AC51" s="8"/>
      <c r="AD51" s="8"/>
    </row>
    <row r="52" spans="1:30" ht="15">
      <c r="A52" s="58"/>
      <c r="B52" s="69">
        <v>22</v>
      </c>
      <c r="C52" s="43" t="s">
        <v>250</v>
      </c>
      <c r="D52" s="69">
        <v>3.0143628633833202E-3</v>
      </c>
      <c r="E52" s="43">
        <f t="shared" si="6"/>
        <v>0.11969591285421675</v>
      </c>
      <c r="F52" s="71">
        <f t="shared" si="7"/>
        <v>11.969591285421675</v>
      </c>
      <c r="G52" s="84">
        <f t="shared" si="8"/>
        <v>122.44891884986374</v>
      </c>
      <c r="H52" s="43"/>
      <c r="I52" s="185">
        <f t="shared" si="9"/>
        <v>7844.2716489010954</v>
      </c>
      <c r="J52" s="8"/>
      <c r="K52" s="8"/>
      <c r="L52" s="8"/>
      <c r="M52" s="8"/>
      <c r="N52" s="8"/>
      <c r="O52" s="8"/>
      <c r="P52" s="8"/>
      <c r="Q52" s="8"/>
      <c r="R52" s="8"/>
      <c r="S52" s="8"/>
      <c r="T52" s="8"/>
      <c r="U52" s="8"/>
      <c r="V52" s="8"/>
      <c r="W52" s="8"/>
      <c r="X52" s="8"/>
      <c r="Y52" s="8"/>
      <c r="Z52" s="8"/>
      <c r="AA52" s="8"/>
      <c r="AB52" s="8"/>
      <c r="AC52" s="8"/>
      <c r="AD52" s="8"/>
    </row>
    <row r="53" spans="1:30" ht="15">
      <c r="A53" s="58"/>
      <c r="B53" s="69">
        <v>23</v>
      </c>
      <c r="C53" s="43" t="s">
        <v>251</v>
      </c>
      <c r="D53" s="69">
        <v>3.2307141234291601E-3</v>
      </c>
      <c r="E53" s="43">
        <f t="shared" si="6"/>
        <v>0.1213813707076057</v>
      </c>
      <c r="F53" s="71">
        <f t="shared" si="7"/>
        <v>12.138137070760569</v>
      </c>
      <c r="G53" s="84">
        <f t="shared" si="8"/>
        <v>124.17314223388063</v>
      </c>
      <c r="H53" s="43"/>
      <c r="I53" s="185">
        <f t="shared" si="9"/>
        <v>7954.7281293229398</v>
      </c>
      <c r="J53" s="8"/>
      <c r="K53" s="8"/>
      <c r="L53" s="8"/>
      <c r="M53" s="8"/>
      <c r="N53" s="8"/>
      <c r="O53" s="8"/>
      <c r="P53" s="8"/>
      <c r="Q53" s="8"/>
      <c r="R53" s="8"/>
      <c r="S53" s="8"/>
      <c r="T53" s="8"/>
      <c r="U53" s="8"/>
      <c r="V53" s="8"/>
      <c r="W53" s="8"/>
      <c r="X53" s="8"/>
      <c r="Y53" s="8"/>
      <c r="Z53" s="8"/>
      <c r="AA53" s="8"/>
      <c r="AB53" s="8"/>
      <c r="AC53" s="8"/>
      <c r="AD53" s="8"/>
    </row>
    <row r="54" spans="1:30" ht="15">
      <c r="A54" s="58"/>
      <c r="B54" s="69">
        <v>24</v>
      </c>
      <c r="C54" s="43" t="s">
        <v>252</v>
      </c>
      <c r="D54" s="69">
        <v>3.46259366253257E-3</v>
      </c>
      <c r="E54" s="43">
        <f t="shared" si="6"/>
        <v>0.12315820908269158</v>
      </c>
      <c r="F54" s="71">
        <f t="shared" si="7"/>
        <v>12.315820908269158</v>
      </c>
      <c r="G54" s="84">
        <f t="shared" si="8"/>
        <v>125.99084789159349</v>
      </c>
      <c r="H54" s="43"/>
      <c r="I54" s="185">
        <f t="shared" si="9"/>
        <v>8071.1732322341932</v>
      </c>
      <c r="J54" s="8"/>
      <c r="K54" s="8"/>
      <c r="L54" s="8"/>
      <c r="M54" s="8"/>
      <c r="N54" s="8"/>
      <c r="O54" s="8"/>
      <c r="P54" s="8"/>
      <c r="Q54" s="8"/>
      <c r="R54" s="8"/>
      <c r="S54" s="8"/>
      <c r="T54" s="8"/>
      <c r="U54" s="8"/>
      <c r="V54" s="8"/>
      <c r="W54" s="8"/>
      <c r="X54" s="8"/>
      <c r="Y54" s="8"/>
      <c r="Z54" s="8"/>
      <c r="AA54" s="8"/>
      <c r="AB54" s="8"/>
      <c r="AC54" s="8"/>
      <c r="AD54" s="8"/>
    </row>
    <row r="55" spans="1:30" ht="15">
      <c r="A55" s="58"/>
      <c r="B55" s="69">
        <v>25</v>
      </c>
      <c r="C55" s="43" t="s">
        <v>253</v>
      </c>
      <c r="D55" s="69">
        <v>3.71111599904876E-3</v>
      </c>
      <c r="E55" s="43">
        <f t="shared" si="6"/>
        <v>0.12502972049389399</v>
      </c>
      <c r="F55" s="71">
        <f t="shared" si="7"/>
        <v>12.502972049389399</v>
      </c>
      <c r="G55" s="84">
        <f t="shared" si="8"/>
        <v>127.90540406525355</v>
      </c>
      <c r="H55" s="43"/>
      <c r="I55" s="185">
        <f t="shared" si="9"/>
        <v>8193.8227325673433</v>
      </c>
      <c r="J55" s="8"/>
      <c r="K55" s="8"/>
      <c r="L55" s="8"/>
      <c r="M55" s="8"/>
      <c r="N55" s="8"/>
      <c r="O55" s="8"/>
      <c r="P55" s="8"/>
      <c r="Q55" s="8"/>
      <c r="R55" s="8"/>
      <c r="S55" s="8"/>
      <c r="T55" s="8"/>
      <c r="U55" s="8"/>
      <c r="V55" s="8"/>
      <c r="W55" s="8"/>
      <c r="X55" s="8"/>
      <c r="Y55" s="8"/>
      <c r="Z55" s="8"/>
      <c r="AA55" s="8"/>
      <c r="AB55" s="8"/>
      <c r="AC55" s="8"/>
      <c r="AD55" s="8"/>
    </row>
    <row r="56" spans="1:30" ht="15">
      <c r="A56" s="58"/>
      <c r="B56" s="69">
        <v>26</v>
      </c>
      <c r="C56" s="43" t="s">
        <v>254</v>
      </c>
      <c r="D56" s="69">
        <v>3.9774756441743296E-3</v>
      </c>
      <c r="E56" s="43">
        <f t="shared" si="6"/>
        <v>0.12699913909902516</v>
      </c>
      <c r="F56" s="71">
        <f t="shared" si="7"/>
        <v>12.699913909902516</v>
      </c>
      <c r="G56" s="84">
        <f t="shared" si="8"/>
        <v>129.92011929830275</v>
      </c>
      <c r="H56" s="43"/>
      <c r="I56" s="185">
        <f t="shared" si="9"/>
        <v>8322.8885808546147</v>
      </c>
      <c r="J56" s="8"/>
      <c r="K56" s="8"/>
      <c r="L56" s="8"/>
      <c r="M56" s="8"/>
      <c r="N56" s="8"/>
      <c r="O56" s="8"/>
      <c r="P56" s="8"/>
      <c r="Q56" s="8"/>
      <c r="R56" s="8"/>
      <c r="S56" s="8"/>
      <c r="T56" s="8"/>
      <c r="U56" s="8"/>
      <c r="V56" s="8"/>
      <c r="W56" s="8"/>
      <c r="X56" s="8"/>
      <c r="Y56" s="8"/>
      <c r="Z56" s="8"/>
      <c r="AA56" s="8"/>
      <c r="AB56" s="8"/>
      <c r="AC56" s="8"/>
      <c r="AD56" s="8"/>
    </row>
    <row r="57" spans="1:30" ht="15">
      <c r="A57" s="58"/>
      <c r="B57" s="69">
        <v>27</v>
      </c>
      <c r="C57" s="43" t="s">
        <v>255</v>
      </c>
      <c r="D57" s="69">
        <v>4.2629528433104904E-3</v>
      </c>
      <c r="E57" s="43">
        <f t="shared" si="6"/>
        <v>0.12906962060772248</v>
      </c>
      <c r="F57" s="71">
        <f t="shared" si="7"/>
        <v>12.906962060772248</v>
      </c>
      <c r="G57" s="84">
        <f t="shared" si="8"/>
        <v>132.03822188170011</v>
      </c>
      <c r="H57" s="43"/>
      <c r="I57" s="185">
        <f t="shared" si="9"/>
        <v>8458.5775865270934</v>
      </c>
      <c r="J57" s="8"/>
      <c r="K57" s="8"/>
      <c r="L57" s="8"/>
      <c r="M57" s="8"/>
      <c r="N57" s="8"/>
      <c r="O57" s="8"/>
      <c r="P57" s="8"/>
      <c r="Q57" s="8"/>
      <c r="R57" s="8"/>
      <c r="S57" s="8"/>
      <c r="T57" s="8"/>
      <c r="U57" s="8"/>
      <c r="V57" s="8"/>
      <c r="W57" s="8"/>
      <c r="X57" s="8"/>
      <c r="Y57" s="8"/>
      <c r="Z57" s="8"/>
      <c r="AA57" s="8"/>
      <c r="AB57" s="8"/>
      <c r="AC57" s="8"/>
      <c r="AD57" s="8"/>
    </row>
    <row r="58" spans="1:30" ht="15">
      <c r="A58" s="58"/>
      <c r="B58" s="69">
        <v>28</v>
      </c>
      <c r="C58" s="43" t="s">
        <v>256</v>
      </c>
      <c r="D58" s="69">
        <v>4.5689197295038196E-3</v>
      </c>
      <c r="E58" s="43">
        <f t="shared" si="6"/>
        <v>0.13124422152730431</v>
      </c>
      <c r="F58" s="71">
        <f t="shared" si="7"/>
        <v>13.12442215273043</v>
      </c>
      <c r="G58" s="84">
        <f t="shared" si="8"/>
        <v>134.2628386224323</v>
      </c>
      <c r="H58" s="43"/>
      <c r="I58" s="185">
        <f t="shared" si="9"/>
        <v>8601.0900577918874</v>
      </c>
      <c r="J58" s="8"/>
      <c r="K58" s="8"/>
      <c r="L58" s="8"/>
      <c r="M58" s="8"/>
      <c r="N58" s="8"/>
      <c r="O58" s="8"/>
      <c r="P58" s="8"/>
      <c r="Q58" s="8"/>
      <c r="R58" s="8"/>
      <c r="S58" s="8"/>
      <c r="T58" s="8"/>
      <c r="U58" s="8"/>
      <c r="V58" s="8"/>
      <c r="W58" s="8"/>
      <c r="X58" s="8"/>
      <c r="Y58" s="8"/>
      <c r="Z58" s="8"/>
      <c r="AA58" s="8"/>
      <c r="AB58" s="8"/>
      <c r="AC58" s="8"/>
      <c r="AD58" s="8"/>
    </row>
    <row r="59" spans="1:30" ht="15">
      <c r="A59" s="58"/>
      <c r="B59" s="69">
        <v>29</v>
      </c>
      <c r="C59" s="43" t="s">
        <v>257</v>
      </c>
      <c r="D59" s="69">
        <v>4.8968469185406904E-3</v>
      </c>
      <c r="E59" s="43">
        <f t="shared" si="6"/>
        <v>0.13352587797846954</v>
      </c>
      <c r="F59" s="71">
        <f t="shared" si="7"/>
        <v>13.352587797846954</v>
      </c>
      <c r="G59" s="84">
        <f t="shared" si="8"/>
        <v>136.59697317197435</v>
      </c>
      <c r="H59" s="43"/>
      <c r="I59" s="185">
        <f t="shared" si="9"/>
        <v>8750.6184133190018</v>
      </c>
      <c r="J59" s="8"/>
      <c r="K59" s="8"/>
      <c r="L59" s="8"/>
      <c r="M59" s="8"/>
      <c r="N59" s="8"/>
      <c r="O59" s="8"/>
      <c r="P59" s="8"/>
      <c r="Q59" s="8"/>
      <c r="R59" s="8"/>
      <c r="S59" s="8"/>
      <c r="T59" s="8"/>
      <c r="U59" s="8"/>
      <c r="V59" s="8"/>
      <c r="W59" s="8"/>
      <c r="X59" s="8"/>
      <c r="Y59" s="8"/>
      <c r="Z59" s="8"/>
      <c r="AA59" s="8"/>
      <c r="AB59" s="8"/>
      <c r="AC59" s="8"/>
      <c r="AD59" s="8"/>
    </row>
    <row r="60" spans="1:30" ht="15">
      <c r="A60" s="58"/>
      <c r="B60" s="69">
        <v>30</v>
      </c>
      <c r="C60" s="43" t="s">
        <v>258</v>
      </c>
      <c r="D60" s="69">
        <v>5.2483105773945401E-3</v>
      </c>
      <c r="E60" s="43">
        <f t="shared" si="6"/>
        <v>0.13591738434240649</v>
      </c>
      <c r="F60" s="71">
        <f t="shared" si="7"/>
        <v>13.59173843424065</v>
      </c>
      <c r="G60" s="84">
        <f t="shared" si="8"/>
        <v>139.04348418228184</v>
      </c>
      <c r="H60" s="43"/>
      <c r="I60" s="185">
        <f t="shared" si="9"/>
        <v>8907.345782879609</v>
      </c>
      <c r="J60" s="8"/>
      <c r="K60" s="8"/>
      <c r="L60" s="8"/>
      <c r="M60" s="8"/>
      <c r="N60" s="8"/>
      <c r="O60" s="8"/>
      <c r="P60" s="8"/>
      <c r="Q60" s="8"/>
      <c r="R60" s="8"/>
      <c r="S60" s="8"/>
      <c r="T60" s="8"/>
      <c r="U60" s="8"/>
      <c r="V60" s="8"/>
      <c r="W60" s="8"/>
      <c r="X60" s="8"/>
      <c r="Y60" s="8"/>
      <c r="Z60" s="8"/>
      <c r="AA60" s="8"/>
      <c r="AB60" s="8"/>
      <c r="AC60" s="8"/>
      <c r="AD60" s="8"/>
    </row>
    <row r="61" spans="1:30" ht="15">
      <c r="A61" s="58"/>
      <c r="B61" s="69">
        <v>31</v>
      </c>
      <c r="C61" s="43" t="s">
        <v>259</v>
      </c>
      <c r="D61" s="69">
        <v>5.6249999999999998E-3</v>
      </c>
      <c r="E61" s="43">
        <f t="shared" si="6"/>
        <v>0.1384213720260738</v>
      </c>
      <c r="F61" s="71">
        <f t="shared" si="7"/>
        <v>13.842137202607379</v>
      </c>
      <c r="G61" s="84">
        <f t="shared" si="8"/>
        <v>141.60506358267349</v>
      </c>
      <c r="H61" s="43"/>
      <c r="I61" s="185">
        <f t="shared" si="9"/>
        <v>9071.4446157287457</v>
      </c>
      <c r="J61" s="8"/>
      <c r="K61" s="8"/>
      <c r="L61" s="8"/>
      <c r="M61" s="8"/>
      <c r="N61" s="8"/>
      <c r="O61" s="8"/>
      <c r="P61" s="8"/>
      <c r="Q61" s="8"/>
      <c r="R61" s="8"/>
      <c r="S61" s="8"/>
      <c r="T61" s="8"/>
      <c r="U61" s="8"/>
      <c r="V61" s="8"/>
      <c r="W61" s="8"/>
      <c r="X61" s="8"/>
      <c r="Y61" s="8"/>
      <c r="Z61" s="8"/>
      <c r="AA61" s="8"/>
      <c r="AB61" s="8"/>
      <c r="AC61" s="8"/>
      <c r="AD61" s="8"/>
    </row>
    <row r="62" spans="1:30" ht="15">
      <c r="A62" s="58"/>
      <c r="B62" s="69">
        <v>32</v>
      </c>
      <c r="C62" s="43" t="s">
        <v>260</v>
      </c>
      <c r="D62" s="69">
        <v>6.0287257267666403E-3</v>
      </c>
      <c r="E62" s="43">
        <f t="shared" si="6"/>
        <v>0.14104028865238383</v>
      </c>
      <c r="F62" s="71">
        <f t="shared" si="7"/>
        <v>14.104028865238384</v>
      </c>
      <c r="G62" s="84">
        <f t="shared" si="8"/>
        <v>144.28421529138865</v>
      </c>
      <c r="H62" s="43"/>
      <c r="I62" s="185">
        <f t="shared" si="9"/>
        <v>9243.0753168339743</v>
      </c>
      <c r="J62" s="8"/>
      <c r="K62" s="8"/>
      <c r="L62" s="8"/>
      <c r="M62" s="8"/>
      <c r="N62" s="8"/>
      <c r="O62" s="8"/>
      <c r="P62" s="8"/>
      <c r="Q62" s="8"/>
      <c r="R62" s="8"/>
      <c r="S62" s="8"/>
      <c r="T62" s="8"/>
      <c r="U62" s="8"/>
      <c r="V62" s="8"/>
      <c r="W62" s="8"/>
      <c r="X62" s="8"/>
      <c r="Y62" s="8"/>
      <c r="Z62" s="8"/>
      <c r="AA62" s="8"/>
      <c r="AB62" s="8"/>
      <c r="AC62" s="8"/>
      <c r="AD62" s="8"/>
    </row>
    <row r="63" spans="1:30" ht="15">
      <c r="A63" s="58"/>
      <c r="B63" s="69">
        <v>33</v>
      </c>
      <c r="C63" s="43" t="s">
        <v>261</v>
      </c>
      <c r="D63" s="69">
        <v>6.4614282468583202E-3</v>
      </c>
      <c r="E63" s="43">
        <f t="shared" si="6"/>
        <v>0.14377637799555118</v>
      </c>
      <c r="F63" s="71">
        <f t="shared" si="7"/>
        <v>14.377637799555117</v>
      </c>
      <c r="G63" s="84">
        <f t="shared" si="8"/>
        <v>147.08323468944886</v>
      </c>
      <c r="H63" s="43"/>
      <c r="I63" s="185">
        <f t="shared" si="9"/>
        <v>9422.3849319384462</v>
      </c>
      <c r="J63" s="8"/>
      <c r="K63" s="8"/>
      <c r="L63" s="8"/>
      <c r="M63" s="8"/>
      <c r="N63" s="8"/>
      <c r="O63" s="8"/>
      <c r="P63" s="8"/>
      <c r="Q63" s="8"/>
      <c r="R63" s="8"/>
      <c r="S63" s="8"/>
      <c r="T63" s="8"/>
      <c r="U63" s="8"/>
      <c r="V63" s="8"/>
      <c r="W63" s="8"/>
      <c r="X63" s="8"/>
      <c r="Y63" s="8"/>
      <c r="Z63" s="8"/>
      <c r="AA63" s="8"/>
      <c r="AB63" s="8"/>
      <c r="AC63" s="8"/>
      <c r="AD63" s="8"/>
    </row>
    <row r="64" spans="1:30" ht="15">
      <c r="A64" s="58"/>
      <c r="B64" s="69">
        <v>34</v>
      </c>
      <c r="C64" s="43" t="s">
        <v>262</v>
      </c>
      <c r="D64" s="69">
        <v>6.9251873250651503E-3</v>
      </c>
      <c r="E64" s="43">
        <f t="shared" si="6"/>
        <v>0.14663166098790195</v>
      </c>
      <c r="F64" s="71">
        <f t="shared" si="7"/>
        <v>14.663166098790196</v>
      </c>
      <c r="G64" s="84">
        <f t="shared" si="8"/>
        <v>150.00418919062369</v>
      </c>
      <c r="H64" s="43"/>
      <c r="I64" s="185">
        <f t="shared" si="9"/>
        <v>9609.5059028421547</v>
      </c>
      <c r="J64" s="8"/>
      <c r="K64" s="8"/>
      <c r="L64" s="8"/>
      <c r="M64" s="8"/>
      <c r="N64" s="8"/>
      <c r="O64" s="8"/>
      <c r="P64" s="8"/>
      <c r="Q64" s="8"/>
      <c r="R64" s="8"/>
      <c r="S64" s="8"/>
      <c r="T64" s="8"/>
      <c r="U64" s="8"/>
      <c r="V64" s="8"/>
      <c r="W64" s="8"/>
      <c r="X64" s="8"/>
      <c r="Y64" s="8"/>
      <c r="Z64" s="8"/>
      <c r="AA64" s="8"/>
      <c r="AB64" s="8"/>
      <c r="AC64" s="8"/>
      <c r="AD64" s="8"/>
    </row>
    <row r="65" spans="1:30" ht="15">
      <c r="A65" s="58"/>
      <c r="B65" s="69">
        <v>35</v>
      </c>
      <c r="C65" s="43" t="s">
        <v>263</v>
      </c>
      <c r="D65" s="69">
        <v>7.4222319980975296E-3</v>
      </c>
      <c r="E65" s="43">
        <f t="shared" si="6"/>
        <v>0.14960791812213825</v>
      </c>
      <c r="F65" s="71">
        <f t="shared" si="7"/>
        <v>14.960791812213825</v>
      </c>
      <c r="G65" s="84">
        <f t="shared" si="8"/>
        <v>153.04890023894743</v>
      </c>
      <c r="H65" s="43"/>
      <c r="I65" s="185">
        <f t="shared" si="9"/>
        <v>9804.5549141343308</v>
      </c>
      <c r="J65" s="8"/>
      <c r="K65" s="8"/>
      <c r="L65" s="8"/>
      <c r="M65" s="8"/>
      <c r="N65" s="8"/>
      <c r="O65" s="8"/>
      <c r="P65" s="8"/>
      <c r="Q65" s="8"/>
      <c r="R65" s="8"/>
      <c r="S65" s="8"/>
      <c r="T65" s="8"/>
      <c r="U65" s="8"/>
      <c r="V65" s="8"/>
      <c r="W65" s="8"/>
      <c r="X65" s="8"/>
      <c r="Y65" s="8"/>
      <c r="Z65" s="8"/>
      <c r="AA65" s="8"/>
      <c r="AB65" s="8"/>
      <c r="AC65" s="8"/>
      <c r="AD65" s="8"/>
    </row>
    <row r="66" spans="1:30" ht="15">
      <c r="A66" s="58"/>
      <c r="B66" s="69">
        <v>36</v>
      </c>
      <c r="C66" s="43" t="s">
        <v>264</v>
      </c>
      <c r="D66" s="69">
        <v>7.9549512883486592E-3</v>
      </c>
      <c r="E66" s="43">
        <f t="shared" si="6"/>
        <v>0.15270667356185055</v>
      </c>
      <c r="F66" s="71">
        <f t="shared" si="7"/>
        <v>15.270667356185056</v>
      </c>
      <c r="G66" s="84">
        <f t="shared" si="8"/>
        <v>156.21892705377311</v>
      </c>
      <c r="H66" s="43"/>
      <c r="I66" s="185">
        <f t="shared" si="9"/>
        <v>10007.631851875876</v>
      </c>
      <c r="J66" s="8"/>
      <c r="K66" s="8"/>
      <c r="L66" s="8"/>
      <c r="M66" s="8"/>
      <c r="N66" s="8"/>
      <c r="O66" s="8"/>
      <c r="P66" s="8"/>
      <c r="Q66" s="8"/>
      <c r="R66" s="8"/>
      <c r="S66" s="8"/>
      <c r="T66" s="8"/>
      <c r="U66" s="8"/>
      <c r="V66" s="8"/>
      <c r="W66" s="8"/>
      <c r="X66" s="8"/>
      <c r="Y66" s="8"/>
      <c r="Z66" s="8"/>
      <c r="AA66" s="8"/>
      <c r="AB66" s="8"/>
      <c r="AC66" s="8"/>
      <c r="AD66" s="8"/>
    </row>
    <row r="67" spans="1:30" ht="15">
      <c r="A67" s="58"/>
      <c r="B67" s="69">
        <v>37</v>
      </c>
      <c r="C67" s="43" t="s">
        <v>265</v>
      </c>
      <c r="D67" s="69">
        <v>8.5259056866209808E-3</v>
      </c>
      <c r="E67" s="43">
        <f t="shared" si="6"/>
        <v>0.15592918125277025</v>
      </c>
      <c r="F67" s="71">
        <f t="shared" si="7"/>
        <v>15.592918125277025</v>
      </c>
      <c r="G67" s="84">
        <f t="shared" si="8"/>
        <v>159.51555242158398</v>
      </c>
      <c r="H67" s="43"/>
      <c r="I67" s="185">
        <f t="shared" si="9"/>
        <v>10218.818893400297</v>
      </c>
      <c r="J67" s="8"/>
      <c r="K67" s="8"/>
      <c r="L67" s="8"/>
      <c r="M67" s="8"/>
      <c r="N67" s="8"/>
      <c r="O67" s="8"/>
      <c r="P67" s="8"/>
      <c r="Q67" s="8"/>
      <c r="R67" s="8"/>
      <c r="S67" s="8"/>
      <c r="T67" s="8"/>
      <c r="U67" s="8"/>
      <c r="V67" s="8"/>
      <c r="W67" s="8"/>
      <c r="X67" s="8"/>
      <c r="Y67" s="8"/>
      <c r="Z67" s="8"/>
      <c r="AA67" s="8"/>
      <c r="AB67" s="8"/>
      <c r="AC67" s="8"/>
      <c r="AD67" s="8"/>
    </row>
    <row r="68" spans="1:30" ht="15">
      <c r="A68" s="58"/>
      <c r="B68" s="69">
        <v>38</v>
      </c>
      <c r="C68" s="43" t="s">
        <v>266</v>
      </c>
      <c r="D68" s="69">
        <v>9.1378394590076496E-3</v>
      </c>
      <c r="E68" s="43">
        <f t="shared" si="6"/>
        <v>0.15927641329801417</v>
      </c>
      <c r="F68" s="71">
        <f t="shared" si="7"/>
        <v>15.927641329801418</v>
      </c>
      <c r="G68" s="84">
        <f t="shared" si="8"/>
        <v>162.9397708038685</v>
      </c>
      <c r="H68" s="43"/>
      <c r="I68" s="185">
        <f t="shared" si="9"/>
        <v>10438.179745485359</v>
      </c>
      <c r="J68" s="8"/>
      <c r="K68" s="8"/>
      <c r="L68" s="8"/>
      <c r="M68" s="8"/>
      <c r="N68" s="8"/>
      <c r="O68" s="8"/>
      <c r="P68" s="8"/>
      <c r="Q68" s="8"/>
      <c r="R68" s="8"/>
      <c r="S68" s="8"/>
      <c r="T68" s="8"/>
      <c r="U68" s="8"/>
      <c r="V68" s="8"/>
      <c r="W68" s="8"/>
      <c r="X68" s="8"/>
      <c r="Y68" s="8"/>
      <c r="Z68" s="8"/>
      <c r="AA68" s="8"/>
      <c r="AB68" s="8"/>
      <c r="AC68" s="8"/>
      <c r="AD68" s="8"/>
    </row>
    <row r="69" spans="1:30" ht="15">
      <c r="A69" s="58"/>
      <c r="B69" s="69">
        <v>39</v>
      </c>
      <c r="C69" s="43" t="s">
        <v>267</v>
      </c>
      <c r="D69" s="69">
        <v>9.7936938370813895E-3</v>
      </c>
      <c r="E69" s="43">
        <f t="shared" si="6"/>
        <v>0.1627490508229707</v>
      </c>
      <c r="F69" s="71">
        <f t="shared" si="7"/>
        <v>16.274905082297071</v>
      </c>
      <c r="G69" s="84">
        <f t="shared" si="8"/>
        <v>166.49227899189901</v>
      </c>
      <c r="H69" s="43"/>
      <c r="I69" s="185">
        <f t="shared" si="9"/>
        <v>10665.759045683384</v>
      </c>
      <c r="J69" s="8"/>
      <c r="K69" s="8"/>
      <c r="L69" s="8"/>
      <c r="M69" s="8"/>
      <c r="N69" s="8"/>
      <c r="O69" s="8"/>
      <c r="P69" s="8"/>
      <c r="Q69" s="8"/>
      <c r="R69" s="8"/>
      <c r="S69" s="8"/>
      <c r="T69" s="8"/>
      <c r="U69" s="8"/>
      <c r="V69" s="8"/>
      <c r="W69" s="8"/>
      <c r="X69" s="8"/>
      <c r="Y69" s="8"/>
      <c r="Z69" s="8"/>
      <c r="AA69" s="8"/>
      <c r="AB69" s="8"/>
      <c r="AC69" s="8"/>
      <c r="AD69" s="8"/>
    </row>
    <row r="70" spans="1:30" ht="15">
      <c r="A70" s="58"/>
      <c r="B70" s="69">
        <v>40</v>
      </c>
      <c r="C70" s="43" t="s">
        <v>268</v>
      </c>
      <c r="D70" s="69">
        <v>1.0496621154789E-2</v>
      </c>
      <c r="E70" s="43">
        <f t="shared" si="6"/>
        <v>0.16634747751048146</v>
      </c>
      <c r="F70" s="71">
        <f t="shared" si="7"/>
        <v>16.634747751048145</v>
      </c>
      <c r="G70" s="84">
        <f t="shared" si="8"/>
        <v>170.17346949322254</v>
      </c>
      <c r="H70" s="43"/>
      <c r="I70" s="185">
        <f t="shared" si="9"/>
        <v>10901.581938649402</v>
      </c>
      <c r="J70" s="8"/>
      <c r="K70" s="8"/>
      <c r="L70" s="8"/>
      <c r="M70" s="8"/>
      <c r="N70" s="8"/>
      <c r="O70" s="8"/>
      <c r="P70" s="8"/>
      <c r="Q70" s="8"/>
      <c r="R70" s="8"/>
      <c r="S70" s="8"/>
      <c r="T70" s="8"/>
      <c r="U70" s="8"/>
      <c r="V70" s="8"/>
      <c r="W70" s="8"/>
      <c r="X70" s="8"/>
      <c r="Y70" s="8"/>
      <c r="Z70" s="8"/>
      <c r="AA70" s="8"/>
      <c r="AB70" s="8"/>
      <c r="AC70" s="8"/>
      <c r="AD70" s="8"/>
    </row>
    <row r="71" spans="1:30" ht="15">
      <c r="A71" s="58"/>
      <c r="B71" s="69">
        <v>41</v>
      </c>
      <c r="C71" s="43" t="s">
        <v>269</v>
      </c>
      <c r="D71" s="69">
        <v>1.125E-2</v>
      </c>
      <c r="E71" s="43">
        <f t="shared" si="6"/>
        <v>0.17007177593590783</v>
      </c>
      <c r="F71" s="71">
        <f t="shared" si="7"/>
        <v>17.007177593590782</v>
      </c>
      <c r="G71" s="84">
        <f t="shared" si="8"/>
        <v>173.98342678243372</v>
      </c>
      <c r="H71" s="43"/>
      <c r="I71" s="185">
        <f t="shared" si="9"/>
        <v>11145.65383595972</v>
      </c>
      <c r="J71" s="8"/>
      <c r="K71" s="8"/>
      <c r="L71" s="8"/>
      <c r="M71" s="8"/>
      <c r="N71" s="8"/>
      <c r="O71" s="8"/>
      <c r="P71" s="8"/>
      <c r="Q71" s="8"/>
      <c r="R71" s="8"/>
      <c r="S71" s="8"/>
      <c r="T71" s="8"/>
      <c r="U71" s="8"/>
      <c r="V71" s="8"/>
      <c r="W71" s="8"/>
      <c r="X71" s="8"/>
      <c r="Y71" s="8"/>
      <c r="Z71" s="8"/>
      <c r="AA71" s="8"/>
      <c r="AB71" s="8"/>
      <c r="AC71" s="8"/>
      <c r="AD71" s="8"/>
    </row>
    <row r="72" spans="1:30" ht="15">
      <c r="A72" s="58"/>
      <c r="B72" s="69">
        <v>42</v>
      </c>
      <c r="C72" s="43" t="s">
        <v>270</v>
      </c>
      <c r="D72" s="69">
        <v>1.2057451453533201E-2</v>
      </c>
      <c r="E72" s="43">
        <f t="shared" si="6"/>
        <v>0.1739217267761764</v>
      </c>
      <c r="F72" s="71">
        <f t="shared" si="7"/>
        <v>17.392172677617641</v>
      </c>
      <c r="G72" s="84">
        <f t="shared" si="8"/>
        <v>177.92192649202846</v>
      </c>
      <c r="H72" s="43"/>
      <c r="I72" s="185">
        <f t="shared" si="9"/>
        <v>11397.96036427672</v>
      </c>
      <c r="J72" s="8"/>
      <c r="K72" s="8"/>
      <c r="L72" s="8"/>
      <c r="M72" s="8"/>
      <c r="N72" s="8"/>
      <c r="O72" s="8"/>
      <c r="P72" s="8"/>
      <c r="Q72" s="8"/>
      <c r="R72" s="8"/>
      <c r="S72" s="8"/>
      <c r="T72" s="8"/>
      <c r="U72" s="8"/>
      <c r="V72" s="8"/>
      <c r="W72" s="8"/>
      <c r="X72" s="8"/>
      <c r="Y72" s="8"/>
      <c r="Z72" s="8"/>
      <c r="AA72" s="8"/>
      <c r="AB72" s="8"/>
      <c r="AC72" s="8"/>
      <c r="AD72" s="8"/>
    </row>
    <row r="73" spans="1:30" ht="15">
      <c r="A73" s="58"/>
      <c r="B73" s="69">
        <v>43</v>
      </c>
      <c r="C73" s="43" t="s">
        <v>271</v>
      </c>
      <c r="D73" s="69">
        <v>1.2922856493716601E-2</v>
      </c>
      <c r="E73" s="43">
        <f t="shared" si="6"/>
        <v>0.17789681090887047</v>
      </c>
      <c r="F73" s="71">
        <f t="shared" si="7"/>
        <v>17.789681090887047</v>
      </c>
      <c r="G73" s="84">
        <f t="shared" si="8"/>
        <v>181.9884375597745</v>
      </c>
      <c r="H73" s="43"/>
      <c r="I73" s="185">
        <f t="shared" si="9"/>
        <v>11658.467502912827</v>
      </c>
      <c r="J73" s="8"/>
      <c r="K73" s="8"/>
      <c r="L73" s="8"/>
      <c r="M73" s="8"/>
      <c r="N73" s="8"/>
      <c r="O73" s="8"/>
      <c r="P73" s="8"/>
      <c r="Q73" s="8"/>
      <c r="R73" s="8"/>
      <c r="S73" s="8"/>
      <c r="T73" s="8"/>
      <c r="U73" s="8"/>
      <c r="V73" s="8"/>
      <c r="W73" s="8"/>
      <c r="X73" s="8"/>
      <c r="Y73" s="8"/>
      <c r="Z73" s="8"/>
      <c r="AA73" s="8"/>
      <c r="AB73" s="8"/>
      <c r="AC73" s="8"/>
      <c r="AD73" s="8"/>
    </row>
    <row r="74" spans="1:30" ht="15">
      <c r="A74" s="58"/>
      <c r="B74" s="69">
        <v>44</v>
      </c>
      <c r="C74" s="43" t="s">
        <v>272</v>
      </c>
      <c r="D74" s="69">
        <v>1.3850374650130301E-2</v>
      </c>
      <c r="E74" s="43">
        <f t="shared" si="6"/>
        <v>0.1819962143587926</v>
      </c>
      <c r="F74" s="71">
        <f t="shared" si="7"/>
        <v>18.199621435879259</v>
      </c>
      <c r="G74" s="84">
        <f t="shared" si="8"/>
        <v>186.18212728904481</v>
      </c>
      <c r="H74" s="43"/>
      <c r="I74" s="185">
        <f t="shared" si="9"/>
        <v>11927.121908003473</v>
      </c>
      <c r="J74" s="8"/>
      <c r="K74" s="8"/>
      <c r="L74" s="8"/>
      <c r="M74" s="8"/>
      <c r="N74" s="8"/>
      <c r="O74" s="8"/>
      <c r="P74" s="8"/>
      <c r="Q74" s="8"/>
      <c r="R74" s="8"/>
      <c r="S74" s="8"/>
      <c r="T74" s="8"/>
      <c r="U74" s="8"/>
      <c r="V74" s="8"/>
      <c r="W74" s="8"/>
      <c r="X74" s="8"/>
      <c r="Y74" s="8"/>
      <c r="Z74" s="8"/>
      <c r="AA74" s="8"/>
      <c r="AB74" s="8"/>
      <c r="AC74" s="8"/>
      <c r="AD74" s="8"/>
    </row>
    <row r="75" spans="1:30" ht="15">
      <c r="A75" s="58"/>
      <c r="B75" s="69">
        <v>45</v>
      </c>
      <c r="C75" s="43" t="s">
        <v>273</v>
      </c>
      <c r="D75" s="69">
        <v>1.4844463996195E-2</v>
      </c>
      <c r="E75" s="43">
        <f t="shared" si="6"/>
        <v>0.18621883599233502</v>
      </c>
      <c r="F75" s="71">
        <f t="shared" si="7"/>
        <v>18.621883599233502</v>
      </c>
      <c r="G75" s="84">
        <f t="shared" si="8"/>
        <v>190.50186922015874</v>
      </c>
      <c r="H75" s="43"/>
      <c r="I75" s="185">
        <f t="shared" si="9"/>
        <v>12203.851416757676</v>
      </c>
      <c r="J75" s="8"/>
      <c r="K75" s="8"/>
      <c r="L75" s="8"/>
      <c r="M75" s="8"/>
      <c r="N75" s="8"/>
      <c r="O75" s="8"/>
      <c r="P75" s="8"/>
      <c r="Q75" s="8"/>
      <c r="R75" s="8"/>
      <c r="S75" s="8"/>
      <c r="T75" s="8"/>
      <c r="U75" s="8"/>
      <c r="V75" s="8"/>
      <c r="W75" s="8"/>
      <c r="X75" s="8"/>
      <c r="Y75" s="8"/>
      <c r="Z75" s="8"/>
      <c r="AA75" s="8"/>
      <c r="AB75" s="8"/>
      <c r="AC75" s="8"/>
      <c r="AD75" s="8"/>
    </row>
    <row r="76" spans="1:30" ht="15">
      <c r="A76" s="58"/>
      <c r="B76" s="69">
        <v>46</v>
      </c>
      <c r="C76" s="43" t="s">
        <v>274</v>
      </c>
      <c r="D76" s="69">
        <v>1.5909902576697301E-2</v>
      </c>
      <c r="E76" s="43">
        <f t="shared" si="6"/>
        <v>0.19056329780625963</v>
      </c>
      <c r="F76" s="71">
        <f t="shared" si="7"/>
        <v>19.056329780625962</v>
      </c>
      <c r="G76" s="84">
        <f t="shared" si="8"/>
        <v>194.94625365580362</v>
      </c>
      <c r="H76" s="43"/>
      <c r="I76" s="185">
        <f t="shared" si="9"/>
        <v>12488.565721733225</v>
      </c>
      <c r="J76" s="8"/>
      <c r="K76" s="8"/>
      <c r="L76" s="8"/>
      <c r="M76" s="8"/>
      <c r="N76" s="8"/>
      <c r="O76" s="8"/>
      <c r="P76" s="8"/>
      <c r="Q76" s="8"/>
      <c r="R76" s="8"/>
      <c r="S76" s="8"/>
      <c r="T76" s="8"/>
      <c r="U76" s="8"/>
      <c r="V76" s="8"/>
      <c r="W76" s="8"/>
      <c r="X76" s="8"/>
      <c r="Y76" s="8"/>
      <c r="Z76" s="8"/>
      <c r="AA76" s="8"/>
      <c r="AB76" s="8"/>
      <c r="AC76" s="8"/>
      <c r="AD76" s="8"/>
    </row>
    <row r="77" spans="1:30" ht="15">
      <c r="A77" s="58"/>
      <c r="B77" s="69">
        <v>47</v>
      </c>
      <c r="C77" s="43" t="s">
        <v>275</v>
      </c>
      <c r="D77" s="69">
        <v>1.7051811373241899E-2</v>
      </c>
      <c r="E77" s="43">
        <f t="shared" si="6"/>
        <v>0.19502795760900057</v>
      </c>
      <c r="F77" s="71">
        <f t="shared" si="7"/>
        <v>19.502795760900057</v>
      </c>
      <c r="G77" s="84">
        <f t="shared" si="8"/>
        <v>199.51360063400759</v>
      </c>
      <c r="H77" s="43"/>
      <c r="I77" s="185">
        <f t="shared" si="9"/>
        <v>12781.157201905853</v>
      </c>
      <c r="J77" s="8"/>
      <c r="K77" s="8"/>
      <c r="L77" s="8"/>
      <c r="M77" s="8"/>
      <c r="N77" s="8"/>
      <c r="O77" s="8"/>
      <c r="P77" s="8"/>
      <c r="Q77" s="8"/>
      <c r="R77" s="8"/>
      <c r="S77" s="8"/>
      <c r="T77" s="8"/>
      <c r="U77" s="8"/>
      <c r="V77" s="8"/>
      <c r="W77" s="8"/>
      <c r="X77" s="8"/>
      <c r="Y77" s="8"/>
      <c r="Z77" s="8"/>
      <c r="AA77" s="8"/>
      <c r="AB77" s="8"/>
      <c r="AC77" s="8"/>
      <c r="AD77" s="8"/>
    </row>
    <row r="78" spans="1:30" ht="15">
      <c r="A78" s="58"/>
      <c r="B78" s="69">
        <v>48</v>
      </c>
      <c r="C78" s="43" t="s">
        <v>276</v>
      </c>
      <c r="D78" s="69">
        <v>1.8275678918015299E-2</v>
      </c>
      <c r="E78" s="43">
        <f t="shared" si="6"/>
        <v>0.19961092385082146</v>
      </c>
      <c r="F78" s="71">
        <f t="shared" si="7"/>
        <v>19.961092385082146</v>
      </c>
      <c r="G78" s="84">
        <f t="shared" si="8"/>
        <v>204.20197509939035</v>
      </c>
      <c r="H78" s="43"/>
      <c r="I78" s="185">
        <f t="shared" si="9"/>
        <v>13081.501894563584</v>
      </c>
      <c r="J78" s="8"/>
      <c r="K78" s="8"/>
      <c r="L78" s="8"/>
      <c r="M78" s="8"/>
      <c r="N78" s="8"/>
      <c r="O78" s="8"/>
      <c r="P78" s="8"/>
      <c r="Q78" s="8"/>
      <c r="R78" s="8"/>
      <c r="S78" s="8"/>
      <c r="T78" s="8"/>
      <c r="U78" s="8"/>
      <c r="V78" s="8"/>
      <c r="W78" s="8"/>
      <c r="X78" s="8"/>
      <c r="Y78" s="8"/>
      <c r="Z78" s="8"/>
      <c r="AA78" s="8"/>
      <c r="AB78" s="8"/>
      <c r="AC78" s="8"/>
      <c r="AD78" s="8"/>
    </row>
    <row r="79" spans="1:30" ht="15">
      <c r="A79" s="58"/>
      <c r="B79" s="69">
        <v>49</v>
      </c>
      <c r="C79" s="43" t="s">
        <v>277</v>
      </c>
      <c r="D79" s="69">
        <v>1.9587387674162699E-2</v>
      </c>
      <c r="E79" s="43">
        <f t="shared" si="6"/>
        <v>0.20431007232522969</v>
      </c>
      <c r="F79" s="71">
        <f t="shared" si="7"/>
        <v>20.431007232522969</v>
      </c>
      <c r="G79" s="84">
        <f t="shared" si="8"/>
        <v>209.00920398870997</v>
      </c>
      <c r="H79" s="43"/>
      <c r="I79" s="185">
        <f t="shared" si="9"/>
        <v>13389.460589833927</v>
      </c>
      <c r="J79" s="8"/>
      <c r="K79" s="8"/>
      <c r="L79" s="8"/>
      <c r="M79" s="8"/>
      <c r="N79" s="8"/>
      <c r="O79" s="8"/>
      <c r="P79" s="8"/>
      <c r="Q79" s="8"/>
      <c r="R79" s="8"/>
      <c r="S79" s="8"/>
      <c r="T79" s="8"/>
      <c r="U79" s="8"/>
      <c r="V79" s="8"/>
      <c r="W79" s="8"/>
      <c r="X79" s="8"/>
      <c r="Y79" s="8"/>
      <c r="Z79" s="8"/>
      <c r="AA79" s="8"/>
      <c r="AB79" s="8"/>
      <c r="AC79" s="8"/>
      <c r="AD79" s="8"/>
    </row>
    <row r="80" spans="1:30" ht="15">
      <c r="A80" s="58"/>
      <c r="B80" s="69">
        <v>50</v>
      </c>
      <c r="C80" s="43" t="s">
        <v>278</v>
      </c>
      <c r="D80" s="69">
        <v>2.0993242309578102E-2</v>
      </c>
      <c r="E80" s="43">
        <f t="shared" si="6"/>
        <v>0.20912306443884285</v>
      </c>
      <c r="F80" s="71">
        <f t="shared" si="7"/>
        <v>20.912306443884283</v>
      </c>
      <c r="G80" s="84">
        <f t="shared" si="8"/>
        <v>213.93289492093623</v>
      </c>
      <c r="H80" s="43"/>
      <c r="I80" s="185">
        <f t="shared" si="9"/>
        <v>13704.880027999567</v>
      </c>
      <c r="J80" s="8"/>
      <c r="K80" s="8"/>
      <c r="L80" s="8"/>
      <c r="M80" s="8"/>
      <c r="N80" s="8"/>
      <c r="O80" s="8"/>
      <c r="P80" s="8"/>
      <c r="Q80" s="8"/>
      <c r="R80" s="8"/>
      <c r="S80" s="8"/>
      <c r="T80" s="8"/>
      <c r="U80" s="8"/>
      <c r="V80" s="8"/>
      <c r="W80" s="8"/>
      <c r="X80" s="8"/>
      <c r="Y80" s="8"/>
      <c r="Z80" s="8"/>
      <c r="AA80" s="8"/>
      <c r="AB80" s="8"/>
      <c r="AC80" s="8"/>
      <c r="AD80" s="8"/>
    </row>
    <row r="81" spans="1:30" ht="15">
      <c r="A81" s="58"/>
      <c r="B81" s="69">
        <v>51</v>
      </c>
      <c r="C81" s="43" t="s">
        <v>279</v>
      </c>
      <c r="D81" s="69">
        <v>2.2499999999999999E-2</v>
      </c>
      <c r="E81" s="43">
        <f t="shared" si="6"/>
        <v>0.21404736673069727</v>
      </c>
      <c r="F81" s="71">
        <f t="shared" si="7"/>
        <v>21.404736673069728</v>
      </c>
      <c r="G81" s="84">
        <f t="shared" si="8"/>
        <v>218.97045616550329</v>
      </c>
      <c r="H81" s="43"/>
      <c r="I81" s="185">
        <f t="shared" si="9"/>
        <v>14027.594178696245</v>
      </c>
      <c r="J81" s="8"/>
      <c r="K81" s="8"/>
      <c r="L81" s="8"/>
      <c r="M81" s="8"/>
      <c r="N81" s="8"/>
      <c r="O81" s="8"/>
      <c r="P81" s="8"/>
      <c r="Q81" s="8"/>
      <c r="R81" s="8"/>
      <c r="S81" s="8"/>
      <c r="T81" s="8"/>
      <c r="U81" s="8"/>
      <c r="V81" s="8"/>
      <c r="W81" s="8"/>
      <c r="X81" s="8"/>
      <c r="Y81" s="8"/>
      <c r="Z81" s="8"/>
      <c r="AA81" s="8"/>
      <c r="AB81" s="8"/>
      <c r="AC81" s="8"/>
      <c r="AD81" s="8"/>
    </row>
    <row r="82" spans="1:30" ht="15">
      <c r="A82" s="58"/>
      <c r="B82" s="69">
        <v>52</v>
      </c>
      <c r="C82" s="43" t="s">
        <v>280</v>
      </c>
      <c r="D82" s="69">
        <v>2.4114902907066499E-2</v>
      </c>
      <c r="E82" s="43">
        <f t="shared" si="6"/>
        <v>0.2190802713148986</v>
      </c>
      <c r="F82" s="71">
        <f t="shared" si="7"/>
        <v>21.90802713148986</v>
      </c>
      <c r="G82" s="84">
        <f t="shared" si="8"/>
        <v>224.11911755514126</v>
      </c>
      <c r="H82" s="43"/>
      <c r="I82" s="185">
        <f t="shared" si="9"/>
        <v>14357.425580621879</v>
      </c>
      <c r="J82" s="8"/>
      <c r="K82" s="8"/>
      <c r="L82" s="8"/>
      <c r="M82" s="8"/>
      <c r="N82" s="8"/>
      <c r="O82" s="8"/>
      <c r="P82" s="8"/>
      <c r="Q82" s="8"/>
      <c r="R82" s="8"/>
      <c r="S82" s="8"/>
      <c r="T82" s="8"/>
      <c r="U82" s="8"/>
      <c r="V82" s="8"/>
      <c r="W82" s="8"/>
      <c r="X82" s="8"/>
      <c r="Y82" s="8"/>
      <c r="Z82" s="8"/>
      <c r="AA82" s="8"/>
      <c r="AB82" s="8"/>
      <c r="AC82" s="8"/>
      <c r="AD82" s="8"/>
    </row>
    <row r="83" spans="1:30" ht="15">
      <c r="A83" s="58"/>
      <c r="B83" s="69">
        <v>53</v>
      </c>
      <c r="C83" s="43" t="s">
        <v>281</v>
      </c>
      <c r="D83" s="69">
        <v>2.5845712987433201E-2</v>
      </c>
      <c r="E83" s="43">
        <f t="shared" si="6"/>
        <v>0.22421891692205909</v>
      </c>
      <c r="F83" s="71">
        <f t="shared" si="7"/>
        <v>22.421891692205907</v>
      </c>
      <c r="G83" s="84">
        <f t="shared" si="8"/>
        <v>229.37595201126643</v>
      </c>
      <c r="H83" s="43"/>
      <c r="I83" s="185">
        <f t="shared" si="9"/>
        <v>14694.186720487141</v>
      </c>
      <c r="J83" s="8"/>
      <c r="K83" s="8"/>
      <c r="L83" s="8"/>
      <c r="M83" s="8"/>
      <c r="N83" s="8"/>
      <c r="O83" s="8"/>
      <c r="P83" s="8"/>
      <c r="Q83" s="8"/>
      <c r="R83" s="8"/>
      <c r="S83" s="8"/>
      <c r="T83" s="8"/>
      <c r="U83" s="8"/>
      <c r="V83" s="8"/>
      <c r="W83" s="8"/>
      <c r="X83" s="8"/>
      <c r="Y83" s="8"/>
      <c r="Z83" s="8"/>
      <c r="AA83" s="8"/>
      <c r="AB83" s="8"/>
      <c r="AC83" s="8"/>
      <c r="AD83" s="8"/>
    </row>
    <row r="84" spans="1:30" ht="15">
      <c r="A84" s="58"/>
      <c r="B84" s="69">
        <v>54</v>
      </c>
      <c r="C84" s="43" t="s">
        <v>282</v>
      </c>
      <c r="D84" s="69">
        <v>2.7700749300260601E-2</v>
      </c>
      <c r="E84" s="43">
        <f t="shared" si="6"/>
        <v>0.22946031022451935</v>
      </c>
      <c r="F84" s="71">
        <f t="shared" si="7"/>
        <v>22.946031022451933</v>
      </c>
      <c r="G84" s="84">
        <f t="shared" si="8"/>
        <v>234.7378973596833</v>
      </c>
      <c r="H84" s="43"/>
      <c r="I84" s="185">
        <f t="shared" si="9"/>
        <v>15037.681430563876</v>
      </c>
      <c r="J84" s="8"/>
      <c r="K84" s="8"/>
      <c r="L84" s="8"/>
      <c r="M84" s="8"/>
      <c r="N84" s="8"/>
      <c r="O84" s="8"/>
      <c r="P84" s="8"/>
      <c r="Q84" s="8"/>
      <c r="R84" s="8"/>
      <c r="S84" s="8"/>
      <c r="T84" s="8"/>
      <c r="U84" s="8"/>
      <c r="V84" s="8"/>
      <c r="W84" s="8"/>
      <c r="X84" s="8"/>
      <c r="Y84" s="8"/>
      <c r="Z84" s="8"/>
      <c r="AA84" s="8"/>
      <c r="AB84" s="8"/>
      <c r="AC84" s="8"/>
      <c r="AD84" s="8"/>
    </row>
    <row r="85" spans="1:30" ht="15">
      <c r="A85" s="58"/>
      <c r="B85" s="69">
        <v>55</v>
      </c>
      <c r="C85" s="43" t="s">
        <v>283</v>
      </c>
      <c r="D85" s="69">
        <v>2.9688927992390101E-2</v>
      </c>
      <c r="E85" s="43">
        <f t="shared" si="6"/>
        <v>0.23480134714695344</v>
      </c>
      <c r="F85" s="71">
        <f t="shared" si="7"/>
        <v>23.480134714695346</v>
      </c>
      <c r="G85" s="84">
        <f t="shared" si="8"/>
        <v>240.20177813133338</v>
      </c>
      <c r="H85" s="43"/>
      <c r="I85" s="185">
        <f t="shared" si="9"/>
        <v>15387.706285275593</v>
      </c>
      <c r="J85" s="8"/>
      <c r="K85" s="8"/>
      <c r="L85" s="8"/>
      <c r="M85" s="8"/>
      <c r="N85" s="8"/>
      <c r="O85" s="8"/>
      <c r="P85" s="8"/>
      <c r="Q85" s="8"/>
      <c r="R85" s="8"/>
      <c r="S85" s="8"/>
      <c r="T85" s="8"/>
      <c r="U85" s="8"/>
      <c r="V85" s="8"/>
      <c r="W85" s="8"/>
      <c r="X85" s="8"/>
      <c r="Y85" s="8"/>
      <c r="Z85" s="8"/>
      <c r="AA85" s="8"/>
      <c r="AB85" s="8"/>
      <c r="AC85" s="8"/>
      <c r="AD85" s="8"/>
    </row>
    <row r="86" spans="1:30" ht="15">
      <c r="A86" s="58"/>
      <c r="B86" s="69">
        <v>56</v>
      </c>
      <c r="C86" s="43" t="s">
        <v>284</v>
      </c>
      <c r="D86" s="69">
        <v>3.1819805153394602E-2</v>
      </c>
      <c r="E86" s="43">
        <f t="shared" si="6"/>
        <v>0.24023883388644002</v>
      </c>
      <c r="F86" s="71">
        <f t="shared" si="7"/>
        <v>24.023883388644002</v>
      </c>
      <c r="G86" s="84">
        <f t="shared" si="8"/>
        <v>245.76432706582813</v>
      </c>
      <c r="H86" s="43"/>
      <c r="I86" s="185">
        <f t="shared" si="9"/>
        <v>15744.051978747846</v>
      </c>
      <c r="J86" s="8"/>
      <c r="K86" s="8"/>
      <c r="L86" s="8"/>
      <c r="M86" s="8"/>
      <c r="N86" s="8"/>
      <c r="O86" s="8"/>
      <c r="P86" s="8"/>
      <c r="Q86" s="8"/>
      <c r="R86" s="8"/>
      <c r="S86" s="8"/>
      <c r="T86" s="8"/>
      <c r="U86" s="8"/>
      <c r="V86" s="8"/>
      <c r="W86" s="8"/>
      <c r="X86" s="8"/>
      <c r="Y86" s="8"/>
      <c r="Z86" s="8"/>
      <c r="AA86" s="8"/>
      <c r="AB86" s="8"/>
      <c r="AC86" s="8"/>
      <c r="AD86" s="8"/>
    </row>
    <row r="87" spans="1:30" ht="15">
      <c r="A87" s="58"/>
      <c r="B87" s="69">
        <v>57</v>
      </c>
      <c r="C87" s="43" t="s">
        <v>285</v>
      </c>
      <c r="D87" s="69">
        <v>3.4103622746483903E-2</v>
      </c>
      <c r="E87" s="43">
        <f t="shared" si="6"/>
        <v>0.24576950739323167</v>
      </c>
      <c r="F87" s="71">
        <f t="shared" si="7"/>
        <v>24.576950739323166</v>
      </c>
      <c r="G87" s="84">
        <f t="shared" si="8"/>
        <v>251.42220606327601</v>
      </c>
      <c r="H87" s="43"/>
      <c r="I87" s="185">
        <f t="shared" si="9"/>
        <v>16106.504667015437</v>
      </c>
      <c r="J87" s="8"/>
      <c r="K87" s="8"/>
      <c r="L87" s="8"/>
      <c r="M87" s="8"/>
      <c r="N87" s="8"/>
      <c r="O87" s="8"/>
      <c r="P87" s="8"/>
      <c r="Q87" s="8"/>
      <c r="R87" s="8"/>
      <c r="S87" s="8"/>
      <c r="T87" s="8"/>
      <c r="U87" s="8"/>
      <c r="V87" s="8"/>
      <c r="W87" s="8"/>
      <c r="X87" s="8"/>
      <c r="Y87" s="8"/>
      <c r="Z87" s="8"/>
      <c r="AA87" s="8"/>
      <c r="AB87" s="8"/>
      <c r="AC87" s="8"/>
      <c r="AD87" s="8"/>
    </row>
    <row r="88" spans="1:30" ht="15">
      <c r="A88" s="58"/>
      <c r="B88" s="69">
        <v>58</v>
      </c>
      <c r="C88" s="43" t="s">
        <v>286</v>
      </c>
      <c r="D88" s="69">
        <v>3.6551357836030599E-2</v>
      </c>
      <c r="E88" s="43">
        <f t="shared" si="6"/>
        <v>0.25139005509396617</v>
      </c>
      <c r="F88" s="71">
        <f t="shared" si="7"/>
        <v>25.139005509396618</v>
      </c>
      <c r="G88" s="84">
        <f t="shared" si="8"/>
        <v>257.17202636112739</v>
      </c>
      <c r="H88" s="43"/>
      <c r="I88" s="185">
        <f t="shared" si="9"/>
        <v>16474.847260583072</v>
      </c>
      <c r="J88" s="8"/>
      <c r="K88" s="8"/>
      <c r="L88" s="8"/>
      <c r="M88" s="8"/>
      <c r="N88" s="8"/>
      <c r="O88" s="8"/>
      <c r="P88" s="8"/>
      <c r="Q88" s="8"/>
      <c r="R88" s="8"/>
      <c r="S88" s="8"/>
      <c r="T88" s="8"/>
      <c r="U88" s="8"/>
      <c r="V88" s="8"/>
      <c r="W88" s="8"/>
      <c r="X88" s="8"/>
      <c r="Y88" s="8"/>
      <c r="Z88" s="8"/>
      <c r="AA88" s="8"/>
      <c r="AB88" s="8"/>
      <c r="AC88" s="8"/>
      <c r="AD88" s="8"/>
    </row>
    <row r="89" spans="1:30" ht="15">
      <c r="A89" s="58"/>
      <c r="B89" s="69">
        <v>59</v>
      </c>
      <c r="C89" s="43" t="s">
        <v>287</v>
      </c>
      <c r="D89" s="69">
        <v>3.9174775348325502E-2</v>
      </c>
      <c r="E89" s="43">
        <f t="shared" si="6"/>
        <v>0.25709713367165599</v>
      </c>
      <c r="F89" s="71">
        <f t="shared" si="7"/>
        <v>25.709713367165598</v>
      </c>
      <c r="G89" s="84">
        <f t="shared" si="8"/>
        <v>263.01036774610407</v>
      </c>
      <c r="H89" s="43"/>
      <c r="I89" s="185">
        <f t="shared" si="9"/>
        <v>16848.860655171975</v>
      </c>
      <c r="J89" s="8"/>
      <c r="K89" s="8"/>
      <c r="L89" s="8"/>
      <c r="M89" s="8"/>
      <c r="N89" s="8"/>
      <c r="O89" s="8"/>
      <c r="P89" s="8"/>
      <c r="Q89" s="8"/>
      <c r="R89" s="8"/>
      <c r="S89" s="8"/>
      <c r="T89" s="8"/>
      <c r="U89" s="8"/>
      <c r="V89" s="8"/>
      <c r="W89" s="8"/>
      <c r="X89" s="8"/>
      <c r="Y89" s="8"/>
      <c r="Z89" s="8"/>
      <c r="AA89" s="8"/>
      <c r="AB89" s="8"/>
      <c r="AC89" s="8"/>
      <c r="AD89" s="8"/>
    </row>
    <row r="90" spans="1:30" ht="15">
      <c r="A90" s="58"/>
      <c r="B90" s="69">
        <v>60</v>
      </c>
      <c r="C90" s="43" t="s">
        <v>288</v>
      </c>
      <c r="D90" s="69">
        <v>4.19864846191563E-2</v>
      </c>
      <c r="E90" s="43">
        <f t="shared" si="6"/>
        <v>0.26288738675029444</v>
      </c>
      <c r="F90" s="71">
        <f t="shared" si="7"/>
        <v>26.288738675029443</v>
      </c>
      <c r="G90" s="84">
        <f t="shared" si="8"/>
        <v>268.93379664555118</v>
      </c>
      <c r="H90" s="43"/>
      <c r="I90" s="185">
        <f t="shared" si="9"/>
        <v>17228.324890680546</v>
      </c>
      <c r="J90" s="8"/>
      <c r="K90" s="8"/>
      <c r="L90" s="8"/>
      <c r="M90" s="8"/>
      <c r="N90" s="8"/>
      <c r="O90" s="8"/>
      <c r="P90" s="8"/>
      <c r="Q90" s="8"/>
      <c r="R90" s="8"/>
      <c r="S90" s="8"/>
      <c r="T90" s="8"/>
      <c r="U90" s="8"/>
      <c r="V90" s="8"/>
      <c r="W90" s="8"/>
      <c r="X90" s="8"/>
      <c r="Y90" s="8"/>
      <c r="Z90" s="8"/>
      <c r="AA90" s="8"/>
      <c r="AB90" s="8"/>
      <c r="AC90" s="8"/>
      <c r="AD90" s="8"/>
    </row>
    <row r="91" spans="1:30" ht="15">
      <c r="A91" s="58"/>
      <c r="B91" s="69">
        <v>61</v>
      </c>
      <c r="C91" s="43" t="s">
        <v>289</v>
      </c>
      <c r="D91" s="69">
        <v>4.4999999999999998E-2</v>
      </c>
      <c r="E91" s="43">
        <f t="shared" si="6"/>
        <v>0.26875746136521922</v>
      </c>
      <c r="F91" s="71">
        <f t="shared" si="7"/>
        <v>26.875746136521922</v>
      </c>
      <c r="G91" s="84">
        <f t="shared" si="8"/>
        <v>274.93888297661925</v>
      </c>
      <c r="H91" s="43"/>
      <c r="I91" s="185">
        <f t="shared" si="9"/>
        <v>17613.02023056964</v>
      </c>
      <c r="J91" s="8"/>
      <c r="K91" s="8"/>
      <c r="L91" s="8"/>
      <c r="M91" s="8"/>
      <c r="N91" s="8"/>
      <c r="O91" s="8"/>
      <c r="P91" s="8"/>
      <c r="Q91" s="8"/>
      <c r="R91" s="8"/>
      <c r="S91" s="8"/>
      <c r="T91" s="8"/>
      <c r="U91" s="8"/>
      <c r="V91" s="8"/>
      <c r="W91" s="8"/>
      <c r="X91" s="8"/>
      <c r="Y91" s="8"/>
      <c r="Z91" s="8"/>
      <c r="AA91" s="8"/>
      <c r="AB91" s="8"/>
      <c r="AC91" s="8"/>
      <c r="AD91" s="8"/>
    </row>
    <row r="92" spans="1:30" ht="15">
      <c r="A92" s="58"/>
      <c r="B92" s="69">
        <v>62</v>
      </c>
      <c r="C92" s="43" t="s">
        <v>290</v>
      </c>
      <c r="D92" s="69">
        <v>4.8229805814133102E-2</v>
      </c>
      <c r="E92" s="43">
        <f t="shared" si="6"/>
        <v>0.27470402313259557</v>
      </c>
      <c r="F92" s="71">
        <f t="shared" si="7"/>
        <v>27.470402313259555</v>
      </c>
      <c r="G92" s="84">
        <f t="shared" si="8"/>
        <v>281.02221566464527</v>
      </c>
      <c r="H92" s="43"/>
      <c r="I92" s="185">
        <f t="shared" si="9"/>
        <v>18002.72815599465</v>
      </c>
      <c r="J92" s="8"/>
      <c r="K92" s="8"/>
      <c r="L92" s="8"/>
      <c r="M92" s="8"/>
      <c r="N92" s="8"/>
      <c r="O92" s="8"/>
      <c r="P92" s="8"/>
      <c r="Q92" s="8"/>
      <c r="R92" s="8"/>
      <c r="S92" s="8"/>
      <c r="T92" s="8"/>
      <c r="U92" s="8"/>
      <c r="V92" s="8"/>
      <c r="W92" s="8"/>
      <c r="X92" s="8"/>
      <c r="Y92" s="8"/>
      <c r="Z92" s="8"/>
      <c r="AA92" s="8"/>
      <c r="AB92" s="8"/>
      <c r="AC92" s="8"/>
      <c r="AD92" s="8"/>
    </row>
    <row r="93" spans="1:30" ht="15">
      <c r="A93" s="58"/>
      <c r="B93" s="69">
        <v>63</v>
      </c>
      <c r="C93" s="43" t="s">
        <v>291</v>
      </c>
      <c r="D93" s="69">
        <v>5.1691425974866499E-2</v>
      </c>
      <c r="E93" s="43">
        <f t="shared" si="6"/>
        <v>0.28072377006170962</v>
      </c>
      <c r="F93" s="71">
        <f t="shared" si="7"/>
        <v>28.072377006170964</v>
      </c>
      <c r="G93" s="84">
        <f t="shared" si="8"/>
        <v>287.18041677312897</v>
      </c>
      <c r="H93" s="43"/>
      <c r="I93" s="185">
        <f t="shared" si="9"/>
        <v>18397.23227099414</v>
      </c>
      <c r="J93" s="8"/>
      <c r="K93" s="8"/>
      <c r="L93" s="8"/>
      <c r="M93" s="8"/>
      <c r="N93" s="8"/>
      <c r="O93" s="8"/>
      <c r="P93" s="8"/>
      <c r="Q93" s="8"/>
      <c r="R93" s="8"/>
      <c r="S93" s="8"/>
      <c r="T93" s="8"/>
      <c r="U93" s="8"/>
      <c r="V93" s="8"/>
      <c r="W93" s="8"/>
      <c r="X93" s="8"/>
      <c r="Y93" s="8"/>
      <c r="Z93" s="8"/>
      <c r="AA93" s="8"/>
      <c r="AB93" s="8"/>
      <c r="AC93" s="8"/>
      <c r="AD93" s="8"/>
    </row>
    <row r="94" spans="1:30" ht="15">
      <c r="A94" s="58"/>
      <c r="B94" s="69">
        <v>64</v>
      </c>
      <c r="C94" s="43" t="s">
        <v>292</v>
      </c>
      <c r="D94" s="69">
        <v>5.5401498600521203E-2</v>
      </c>
      <c r="E94" s="43">
        <f t="shared" si="6"/>
        <v>0.2868134449816504</v>
      </c>
      <c r="F94" s="71">
        <f t="shared" si="7"/>
        <v>28.681344498165039</v>
      </c>
      <c r="G94" s="84">
        <f t="shared" si="8"/>
        <v>293.41015421622836</v>
      </c>
      <c r="H94" s="43"/>
      <c r="I94" s="185">
        <f t="shared" si="9"/>
        <v>18796.319116872459</v>
      </c>
      <c r="J94" s="8"/>
      <c r="K94" s="8"/>
      <c r="L94" s="8"/>
      <c r="M94" s="8"/>
      <c r="N94" s="8"/>
      <c r="O94" s="8"/>
      <c r="P94" s="8"/>
      <c r="Q94" s="8"/>
      <c r="R94" s="8"/>
      <c r="S94" s="8"/>
      <c r="T94" s="8"/>
      <c r="U94" s="8"/>
      <c r="V94" s="8"/>
      <c r="W94" s="8"/>
      <c r="X94" s="8"/>
      <c r="Y94" s="8"/>
      <c r="Z94" s="8"/>
      <c r="AA94" s="8"/>
      <c r="AB94" s="8"/>
      <c r="AC94" s="8"/>
      <c r="AD94" s="8"/>
    </row>
    <row r="95" spans="1:30" ht="15">
      <c r="A95" s="58"/>
      <c r="B95" s="69">
        <v>65</v>
      </c>
      <c r="C95" s="43" t="s">
        <v>293</v>
      </c>
      <c r="D95" s="69">
        <v>5.9377855984780202E-2</v>
      </c>
      <c r="E95" s="43">
        <f t="shared" si="6"/>
        <v>0.2929698465789739</v>
      </c>
      <c r="F95" s="71">
        <f t="shared" si="7"/>
        <v>29.29698465789739</v>
      </c>
      <c r="G95" s="84">
        <f t="shared" si="8"/>
        <v>299.70815305029032</v>
      </c>
      <c r="H95" s="43"/>
      <c r="I95" s="185">
        <f t="shared" ref="I95:I158" si="10">E95*(2^16-1)</f>
        <v>19199.778895553056</v>
      </c>
      <c r="J95" s="8"/>
      <c r="K95" s="8"/>
      <c r="L95" s="8"/>
      <c r="M95" s="8"/>
      <c r="N95" s="8"/>
      <c r="O95" s="8"/>
      <c r="P95" s="8"/>
      <c r="Q95" s="8"/>
      <c r="R95" s="8"/>
      <c r="S95" s="8"/>
      <c r="T95" s="8"/>
      <c r="U95" s="8"/>
      <c r="V95" s="8"/>
      <c r="W95" s="8"/>
      <c r="X95" s="8"/>
      <c r="Y95" s="8"/>
      <c r="Z95" s="8"/>
      <c r="AA95" s="8"/>
      <c r="AB95" s="8"/>
      <c r="AC95" s="8"/>
      <c r="AD95" s="8"/>
    </row>
    <row r="96" spans="1:30" ht="15">
      <c r="A96" s="58"/>
      <c r="B96" s="69">
        <v>66</v>
      </c>
      <c r="C96" s="43" t="s">
        <v>294</v>
      </c>
      <c r="D96" s="69">
        <v>6.3639610306789204E-2</v>
      </c>
      <c r="E96" s="43">
        <f t="shared" si="6"/>
        <v>0.29918983906481822</v>
      </c>
      <c r="F96" s="71">
        <f t="shared" si="7"/>
        <v>29.91898390648182</v>
      </c>
      <c r="G96" s="84">
        <f t="shared" si="8"/>
        <v>306.07120536330905</v>
      </c>
      <c r="H96" s="43"/>
      <c r="I96" s="185">
        <f t="shared" si="10"/>
        <v>19607.406103112862</v>
      </c>
      <c r="J96" s="8"/>
      <c r="K96" s="8"/>
      <c r="L96" s="8"/>
      <c r="M96" s="8"/>
      <c r="N96" s="8"/>
      <c r="O96" s="8"/>
      <c r="P96" s="8"/>
      <c r="Q96" s="8"/>
      <c r="R96" s="8"/>
      <c r="S96" s="8"/>
      <c r="T96" s="8"/>
      <c r="U96" s="8"/>
      <c r="V96" s="8"/>
      <c r="W96" s="8"/>
      <c r="X96" s="8"/>
      <c r="Y96" s="8"/>
      <c r="Z96" s="8"/>
      <c r="AA96" s="8"/>
      <c r="AB96" s="8"/>
      <c r="AC96" s="8"/>
      <c r="AD96" s="8"/>
    </row>
    <row r="97" spans="1:30" ht="15">
      <c r="A97" s="58"/>
      <c r="B97" s="69">
        <v>67</v>
      </c>
      <c r="C97" s="43" t="s">
        <v>295</v>
      </c>
      <c r="D97" s="69">
        <v>6.8207245492967902E-2</v>
      </c>
      <c r="E97" s="43">
        <f t="shared" si="6"/>
        <v>0.30547036050856935</v>
      </c>
      <c r="F97" s="71">
        <f t="shared" si="7"/>
        <v>30.547036050856935</v>
      </c>
      <c r="G97" s="84">
        <f t="shared" si="8"/>
        <v>312.49617880026642</v>
      </c>
      <c r="H97" s="43"/>
      <c r="I97" s="185">
        <f t="shared" si="10"/>
        <v>20019.000075929092</v>
      </c>
      <c r="J97" s="8"/>
      <c r="K97" s="8"/>
      <c r="L97" s="8"/>
      <c r="M97" s="8"/>
      <c r="N97" s="8"/>
      <c r="O97" s="8"/>
      <c r="P97" s="8"/>
      <c r="Q97" s="8"/>
      <c r="R97" s="8"/>
      <c r="S97" s="8"/>
      <c r="T97" s="8"/>
      <c r="U97" s="8"/>
      <c r="V97" s="8"/>
      <c r="W97" s="8"/>
      <c r="X97" s="8"/>
      <c r="Y97" s="8"/>
      <c r="Z97" s="8"/>
      <c r="AA97" s="8"/>
      <c r="AB97" s="8"/>
      <c r="AC97" s="8"/>
      <c r="AD97" s="8"/>
    </row>
    <row r="98" spans="1:30" ht="15">
      <c r="A98" s="58"/>
      <c r="B98" s="69">
        <v>68</v>
      </c>
      <c r="C98" s="43" t="s">
        <v>296</v>
      </c>
      <c r="D98" s="69">
        <v>7.31027156720611E-2</v>
      </c>
      <c r="E98" s="43">
        <f t="shared" si="6"/>
        <v>0.31180842989056956</v>
      </c>
      <c r="F98" s="71">
        <f t="shared" si="7"/>
        <v>31.180842989056956</v>
      </c>
      <c r="G98" s="84">
        <f t="shared" si="8"/>
        <v>318.98002377805267</v>
      </c>
      <c r="H98" s="43"/>
      <c r="I98" s="185">
        <f t="shared" si="10"/>
        <v>20434.365452878475</v>
      </c>
      <c r="J98" s="8"/>
      <c r="K98" s="8"/>
      <c r="L98" s="8"/>
      <c r="M98" s="8"/>
      <c r="N98" s="8"/>
      <c r="O98" s="8"/>
      <c r="P98" s="8"/>
      <c r="Q98" s="8"/>
      <c r="R98" s="8"/>
      <c r="S98" s="8"/>
      <c r="T98" s="8"/>
      <c r="U98" s="8"/>
      <c r="V98" s="8"/>
      <c r="W98" s="8"/>
      <c r="X98" s="8"/>
      <c r="Y98" s="8"/>
      <c r="Z98" s="8"/>
      <c r="AA98" s="8"/>
      <c r="AB98" s="8"/>
      <c r="AC98" s="8"/>
      <c r="AD98" s="8"/>
    </row>
    <row r="99" spans="1:30" ht="15">
      <c r="A99" s="58"/>
      <c r="B99" s="69">
        <v>69</v>
      </c>
      <c r="C99" s="43" t="s">
        <v>297</v>
      </c>
      <c r="D99" s="69">
        <v>7.8349550696651102E-2</v>
      </c>
      <c r="E99" s="43">
        <f t="shared" si="6"/>
        <v>0.31820115293860962</v>
      </c>
      <c r="F99" s="71">
        <f t="shared" si="7"/>
        <v>31.820115293860962</v>
      </c>
      <c r="G99" s="84">
        <f t="shared" si="8"/>
        <v>325.51977945619763</v>
      </c>
      <c r="H99" s="43"/>
      <c r="I99" s="185">
        <f t="shared" si="10"/>
        <v>20853.312557831781</v>
      </c>
      <c r="J99" s="8"/>
      <c r="K99" s="8"/>
      <c r="L99" s="8"/>
      <c r="M99" s="8"/>
      <c r="N99" s="8"/>
      <c r="O99" s="8"/>
      <c r="P99" s="8"/>
      <c r="Q99" s="8"/>
      <c r="R99" s="8"/>
      <c r="S99" s="8"/>
      <c r="T99" s="8"/>
      <c r="U99" s="8"/>
      <c r="V99" s="8"/>
      <c r="W99" s="8"/>
      <c r="X99" s="8"/>
      <c r="Y99" s="8"/>
      <c r="Z99" s="8"/>
      <c r="AA99" s="8"/>
      <c r="AB99" s="8"/>
      <c r="AC99" s="8"/>
      <c r="AD99" s="8"/>
    </row>
    <row r="100" spans="1:30" ht="15">
      <c r="A100" s="58"/>
      <c r="B100" s="69">
        <v>70</v>
      </c>
      <c r="C100" s="43" t="s">
        <v>298</v>
      </c>
      <c r="D100" s="69">
        <v>8.39729692383126E-2</v>
      </c>
      <c r="E100" s="43">
        <f t="shared" si="6"/>
        <v>0.32464572682224474</v>
      </c>
      <c r="F100" s="71">
        <f t="shared" si="7"/>
        <v>32.464572682224471</v>
      </c>
      <c r="G100" s="84">
        <f t="shared" si="8"/>
        <v>332.11257853915635</v>
      </c>
      <c r="H100" s="43"/>
      <c r="I100" s="185">
        <f t="shared" si="10"/>
        <v>21275.65770729581</v>
      </c>
      <c r="J100" s="8"/>
      <c r="K100" s="8"/>
      <c r="L100" s="8"/>
      <c r="M100" s="8"/>
      <c r="N100" s="8"/>
      <c r="O100" s="8"/>
      <c r="P100" s="8"/>
      <c r="Q100" s="8"/>
      <c r="R100" s="8"/>
      <c r="S100" s="8"/>
      <c r="T100" s="8"/>
      <c r="U100" s="8"/>
      <c r="V100" s="8"/>
      <c r="W100" s="8"/>
      <c r="X100" s="8"/>
      <c r="Y100" s="8"/>
      <c r="Z100" s="8"/>
      <c r="AA100" s="8"/>
      <c r="AB100" s="8"/>
      <c r="AC100" s="8"/>
      <c r="AD100" s="8"/>
    </row>
    <row r="101" spans="1:30" ht="15">
      <c r="A101" s="58"/>
      <c r="B101" s="69">
        <v>71</v>
      </c>
      <c r="C101" s="43" t="s">
        <v>299</v>
      </c>
      <c r="D101" s="69">
        <v>0.09</v>
      </c>
      <c r="E101" s="43">
        <f t="shared" si="6"/>
        <v>0.33113944378556742</v>
      </c>
      <c r="F101" s="71">
        <f t="shared" si="7"/>
        <v>33.113944378556745</v>
      </c>
      <c r="G101" s="84">
        <f t="shared" si="8"/>
        <v>338.75565099263548</v>
      </c>
      <c r="H101" s="43"/>
      <c r="I101" s="185">
        <f t="shared" si="10"/>
        <v>21701.223448487162</v>
      </c>
      <c r="J101" s="8"/>
      <c r="K101" s="8"/>
      <c r="L101" s="8"/>
      <c r="M101" s="8"/>
      <c r="N101" s="8"/>
      <c r="O101" s="8"/>
      <c r="P101" s="8"/>
      <c r="Q101" s="8"/>
      <c r="R101" s="8"/>
      <c r="S101" s="8"/>
      <c r="T101" s="8"/>
      <c r="U101" s="8"/>
      <c r="V101" s="8"/>
      <c r="W101" s="8"/>
      <c r="X101" s="8"/>
      <c r="Y101" s="8"/>
      <c r="Z101" s="8"/>
      <c r="AA101" s="8"/>
      <c r="AB101" s="8"/>
      <c r="AC101" s="8"/>
      <c r="AD101" s="8"/>
    </row>
    <row r="102" spans="1:30" ht="15">
      <c r="A102" s="58"/>
      <c r="B102" s="69">
        <v>72</v>
      </c>
      <c r="C102" s="43" t="s">
        <v>300</v>
      </c>
      <c r="D102" s="69">
        <v>9.6459611628266301E-2</v>
      </c>
      <c r="E102" s="43">
        <f t="shared" si="6"/>
        <v>0.33767969380322149</v>
      </c>
      <c r="F102" s="71">
        <f t="shared" si="7"/>
        <v>33.76796938032215</v>
      </c>
      <c r="G102" s="84">
        <f t="shared" si="8"/>
        <v>345.44632676069557</v>
      </c>
      <c r="H102" s="43"/>
      <c r="I102" s="185">
        <f t="shared" si="10"/>
        <v>22129.838733394121</v>
      </c>
      <c r="J102" s="8"/>
      <c r="K102" s="8"/>
      <c r="L102" s="8"/>
      <c r="M102" s="8"/>
      <c r="N102" s="8"/>
      <c r="O102" s="8"/>
      <c r="P102" s="8"/>
      <c r="Q102" s="8"/>
      <c r="R102" s="8"/>
      <c r="S102" s="8"/>
      <c r="T102" s="8"/>
      <c r="U102" s="8"/>
      <c r="V102" s="8"/>
      <c r="W102" s="8"/>
      <c r="X102" s="8"/>
      <c r="Y102" s="8"/>
      <c r="Z102" s="8"/>
      <c r="AA102" s="8"/>
      <c r="AB102" s="8"/>
      <c r="AC102" s="8"/>
      <c r="AD102" s="8"/>
    </row>
    <row r="103" spans="1:30" ht="15">
      <c r="A103" s="58"/>
      <c r="B103" s="69">
        <v>73</v>
      </c>
      <c r="C103" s="43" t="s">
        <v>301</v>
      </c>
      <c r="D103" s="69">
        <v>0.103382851949733</v>
      </c>
      <c r="E103" s="43">
        <f t="shared" si="6"/>
        <v>0.34426396634647344</v>
      </c>
      <c r="F103" s="71">
        <f t="shared" si="7"/>
        <v>34.426396634647347</v>
      </c>
      <c r="G103" s="84">
        <f t="shared" si="8"/>
        <v>352.18203757244231</v>
      </c>
      <c r="H103" s="43"/>
      <c r="I103" s="185">
        <f t="shared" si="10"/>
        <v>22561.339034516135</v>
      </c>
      <c r="J103" s="8"/>
      <c r="K103" s="8"/>
      <c r="L103" s="8"/>
      <c r="M103" s="8"/>
      <c r="N103" s="8"/>
      <c r="O103" s="8"/>
      <c r="P103" s="8"/>
      <c r="Q103" s="8"/>
      <c r="R103" s="8"/>
      <c r="S103" s="8"/>
      <c r="T103" s="8"/>
      <c r="U103" s="8"/>
      <c r="V103" s="8"/>
      <c r="W103" s="8"/>
      <c r="X103" s="8"/>
      <c r="Y103" s="8"/>
      <c r="Z103" s="8"/>
      <c r="AA103" s="8"/>
      <c r="AB103" s="8"/>
      <c r="AC103" s="8"/>
      <c r="AD103" s="8"/>
    </row>
    <row r="104" spans="1:30" ht="15">
      <c r="A104" s="58"/>
      <c r="B104" s="69">
        <v>74</v>
      </c>
      <c r="C104" s="43" t="s">
        <v>302</v>
      </c>
      <c r="D104" s="69">
        <v>0.110802997201042</v>
      </c>
      <c r="E104" s="43">
        <f t="shared" si="6"/>
        <v>0.35088985134634665</v>
      </c>
      <c r="F104" s="71">
        <f t="shared" si="7"/>
        <v>35.088985134634662</v>
      </c>
      <c r="G104" s="84">
        <f t="shared" si="8"/>
        <v>358.96031792731264</v>
      </c>
      <c r="H104" s="43"/>
      <c r="I104" s="185">
        <f t="shared" si="10"/>
        <v>22995.566407982828</v>
      </c>
      <c r="J104" s="8"/>
      <c r="K104" s="8"/>
      <c r="L104" s="8"/>
      <c r="M104" s="8"/>
      <c r="N104" s="8"/>
      <c r="O104" s="8"/>
      <c r="P104" s="8"/>
      <c r="Q104" s="8"/>
      <c r="R104" s="8"/>
      <c r="S104" s="8"/>
      <c r="T104" s="8"/>
      <c r="U104" s="8"/>
      <c r="V104" s="8"/>
      <c r="W104" s="8"/>
      <c r="X104" s="8"/>
      <c r="Y104" s="8"/>
      <c r="Z104" s="8"/>
      <c r="AA104" s="8"/>
      <c r="AB104" s="8"/>
      <c r="AC104" s="8"/>
      <c r="AD104" s="8"/>
    </row>
    <row r="105" spans="1:30" ht="15">
      <c r="A105" s="58"/>
      <c r="B105" s="69">
        <v>75</v>
      </c>
      <c r="C105" s="43" t="s">
        <v>303</v>
      </c>
      <c r="D105" s="69">
        <v>0.11875571196956</v>
      </c>
      <c r="E105" s="43">
        <f t="shared" si="6"/>
        <v>0.35755503943950556</v>
      </c>
      <c r="F105" s="71">
        <f t="shared" si="7"/>
        <v>35.755503943950558</v>
      </c>
      <c r="G105" s="84">
        <f t="shared" si="8"/>
        <v>365.77880534661421</v>
      </c>
      <c r="H105" s="43"/>
      <c r="I105" s="185">
        <f t="shared" si="10"/>
        <v>23432.369509667998</v>
      </c>
      <c r="J105" s="8"/>
      <c r="K105" s="8"/>
      <c r="L105" s="8"/>
      <c r="M105" s="8"/>
      <c r="N105" s="8"/>
      <c r="O105" s="8"/>
      <c r="P105" s="8"/>
      <c r="Q105" s="8"/>
      <c r="R105" s="8"/>
      <c r="S105" s="8"/>
      <c r="T105" s="8"/>
      <c r="U105" s="8"/>
      <c r="V105" s="8"/>
      <c r="W105" s="8"/>
      <c r="X105" s="8"/>
      <c r="Y105" s="8"/>
      <c r="Z105" s="8"/>
      <c r="AA105" s="8"/>
      <c r="AB105" s="8"/>
      <c r="AC105" s="8"/>
      <c r="AD105" s="8"/>
    </row>
    <row r="106" spans="1:30" ht="15">
      <c r="A106" s="58"/>
      <c r="B106" s="69">
        <v>76</v>
      </c>
      <c r="C106" s="43" t="s">
        <v>304</v>
      </c>
      <c r="D106" s="69">
        <v>0.12727922061357799</v>
      </c>
      <c r="E106" s="43">
        <f t="shared" si="6"/>
        <v>0.36425732157999796</v>
      </c>
      <c r="F106" s="71">
        <f t="shared" si="7"/>
        <v>36.425732157999796</v>
      </c>
      <c r="G106" s="84">
        <f t="shared" si="8"/>
        <v>372.63523997633791</v>
      </c>
      <c r="H106" s="43"/>
      <c r="I106" s="185">
        <f t="shared" si="10"/>
        <v>23871.603569745166</v>
      </c>
      <c r="J106" s="8"/>
      <c r="K106" s="8"/>
      <c r="L106" s="8"/>
      <c r="M106" s="8"/>
      <c r="N106" s="8"/>
      <c r="O106" s="8"/>
      <c r="P106" s="8"/>
      <c r="Q106" s="8"/>
      <c r="R106" s="8"/>
      <c r="S106" s="8"/>
      <c r="T106" s="8"/>
      <c r="U106" s="8"/>
      <c r="V106" s="8"/>
      <c r="W106" s="8"/>
      <c r="X106" s="8"/>
      <c r="Y106" s="8"/>
      <c r="Z106" s="8"/>
      <c r="AA106" s="8"/>
      <c r="AB106" s="8"/>
      <c r="AC106" s="8"/>
      <c r="AD106" s="8"/>
    </row>
    <row r="107" spans="1:30" ht="15">
      <c r="A107" s="58"/>
      <c r="B107" s="69">
        <v>77</v>
      </c>
      <c r="C107" s="43" t="s">
        <v>305</v>
      </c>
      <c r="D107" s="69">
        <v>0.136414490985935</v>
      </c>
      <c r="E107" s="43">
        <f t="shared" si="6"/>
        <v>0.37099458809643188</v>
      </c>
      <c r="F107" s="71">
        <f t="shared" si="7"/>
        <v>37.099458809643188</v>
      </c>
      <c r="G107" s="84">
        <f t="shared" si="8"/>
        <v>379.5274636226498</v>
      </c>
      <c r="H107" s="43"/>
      <c r="I107" s="185">
        <f t="shared" si="10"/>
        <v>24313.130330899665</v>
      </c>
      <c r="J107" s="8"/>
      <c r="K107" s="8"/>
      <c r="L107" s="8"/>
      <c r="M107" s="8"/>
      <c r="N107" s="8"/>
      <c r="O107" s="8"/>
      <c r="P107" s="8"/>
      <c r="Q107" s="8"/>
      <c r="R107" s="8"/>
      <c r="S107" s="8"/>
      <c r="T107" s="8"/>
      <c r="U107" s="8"/>
      <c r="V107" s="8"/>
      <c r="W107" s="8"/>
      <c r="X107" s="8"/>
      <c r="Y107" s="8"/>
      <c r="Z107" s="8"/>
      <c r="AA107" s="8"/>
      <c r="AB107" s="8"/>
      <c r="AC107" s="8"/>
      <c r="AD107" s="8"/>
    </row>
    <row r="108" spans="1:30" ht="15">
      <c r="A108" s="58"/>
      <c r="B108" s="69">
        <v>78</v>
      </c>
      <c r="C108" s="43" t="s">
        <v>306</v>
      </c>
      <c r="D108" s="69">
        <v>0.14620543134412201</v>
      </c>
      <c r="E108" s="43">
        <f t="shared" si="6"/>
        <v>0.37776482726987909</v>
      </c>
      <c r="F108" s="71">
        <f t="shared" si="7"/>
        <v>37.776482726987908</v>
      </c>
      <c r="G108" s="84">
        <f t="shared" si="8"/>
        <v>386.45341829708633</v>
      </c>
      <c r="H108" s="43"/>
      <c r="I108" s="185">
        <f t="shared" si="10"/>
        <v>24756.817955131526</v>
      </c>
      <c r="J108" s="8"/>
      <c r="K108" s="8"/>
      <c r="L108" s="8"/>
      <c r="M108" s="8"/>
      <c r="N108" s="8"/>
      <c r="O108" s="8"/>
      <c r="P108" s="8"/>
      <c r="Q108" s="8"/>
      <c r="R108" s="8"/>
      <c r="S108" s="8"/>
      <c r="T108" s="8"/>
      <c r="U108" s="8"/>
      <c r="V108" s="8"/>
      <c r="W108" s="8"/>
      <c r="X108" s="8"/>
      <c r="Y108" s="8"/>
      <c r="Z108" s="8"/>
      <c r="AA108" s="8"/>
      <c r="AB108" s="8"/>
      <c r="AC108" s="8"/>
      <c r="AD108" s="8"/>
    </row>
    <row r="109" spans="1:30" ht="15">
      <c r="A109" s="58"/>
      <c r="B109" s="69">
        <v>79</v>
      </c>
      <c r="C109" s="43" t="s">
        <v>307</v>
      </c>
      <c r="D109" s="69">
        <v>0.15669910139330201</v>
      </c>
      <c r="E109" s="43">
        <f t="shared" si="6"/>
        <v>0.38456612350300412</v>
      </c>
      <c r="F109" s="71">
        <f t="shared" si="7"/>
        <v>38.456612350300411</v>
      </c>
      <c r="G109" s="84">
        <f t="shared" si="8"/>
        <v>393.4111443435732</v>
      </c>
      <c r="H109" s="43"/>
      <c r="I109" s="185">
        <f t="shared" si="10"/>
        <v>25202.540903769375</v>
      </c>
      <c r="J109" s="8"/>
      <c r="K109" s="8"/>
      <c r="L109" s="8"/>
      <c r="M109" s="8"/>
      <c r="N109" s="8"/>
      <c r="O109" s="8"/>
      <c r="P109" s="8"/>
      <c r="Q109" s="8"/>
      <c r="R109" s="8"/>
      <c r="S109" s="8"/>
      <c r="T109" s="8"/>
      <c r="U109" s="8"/>
      <c r="V109" s="8"/>
      <c r="W109" s="8"/>
      <c r="X109" s="8"/>
      <c r="Y109" s="8"/>
      <c r="Z109" s="8"/>
      <c r="AA109" s="8"/>
      <c r="AB109" s="8"/>
      <c r="AC109" s="8"/>
      <c r="AD109" s="8"/>
    </row>
    <row r="110" spans="1:30" ht="15">
      <c r="A110" s="58"/>
      <c r="B110" s="69">
        <v>80</v>
      </c>
      <c r="C110" s="43" t="s">
        <v>85</v>
      </c>
      <c r="D110" s="69">
        <v>0.16794593847662501</v>
      </c>
      <c r="E110" s="43">
        <f t="shared" si="6"/>
        <v>0.39139665514579397</v>
      </c>
      <c r="F110" s="71">
        <f t="shared" si="7"/>
        <v>39.139665514579399</v>
      </c>
      <c r="G110" s="84">
        <f t="shared" si="8"/>
        <v>400.39877821414723</v>
      </c>
      <c r="H110" s="43"/>
      <c r="I110" s="185">
        <f t="shared" si="10"/>
        <v>25650.179794979609</v>
      </c>
      <c r="J110" s="8"/>
      <c r="K110" s="8"/>
      <c r="L110" s="8"/>
      <c r="M110" s="8"/>
      <c r="N110" s="8"/>
      <c r="O110" s="8"/>
      <c r="P110" s="8"/>
      <c r="Q110" s="8"/>
      <c r="R110" s="8"/>
      <c r="S110" s="8"/>
      <c r="T110" s="8"/>
      <c r="U110" s="8"/>
      <c r="V110" s="8"/>
      <c r="W110" s="8"/>
      <c r="X110" s="8"/>
      <c r="Y110" s="8"/>
      <c r="Z110" s="8"/>
      <c r="AA110" s="8"/>
      <c r="AB110" s="8"/>
      <c r="AC110" s="8"/>
      <c r="AD110" s="8"/>
    </row>
    <row r="111" spans="1:30" ht="15">
      <c r="A111" s="58"/>
      <c r="B111" s="69">
        <v>81</v>
      </c>
      <c r="C111" s="43" t="s">
        <v>308</v>
      </c>
      <c r="D111" s="69">
        <v>0.18</v>
      </c>
      <c r="E111" s="43">
        <f t="shared" si="6"/>
        <v>0.39825469203794917</v>
      </c>
      <c r="F111" s="71">
        <f t="shared" si="7"/>
        <v>39.825469203794917</v>
      </c>
      <c r="G111" s="84">
        <f t="shared" si="8"/>
        <v>407.41454995482201</v>
      </c>
      <c r="H111" s="43"/>
      <c r="I111" s="185">
        <f t="shared" si="10"/>
        <v>26099.621242706999</v>
      </c>
      <c r="J111" s="8"/>
      <c r="K111" s="8"/>
      <c r="L111" s="8"/>
      <c r="M111" s="8"/>
      <c r="N111" s="8"/>
      <c r="O111" s="8"/>
      <c r="P111" s="8"/>
      <c r="Q111" s="8"/>
      <c r="R111" s="8"/>
      <c r="S111" s="8"/>
      <c r="T111" s="8"/>
      <c r="U111" s="8"/>
      <c r="V111" s="8"/>
      <c r="W111" s="8"/>
      <c r="X111" s="8"/>
      <c r="Y111" s="8"/>
      <c r="Z111" s="8"/>
      <c r="AA111" s="8"/>
      <c r="AB111" s="8"/>
      <c r="AC111" s="8"/>
      <c r="AD111" s="8"/>
    </row>
    <row r="112" spans="1:30" ht="15">
      <c r="A112" s="58"/>
      <c r="B112" s="69">
        <v>82</v>
      </c>
      <c r="C112" s="43" t="s">
        <v>309</v>
      </c>
      <c r="D112" s="69">
        <v>0.19291922325653199</v>
      </c>
      <c r="E112" s="43">
        <f t="shared" si="6"/>
        <v>0.40513859282265446</v>
      </c>
      <c r="F112" s="71">
        <f t="shared" si="7"/>
        <v>40.513859282265443</v>
      </c>
      <c r="G112" s="84">
        <f t="shared" si="8"/>
        <v>414.45678045757552</v>
      </c>
      <c r="H112" s="43"/>
      <c r="I112" s="185">
        <f t="shared" si="10"/>
        <v>26550.757680632662</v>
      </c>
      <c r="J112" s="8"/>
      <c r="K112" s="8"/>
      <c r="L112" s="8"/>
      <c r="M112" s="8"/>
      <c r="N112" s="8"/>
      <c r="O112" s="8"/>
      <c r="P112" s="8"/>
      <c r="Q112" s="8"/>
      <c r="R112" s="8"/>
      <c r="S112" s="8"/>
      <c r="T112" s="8"/>
      <c r="U112" s="8"/>
      <c r="V112" s="8"/>
      <c r="W112" s="8"/>
      <c r="X112" s="8"/>
      <c r="Y112" s="8"/>
      <c r="Z112" s="8"/>
      <c r="AA112" s="8"/>
      <c r="AB112" s="8"/>
      <c r="AC112" s="8"/>
      <c r="AD112" s="8"/>
    </row>
    <row r="113" spans="1:30" ht="15">
      <c r="A113" s="58"/>
      <c r="B113" s="69">
        <v>83</v>
      </c>
      <c r="C113" s="43" t="s">
        <v>87</v>
      </c>
      <c r="D113" s="69">
        <v>0.206765703899466</v>
      </c>
      <c r="E113" s="43">
        <f t="shared" si="6"/>
        <v>0.41204680208116562</v>
      </c>
      <c r="F113" s="71">
        <f t="shared" si="7"/>
        <v>41.204680208116564</v>
      </c>
      <c r="G113" s="84">
        <f t="shared" si="8"/>
        <v>421.5238785290324</v>
      </c>
      <c r="H113" s="43"/>
      <c r="I113" s="185">
        <f t="shared" si="10"/>
        <v>27003.487174389189</v>
      </c>
      <c r="J113" s="8"/>
      <c r="K113" s="8"/>
      <c r="L113" s="8"/>
      <c r="M113" s="8"/>
      <c r="N113" s="8"/>
      <c r="O113" s="8"/>
      <c r="P113" s="8"/>
      <c r="Q113" s="8"/>
      <c r="R113" s="8"/>
      <c r="S113" s="8"/>
      <c r="T113" s="8"/>
      <c r="U113" s="8"/>
      <c r="V113" s="8"/>
      <c r="W113" s="8"/>
      <c r="X113" s="8"/>
      <c r="Y113" s="8"/>
      <c r="Z113" s="8"/>
      <c r="AA113" s="8"/>
      <c r="AB113" s="8"/>
      <c r="AC113" s="8"/>
      <c r="AD113" s="8"/>
    </row>
    <row r="114" spans="1:30" ht="15">
      <c r="A114" s="58"/>
      <c r="B114" s="69">
        <v>84</v>
      </c>
      <c r="C114" s="43" t="s">
        <v>310</v>
      </c>
      <c r="D114" s="69">
        <v>0.22160599440208401</v>
      </c>
      <c r="E114" s="43">
        <f t="shared" si="6"/>
        <v>0.41897784733249499</v>
      </c>
      <c r="F114" s="71">
        <f t="shared" si="7"/>
        <v>41.897784733249502</v>
      </c>
      <c r="G114" s="84">
        <f t="shared" si="8"/>
        <v>428.61433782114239</v>
      </c>
      <c r="H114" s="43"/>
      <c r="I114" s="185">
        <f t="shared" si="10"/>
        <v>27457.713224935058</v>
      </c>
      <c r="J114" s="8"/>
      <c r="K114" s="8"/>
      <c r="L114" s="8"/>
      <c r="M114" s="8"/>
      <c r="N114" s="8"/>
      <c r="O114" s="8"/>
      <c r="P114" s="8"/>
      <c r="Q114" s="8"/>
      <c r="R114" s="8"/>
      <c r="S114" s="8"/>
      <c r="T114" s="8"/>
      <c r="U114" s="8"/>
      <c r="V114" s="8"/>
      <c r="W114" s="8"/>
      <c r="X114" s="8"/>
      <c r="Y114" s="8"/>
      <c r="Z114" s="8"/>
      <c r="AA114" s="8"/>
      <c r="AB114" s="8"/>
      <c r="AC114" s="8"/>
      <c r="AD114" s="8"/>
    </row>
    <row r="115" spans="1:30" ht="15">
      <c r="A115" s="58"/>
      <c r="B115" s="69">
        <v>85</v>
      </c>
      <c r="C115" s="43" t="s">
        <v>311</v>
      </c>
      <c r="D115" s="69">
        <v>0.23751142393912</v>
      </c>
      <c r="E115" s="43">
        <f t="shared" si="6"/>
        <v>0.42593033593758112</v>
      </c>
      <c r="F115" s="71">
        <f t="shared" si="7"/>
        <v>42.593033593758115</v>
      </c>
      <c r="G115" s="84">
        <f t="shared" si="8"/>
        <v>435.72673366414546</v>
      </c>
      <c r="H115" s="43"/>
      <c r="I115" s="185">
        <f t="shared" si="10"/>
        <v>27913.34456566938</v>
      </c>
      <c r="J115" s="8"/>
      <c r="K115" s="8"/>
      <c r="L115" s="8"/>
      <c r="M115" s="8"/>
      <c r="N115" s="8"/>
      <c r="O115" s="8"/>
      <c r="P115" s="8"/>
      <c r="Q115" s="8"/>
      <c r="R115" s="8"/>
      <c r="S115" s="8"/>
      <c r="T115" s="8"/>
      <c r="U115" s="8"/>
      <c r="V115" s="8"/>
      <c r="W115" s="8"/>
      <c r="X115" s="8"/>
      <c r="Y115" s="8"/>
      <c r="Z115" s="8"/>
      <c r="AA115" s="8"/>
      <c r="AB115" s="8"/>
      <c r="AC115" s="8"/>
      <c r="AD115" s="8"/>
    </row>
    <row r="116" spans="1:30" ht="15">
      <c r="A116" s="58"/>
      <c r="B116" s="69">
        <v>86</v>
      </c>
      <c r="C116" s="43" t="s">
        <v>312</v>
      </c>
      <c r="D116" s="69">
        <v>0.25455844122715698</v>
      </c>
      <c r="E116" s="43">
        <f t="shared" si="6"/>
        <v>0.43290295194263301</v>
      </c>
      <c r="F116" s="71">
        <f t="shared" si="7"/>
        <v>43.290295194263301</v>
      </c>
      <c r="G116" s="84">
        <f t="shared" si="8"/>
        <v>442.85971983731355</v>
      </c>
      <c r="H116" s="43"/>
      <c r="I116" s="185">
        <f t="shared" si="10"/>
        <v>28370.294955560454</v>
      </c>
      <c r="J116" s="8"/>
      <c r="K116" s="8"/>
      <c r="L116" s="8"/>
      <c r="M116" s="8"/>
      <c r="N116" s="8"/>
      <c r="O116" s="8"/>
      <c r="P116" s="8"/>
      <c r="Q116" s="8"/>
      <c r="R116" s="8"/>
      <c r="S116" s="8"/>
      <c r="T116" s="8"/>
      <c r="U116" s="8"/>
      <c r="V116" s="8"/>
      <c r="W116" s="8"/>
      <c r="X116" s="8"/>
      <c r="Y116" s="8"/>
      <c r="Z116" s="8"/>
      <c r="AA116" s="8"/>
      <c r="AB116" s="8"/>
      <c r="AC116" s="8"/>
      <c r="AD116" s="8"/>
    </row>
    <row r="117" spans="1:30" ht="15">
      <c r="A117" s="58"/>
      <c r="B117" s="69">
        <v>87</v>
      </c>
      <c r="C117" s="43" t="s">
        <v>313</v>
      </c>
      <c r="D117" s="69">
        <v>0.272828981971871</v>
      </c>
      <c r="E117" s="43">
        <f t="shared" si="6"/>
        <v>0.43989445289199181</v>
      </c>
      <c r="F117" s="71">
        <f t="shared" si="7"/>
        <v>43.989445289199182</v>
      </c>
      <c r="G117" s="84">
        <f t="shared" si="8"/>
        <v>450.01202530850759</v>
      </c>
      <c r="H117" s="43"/>
      <c r="I117" s="185">
        <f t="shared" si="10"/>
        <v>28828.482970276684</v>
      </c>
      <c r="J117" s="8"/>
      <c r="K117" s="8"/>
      <c r="L117" s="8"/>
      <c r="M117" s="8"/>
      <c r="N117" s="8"/>
      <c r="O117" s="8"/>
      <c r="P117" s="8"/>
      <c r="Q117" s="8"/>
      <c r="R117" s="8"/>
      <c r="S117" s="8"/>
      <c r="T117" s="8"/>
      <c r="U117" s="8"/>
      <c r="V117" s="8"/>
      <c r="W117" s="8"/>
      <c r="X117" s="8"/>
      <c r="Y117" s="8"/>
      <c r="Z117" s="8"/>
      <c r="AA117" s="8"/>
      <c r="AB117" s="8"/>
      <c r="AC117" s="8"/>
      <c r="AD117" s="8"/>
    </row>
    <row r="118" spans="1:30" ht="15">
      <c r="A118" s="58"/>
      <c r="B118" s="69">
        <v>88</v>
      </c>
      <c r="C118" s="43" t="s">
        <v>314</v>
      </c>
      <c r="D118" s="69">
        <v>0.29241086268824401</v>
      </c>
      <c r="E118" s="43">
        <f t="shared" si="6"/>
        <v>0.4469036666367881</v>
      </c>
      <c r="F118" s="71">
        <f t="shared" si="7"/>
        <v>44.690366663678809</v>
      </c>
      <c r="G118" s="84">
        <f t="shared" si="8"/>
        <v>457.18245096943423</v>
      </c>
      <c r="H118" s="43"/>
      <c r="I118" s="185">
        <f t="shared" si="10"/>
        <v>29287.831793041907</v>
      </c>
      <c r="J118" s="8"/>
      <c r="K118" s="8"/>
      <c r="L118" s="8"/>
      <c r="M118" s="8"/>
      <c r="N118" s="8"/>
      <c r="O118" s="8"/>
      <c r="P118" s="8"/>
      <c r="Q118" s="8"/>
      <c r="R118" s="8"/>
      <c r="S118" s="8"/>
      <c r="T118" s="8"/>
      <c r="U118" s="8"/>
      <c r="V118" s="8"/>
      <c r="W118" s="8"/>
      <c r="X118" s="8"/>
      <c r="Y118" s="8"/>
      <c r="Z118" s="8"/>
      <c r="AA118" s="8"/>
      <c r="AB118" s="8"/>
      <c r="AC118" s="8"/>
      <c r="AD118" s="8"/>
    </row>
    <row r="119" spans="1:30" ht="15">
      <c r="A119" s="58"/>
      <c r="B119" s="69">
        <v>89</v>
      </c>
      <c r="C119" s="43" t="s">
        <v>315</v>
      </c>
      <c r="D119" s="69">
        <v>0.31339820278660402</v>
      </c>
      <c r="E119" s="43">
        <f t="shared" si="6"/>
        <v>0.45392948816192796</v>
      </c>
      <c r="F119" s="71">
        <f t="shared" si="7"/>
        <v>45.392948816192799</v>
      </c>
      <c r="G119" s="84">
        <f t="shared" si="8"/>
        <v>464.36986638965232</v>
      </c>
      <c r="H119" s="43"/>
      <c r="I119" s="185">
        <f t="shared" si="10"/>
        <v>29748.269006691949</v>
      </c>
      <c r="J119" s="8"/>
      <c r="K119" s="8"/>
      <c r="L119" s="8"/>
      <c r="M119" s="8"/>
      <c r="N119" s="8"/>
      <c r="O119" s="8"/>
      <c r="P119" s="8"/>
      <c r="Q119" s="8"/>
      <c r="R119" s="8"/>
      <c r="S119" s="8"/>
      <c r="T119" s="8"/>
      <c r="U119" s="8"/>
      <c r="V119" s="8"/>
      <c r="W119" s="8"/>
      <c r="X119" s="8"/>
      <c r="Y119" s="8"/>
      <c r="Z119" s="8"/>
      <c r="AA119" s="8"/>
      <c r="AB119" s="8"/>
      <c r="AC119" s="8"/>
      <c r="AD119" s="8"/>
    </row>
    <row r="120" spans="1:30" ht="15">
      <c r="A120" s="58"/>
      <c r="B120" s="69">
        <v>90</v>
      </c>
      <c r="C120" s="43" t="s">
        <v>316</v>
      </c>
      <c r="D120" s="69">
        <v>0.33589187695325001</v>
      </c>
      <c r="E120" s="43">
        <f t="shared" si="6"/>
        <v>0.46097087645054702</v>
      </c>
      <c r="F120" s="71">
        <f t="shared" si="7"/>
        <v>46.0970876450547</v>
      </c>
      <c r="G120" s="84">
        <f t="shared" si="8"/>
        <v>471.57320660890957</v>
      </c>
      <c r="H120" s="43"/>
      <c r="I120" s="185">
        <f t="shared" si="10"/>
        <v>30209.726388186598</v>
      </c>
      <c r="J120" s="8"/>
      <c r="K120" s="8"/>
      <c r="L120" s="8"/>
      <c r="M120" s="8"/>
      <c r="N120" s="8"/>
      <c r="O120" s="8"/>
      <c r="P120" s="8"/>
      <c r="Q120" s="8"/>
      <c r="R120" s="8"/>
      <c r="S120" s="8"/>
      <c r="T120" s="8"/>
      <c r="U120" s="8"/>
      <c r="V120" s="8"/>
      <c r="W120" s="8"/>
      <c r="X120" s="8"/>
      <c r="Y120" s="8"/>
      <c r="Z120" s="8"/>
      <c r="AA120" s="8"/>
      <c r="AB120" s="8"/>
      <c r="AC120" s="8"/>
      <c r="AD120" s="8"/>
    </row>
    <row r="121" spans="1:30" ht="15">
      <c r="A121" s="58"/>
      <c r="B121" s="69">
        <v>91</v>
      </c>
      <c r="C121" s="43" t="s">
        <v>317</v>
      </c>
      <c r="D121" s="69">
        <v>0.36</v>
      </c>
      <c r="E121" s="43">
        <f t="shared" si="6"/>
        <v>0.46802685140197015</v>
      </c>
      <c r="F121" s="71">
        <f t="shared" si="7"/>
        <v>46.802685140197013</v>
      </c>
      <c r="G121" s="84">
        <f t="shared" si="8"/>
        <v>478.79146898421544</v>
      </c>
      <c r="H121" s="43"/>
      <c r="I121" s="185">
        <f t="shared" si="10"/>
        <v>30672.139706628113</v>
      </c>
      <c r="J121" s="8"/>
      <c r="K121" s="8"/>
      <c r="L121" s="8"/>
      <c r="M121" s="8"/>
      <c r="N121" s="8"/>
      <c r="O121" s="8"/>
      <c r="P121" s="8"/>
      <c r="Q121" s="8"/>
      <c r="R121" s="8"/>
      <c r="S121" s="8"/>
      <c r="T121" s="8"/>
      <c r="U121" s="8"/>
      <c r="V121" s="8"/>
      <c r="W121" s="8"/>
      <c r="X121" s="8"/>
      <c r="Y121" s="8"/>
      <c r="Z121" s="8"/>
      <c r="AA121" s="8"/>
      <c r="AB121" s="8"/>
      <c r="AC121" s="8"/>
      <c r="AD121" s="8"/>
    </row>
    <row r="122" spans="1:30" ht="15">
      <c r="A122" s="58"/>
      <c r="B122" s="69">
        <v>92</v>
      </c>
      <c r="C122" s="43" t="s">
        <v>318</v>
      </c>
      <c r="D122" s="69">
        <v>0.38583844651306498</v>
      </c>
      <c r="E122" s="43">
        <f t="shared" si="6"/>
        <v>0.47509649081643074</v>
      </c>
      <c r="F122" s="71">
        <f t="shared" si="7"/>
        <v>47.509649081643076</v>
      </c>
      <c r="G122" s="84">
        <f t="shared" si="8"/>
        <v>486.02371010520864</v>
      </c>
      <c r="H122" s="43"/>
      <c r="I122" s="185">
        <f t="shared" si="10"/>
        <v>31135.448525654789</v>
      </c>
      <c r="J122" s="8"/>
      <c r="K122" s="8"/>
      <c r="L122" s="8"/>
      <c r="M122" s="8"/>
      <c r="N122" s="8"/>
      <c r="O122" s="8"/>
      <c r="P122" s="8"/>
      <c r="Q122" s="8"/>
      <c r="R122" s="8"/>
      <c r="S122" s="8"/>
      <c r="T122" s="8"/>
      <c r="U122" s="8"/>
      <c r="V122" s="8"/>
      <c r="W122" s="8"/>
      <c r="X122" s="8"/>
      <c r="Y122" s="8"/>
      <c r="Z122" s="8"/>
      <c r="AA122" s="8"/>
      <c r="AB122" s="8"/>
      <c r="AC122" s="8"/>
      <c r="AD122" s="8"/>
    </row>
    <row r="123" spans="1:30" ht="15">
      <c r="A123" s="58"/>
      <c r="B123" s="69">
        <v>93</v>
      </c>
      <c r="C123" s="43" t="s">
        <v>319</v>
      </c>
      <c r="D123" s="69">
        <v>0.41353140779893199</v>
      </c>
      <c r="E123" s="43">
        <f t="shared" si="6"/>
        <v>0.48217892745732616</v>
      </c>
      <c r="F123" s="71">
        <f t="shared" si="7"/>
        <v>48.217892745732613</v>
      </c>
      <c r="G123" s="84">
        <f t="shared" si="8"/>
        <v>493.26904278884467</v>
      </c>
      <c r="H123" s="43"/>
      <c r="I123" s="185">
        <f t="shared" si="10"/>
        <v>31599.59601091587</v>
      </c>
      <c r="J123" s="8"/>
      <c r="K123" s="8"/>
      <c r="L123" s="8"/>
      <c r="M123" s="8"/>
      <c r="N123" s="8"/>
      <c r="O123" s="8"/>
      <c r="P123" s="8"/>
      <c r="Q123" s="8"/>
      <c r="R123" s="8"/>
      <c r="S123" s="8"/>
      <c r="T123" s="8"/>
      <c r="U123" s="8"/>
      <c r="V123" s="8"/>
      <c r="W123" s="8"/>
      <c r="X123" s="8"/>
      <c r="Y123" s="8"/>
      <c r="Z123" s="8"/>
      <c r="AA123" s="8"/>
      <c r="AB123" s="8"/>
      <c r="AC123" s="8"/>
      <c r="AD123" s="8"/>
    </row>
    <row r="124" spans="1:30" ht="15">
      <c r="A124" s="58"/>
      <c r="B124" s="69">
        <v>94</v>
      </c>
      <c r="C124" s="43" t="s">
        <v>320</v>
      </c>
      <c r="D124" s="69">
        <v>0.44321198880416901</v>
      </c>
      <c r="E124" s="43">
        <f t="shared" si="6"/>
        <v>0.48927334619956253</v>
      </c>
      <c r="F124" s="71">
        <f t="shared" si="7"/>
        <v>48.927334619956255</v>
      </c>
      <c r="G124" s="84">
        <f t="shared" si="8"/>
        <v>500.52663316215245</v>
      </c>
      <c r="H124" s="43"/>
      <c r="I124" s="185">
        <f t="shared" si="10"/>
        <v>32064.52874318833</v>
      </c>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43">
        <f t="shared" si="6"/>
        <v>0.49637898127060748</v>
      </c>
      <c r="F125" s="71">
        <f t="shared" si="7"/>
        <v>49.637898127060751</v>
      </c>
      <c r="G125" s="84">
        <f t="shared" si="8"/>
        <v>507.79569783983146</v>
      </c>
      <c r="H125" s="43"/>
      <c r="I125" s="185">
        <f t="shared" si="10"/>
        <v>32530.19653756926</v>
      </c>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43">
        <f t="shared" si="6"/>
        <v>0.503495113589151</v>
      </c>
      <c r="F126" s="71">
        <f t="shared" si="7"/>
        <v>50.349511358915102</v>
      </c>
      <c r="G126" s="84">
        <f t="shared" si="8"/>
        <v>515.07550120170151</v>
      </c>
      <c r="H126" s="43"/>
      <c r="I126" s="185">
        <f t="shared" si="10"/>
        <v>32996.55226906501</v>
      </c>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43">
        <f t="shared" si="6"/>
        <v>0.51062106820479247</v>
      </c>
      <c r="F127" s="71">
        <f t="shared" si="7"/>
        <v>51.062106820479244</v>
      </c>
      <c r="G127" s="84">
        <f t="shared" si="8"/>
        <v>522.36535277350265</v>
      </c>
      <c r="H127" s="43"/>
      <c r="I127" s="185">
        <f t="shared" si="10"/>
        <v>33463.551704801073</v>
      </c>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43">
        <f t="shared" si="6"/>
        <v>0.51775621184088882</v>
      </c>
      <c r="F128" s="71">
        <f t="shared" si="7"/>
        <v>51.775621184088884</v>
      </c>
      <c r="G128" s="84">
        <f t="shared" si="8"/>
        <v>529.66460471322932</v>
      </c>
      <c r="H128" s="43"/>
      <c r="I128" s="185">
        <f t="shared" si="10"/>
        <v>33931.153342992649</v>
      </c>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43">
        <f t="shared" si="6"/>
        <v>0.52489995054158967</v>
      </c>
      <c r="F129" s="71">
        <f t="shared" si="7"/>
        <v>52.489995054158967</v>
      </c>
      <c r="G129" s="84">
        <f t="shared" si="8"/>
        <v>536.97264940404625</v>
      </c>
      <c r="H129" s="43"/>
      <c r="I129" s="185">
        <f t="shared" si="10"/>
        <v>34399.318258743078</v>
      </c>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43">
        <f t="shared" si="6"/>
        <v>0.53205172742315687</v>
      </c>
      <c r="F130" s="71">
        <f t="shared" si="7"/>
        <v>53.205172742315689</v>
      </c>
      <c r="G130" s="84">
        <f t="shared" si="8"/>
        <v>544.28891715388943</v>
      </c>
      <c r="H130" s="43"/>
      <c r="I130" s="185">
        <f t="shared" si="10"/>
        <v>34868.009956676586</v>
      </c>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43">
        <f t="shared" si="6"/>
        <v>0.53921102052887127</v>
      </c>
      <c r="F131" s="71">
        <f t="shared" si="7"/>
        <v>53.921102052887129</v>
      </c>
      <c r="G131" s="84">
        <f t="shared" si="8"/>
        <v>551.61287400103527</v>
      </c>
      <c r="H131" s="43"/>
      <c r="I131" s="185">
        <f t="shared" si="10"/>
        <v>35337.194230359579</v>
      </c>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43">
        <f t="shared" si="6"/>
        <v>0.54637734078617006</v>
      </c>
      <c r="F132" s="71">
        <f t="shared" si="7"/>
        <v>54.637734078617008</v>
      </c>
      <c r="G132" s="84">
        <f t="shared" si="8"/>
        <v>558.94401962425195</v>
      </c>
      <c r="H132" s="43"/>
      <c r="I132" s="185">
        <f t="shared" si="10"/>
        <v>35806.839028421658</v>
      </c>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43">
        <f t="shared" si="6"/>
        <v>0.55355023006412096</v>
      </c>
      <c r="F133" s="71">
        <f t="shared" si="7"/>
        <v>55.355023006412097</v>
      </c>
      <c r="G133" s="84">
        <f t="shared" si="8"/>
        <v>566.2818853555957</v>
      </c>
      <c r="H133" s="43"/>
      <c r="I133" s="185">
        <f t="shared" si="10"/>
        <v>36276.914327252169</v>
      </c>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43">
        <f t="shared" si="6"/>
        <v>0.56072925932889439</v>
      </c>
      <c r="F134" s="71">
        <f t="shared" si="7"/>
        <v>56.07292593288944</v>
      </c>
      <c r="G134" s="84">
        <f t="shared" si="8"/>
        <v>573.62603229345893</v>
      </c>
      <c r="H134" s="43"/>
      <c r="I134" s="185">
        <f t="shared" si="10"/>
        <v>36747.392010119096</v>
      </c>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43">
        <f t="shared" si="6"/>
        <v>0.56791402689454817</v>
      </c>
      <c r="F135" s="71">
        <f t="shared" si="7"/>
        <v>56.79140268945482</v>
      </c>
      <c r="G135" s="84">
        <f t="shared" si="8"/>
        <v>580.9760495131228</v>
      </c>
      <c r="H135" s="43"/>
      <c r="I135" s="185">
        <f t="shared" si="10"/>
        <v>37218.245752534218</v>
      </c>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43">
        <f t="shared" si="6"/>
        <v>0.57510415676616522</v>
      </c>
      <c r="F136" s="71">
        <f t="shared" si="7"/>
        <v>57.510415676616525</v>
      </c>
      <c r="G136" s="84">
        <f t="shared" si="8"/>
        <v>588.33155237178698</v>
      </c>
      <c r="H136" s="43"/>
      <c r="I136" s="185">
        <f t="shared" si="10"/>
        <v>37689.45091367064</v>
      </c>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43">
        <f t="shared" si="6"/>
        <v>0.58229929707218819</v>
      </c>
      <c r="F137" s="71">
        <f t="shared" si="7"/>
        <v>58.229929707218822</v>
      </c>
      <c r="G137" s="84">
        <f t="shared" si="8"/>
        <v>595.69218090484856</v>
      </c>
      <c r="H137" s="43"/>
      <c r="I137" s="185">
        <f t="shared" si="10"/>
        <v>38160.984433625854</v>
      </c>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43">
        <f t="shared" si="6"/>
        <v>0.58949911858262727</v>
      </c>
      <c r="F138" s="71">
        <f t="shared" si="7"/>
        <v>58.949911858262723</v>
      </c>
      <c r="G138" s="84">
        <f t="shared" si="8"/>
        <v>603.05759831002774</v>
      </c>
      <c r="H138" s="43"/>
      <c r="I138" s="185">
        <f t="shared" si="10"/>
        <v>38632.824736312476</v>
      </c>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43">
        <f t="shared" si="6"/>
        <v>0.59670331330976023</v>
      </c>
      <c r="F139" s="71">
        <f t="shared" si="7"/>
        <v>59.670331330976026</v>
      </c>
      <c r="G139" s="84">
        <f t="shared" si="8"/>
        <v>610.42748951588476</v>
      </c>
      <c r="H139" s="43"/>
      <c r="I139" s="185">
        <f t="shared" si="10"/>
        <v>39104.951637755134</v>
      </c>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43">
        <f t="shared" si="6"/>
        <v>0.60391159318784715</v>
      </c>
      <c r="F140" s="71">
        <f t="shared" si="7"/>
        <v>60.391159318784716</v>
      </c>
      <c r="G140" s="84">
        <f t="shared" si="8"/>
        <v>617.80155983116765</v>
      </c>
      <c r="H140" s="43"/>
      <c r="I140" s="185">
        <f t="shared" si="10"/>
        <v>39577.346259565566</v>
      </c>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43">
        <f t="shared" si="6"/>
        <v>0.61112368882839607</v>
      </c>
      <c r="F141" s="71">
        <f t="shared" si="7"/>
        <v>61.112368882839604</v>
      </c>
      <c r="G141" s="84">
        <f t="shared" si="8"/>
        <v>625.17953367144924</v>
      </c>
      <c r="H141" s="43"/>
      <c r="I141" s="185">
        <f t="shared" si="10"/>
        <v>40049.990947368933</v>
      </c>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43">
        <f t="shared" si="6"/>
        <v>0.61833934834751725</v>
      </c>
      <c r="F142" s="71">
        <f t="shared" si="7"/>
        <v>61.833934834751723</v>
      </c>
      <c r="G142" s="84">
        <f t="shared" si="8"/>
        <v>632.56115335951017</v>
      </c>
      <c r="H142" s="43"/>
      <c r="I142" s="185">
        <f t="shared" si="10"/>
        <v>40522.869193954546</v>
      </c>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43">
        <f t="shared" si="6"/>
        <v>0.62555833626193913</v>
      </c>
      <c r="F143" s="71">
        <f t="shared" si="7"/>
        <v>62.555833626193916</v>
      </c>
      <c r="G143" s="84">
        <f t="shared" si="8"/>
        <v>639.94617799596369</v>
      </c>
      <c r="H143" s="43"/>
      <c r="I143" s="185">
        <f t="shared" si="10"/>
        <v>40995.965566926177</v>
      </c>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43">
        <f t="shared" si="6"/>
        <v>0.63278043245031768</v>
      </c>
      <c r="F144" s="71">
        <f t="shared" si="7"/>
        <v>63.278043245031768</v>
      </c>
      <c r="G144" s="84">
        <f t="shared" si="8"/>
        <v>647.33438239667498</v>
      </c>
      <c r="H144" s="43"/>
      <c r="I144" s="185">
        <f t="shared" si="10"/>
        <v>41469.265640631565</v>
      </c>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43">
        <f t="shared" si="6"/>
        <v>0.64000543117655639</v>
      </c>
      <c r="F145" s="71">
        <f t="shared" si="7"/>
        <v>64.000543117655639</v>
      </c>
      <c r="G145" s="84">
        <f t="shared" si="8"/>
        <v>654.72555609361723</v>
      </c>
      <c r="H145" s="43"/>
      <c r="I145" s="185">
        <f t="shared" si="10"/>
        <v>41942.755932155625</v>
      </c>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43">
        <f t="shared" si="6"/>
        <v>0.64723314017191835</v>
      </c>
      <c r="F146" s="71">
        <f t="shared" si="7"/>
        <v>64.723314017191839</v>
      </c>
      <c r="G146" s="84">
        <f t="shared" si="8"/>
        <v>662.11950239587247</v>
      </c>
      <c r="H146" s="43"/>
      <c r="I146" s="185">
        <f t="shared" si="10"/>
        <v>42416.423841166667</v>
      </c>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43">
        <f t="shared" si="6"/>
        <v>0.65446337977283653</v>
      </c>
      <c r="F147" s="71">
        <f t="shared" si="7"/>
        <v>65.446337977283648</v>
      </c>
      <c r="G147" s="84">
        <f t="shared" si="8"/>
        <v>669.51603750761171</v>
      </c>
      <c r="H147" s="43"/>
      <c r="I147" s="185">
        <f t="shared" si="10"/>
        <v>42890.25759341284</v>
      </c>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43">
        <f t="shared" si="6"/>
        <v>0.66169598211141178</v>
      </c>
      <c r="F148" s="71">
        <f t="shared" si="7"/>
        <v>66.169598211141178</v>
      </c>
      <c r="G148" s="84">
        <f t="shared" si="8"/>
        <v>676.91498969997429</v>
      </c>
      <c r="H148" s="43"/>
      <c r="I148" s="185">
        <f t="shared" si="10"/>
        <v>43364.246187671371</v>
      </c>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43">
        <f t="shared" si="6"/>
        <v>0.66893079035571168</v>
      </c>
      <c r="F149" s="71">
        <f t="shared" si="7"/>
        <v>66.893079035571162</v>
      </c>
      <c r="G149" s="84">
        <f t="shared" si="8"/>
        <v>684.31619853389304</v>
      </c>
      <c r="H149" s="43"/>
      <c r="I149" s="185">
        <f t="shared" si="10"/>
        <v>43838.379345961563</v>
      </c>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43">
        <f t="shared" si="6"/>
        <v>0.67616765799708856</v>
      </c>
      <c r="F150" s="71">
        <f t="shared" si="7"/>
        <v>67.616765799708858</v>
      </c>
      <c r="G150" s="84">
        <f t="shared" si="8"/>
        <v>691.71951413102158</v>
      </c>
      <c r="H150" s="43"/>
      <c r="I150" s="185">
        <f t="shared" si="10"/>
        <v>44312.647466839197</v>
      </c>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43">
        <f t="shared" si="6"/>
        <v>0.6834064481818608</v>
      </c>
      <c r="F151" s="71">
        <f t="shared" si="7"/>
        <v>68.340644818186078</v>
      </c>
      <c r="G151" s="84">
        <f t="shared" si="8"/>
        <v>699.12479649004365</v>
      </c>
      <c r="H151" s="43"/>
      <c r="I151" s="185">
        <f t="shared" si="10"/>
        <v>44787.041581598249</v>
      </c>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43">
        <f t="shared" si="6"/>
        <v>0.69064703308480879</v>
      </c>
      <c r="F152" s="71">
        <f t="shared" si="7"/>
        <v>69.064703308480873</v>
      </c>
      <c r="G152" s="84">
        <f t="shared" si="8"/>
        <v>706.53191484575939</v>
      </c>
      <c r="H152" s="43"/>
      <c r="I152" s="185">
        <f t="shared" si="10"/>
        <v>45261.553313212942</v>
      </c>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43">
        <f t="shared" si="6"/>
        <v>0.69788929332206395</v>
      </c>
      <c r="F153" s="71">
        <f t="shared" si="7"/>
        <v>69.788929332206393</v>
      </c>
      <c r="G153" s="84">
        <f t="shared" si="8"/>
        <v>713.94074706847141</v>
      </c>
      <c r="H153" s="43"/>
      <c r="I153" s="185">
        <f t="shared" si="10"/>
        <v>45736.174837861465</v>
      </c>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43">
        <f t="shared" si="6"/>
        <v>0.70513311740107021</v>
      </c>
      <c r="F154" s="71">
        <f t="shared" si="7"/>
        <v>70.513311740107014</v>
      </c>
      <c r="G154" s="84">
        <f t="shared" si="8"/>
        <v>721.35117910129486</v>
      </c>
      <c r="H154" s="43"/>
      <c r="I154" s="185">
        <f t="shared" si="10"/>
        <v>46210.898848879136</v>
      </c>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43">
        <f t="shared" si="6"/>
        <v>0.7123784012054325</v>
      </c>
      <c r="F155" s="71">
        <f t="shared" si="7"/>
        <v>71.237840120543254</v>
      </c>
      <c r="G155" s="84">
        <f t="shared" si="8"/>
        <v>728.76310443315742</v>
      </c>
      <c r="H155" s="43"/>
      <c r="I155" s="185">
        <f t="shared" si="10"/>
        <v>46685.718522998017</v>
      </c>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43">
        <f t="shared" si="6"/>
        <v>0.71962504751255207</v>
      </c>
      <c r="F156" s="71">
        <f t="shared" si="7"/>
        <v>71.96250475125521</v>
      </c>
      <c r="G156" s="84">
        <f t="shared" si="8"/>
        <v>736.1764236053408</v>
      </c>
      <c r="H156" s="43"/>
      <c r="I156" s="185">
        <f t="shared" si="10"/>
        <v>47160.627488735103</v>
      </c>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43">
        <f t="shared" si="6"/>
        <v>0.72687296554208158</v>
      </c>
      <c r="F157" s="71">
        <f t="shared" si="7"/>
        <v>72.68729655420816</v>
      </c>
      <c r="G157" s="84">
        <f t="shared" si="8"/>
        <v>743.5910437495495</v>
      </c>
      <c r="H157" s="43"/>
      <c r="I157" s="185">
        <f t="shared" si="10"/>
        <v>47635.619796800318</v>
      </c>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43">
        <f t="shared" si="6"/>
        <v>0.73412207053331868</v>
      </c>
      <c r="F158" s="71">
        <f t="shared" si="7"/>
        <v>73.412207053331869</v>
      </c>
      <c r="G158" s="84">
        <f t="shared" si="8"/>
        <v>751.00687815558501</v>
      </c>
      <c r="H158" s="43"/>
      <c r="I158" s="185">
        <f t="shared" si="10"/>
        <v>48110.689892401038</v>
      </c>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43">
        <f t="shared" si="6"/>
        <v>0.74137228334976935</v>
      </c>
      <c r="F159" s="71">
        <f t="shared" si="7"/>
        <v>74.137228334976939</v>
      </c>
      <c r="G159" s="84">
        <f t="shared" si="8"/>
        <v>758.42384586681408</v>
      </c>
      <c r="H159" s="43"/>
      <c r="I159" s="185">
        <f t="shared" ref="I159:I200" si="11">E159*(2^16-1)</f>
        <v>48585.832589327132</v>
      </c>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43">
        <f t="shared" si="6"/>
        <v>0.74862353010920613</v>
      </c>
      <c r="F160" s="71">
        <f t="shared" si="7"/>
        <v>74.862353010920614</v>
      </c>
      <c r="G160" s="84">
        <f t="shared" si="8"/>
        <v>765.8418713017179</v>
      </c>
      <c r="H160" s="43"/>
      <c r="I160" s="185">
        <f t="shared" si="11"/>
        <v>49061.043045706821</v>
      </c>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43">
        <f t="shared" si="6"/>
        <v>0.75587574183763873</v>
      </c>
      <c r="F161" s="71">
        <f t="shared" si="7"/>
        <v>75.587574183763877</v>
      </c>
      <c r="G161" s="84">
        <f t="shared" si="8"/>
        <v>773.26088389990446</v>
      </c>
      <c r="H161" s="43"/>
      <c r="I161" s="185">
        <f t="shared" si="11"/>
        <v>49536.316741329654</v>
      </c>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43">
        <f t="shared" si="6"/>
        <v>0.7631288541457073</v>
      </c>
      <c r="F162" s="71">
        <f t="shared" si="7"/>
        <v>76.312885414570729</v>
      </c>
      <c r="G162" s="84">
        <f t="shared" si="8"/>
        <v>780.68081779105853</v>
      </c>
      <c r="H162" s="43"/>
      <c r="I162" s="185">
        <f t="shared" si="11"/>
        <v>50011.649456438929</v>
      </c>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43">
        <f t="shared" si="6"/>
        <v>0.77038280692609429</v>
      </c>
      <c r="F163" s="71">
        <f t="shared" si="7"/>
        <v>77.038280692609433</v>
      </c>
      <c r="G163" s="84">
        <f t="shared" si="8"/>
        <v>788.10161148539441</v>
      </c>
      <c r="H163" s="43"/>
      <c r="I163" s="185">
        <f t="shared" si="11"/>
        <v>50487.037251901587</v>
      </c>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43">
        <f t="shared" si="6"/>
        <v>0.77763754407062535</v>
      </c>
      <c r="F164" s="71">
        <f t="shared" si="7"/>
        <v>77.763754407062535</v>
      </c>
      <c r="G164" s="84">
        <f t="shared" si="8"/>
        <v>795.52320758424969</v>
      </c>
      <c r="H164" s="43"/>
      <c r="I164" s="185">
        <f t="shared" si="11"/>
        <v>50962.47645066843</v>
      </c>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43">
        <f t="shared" si="6"/>
        <v>0.78489301320582405</v>
      </c>
      <c r="F165" s="71">
        <f t="shared" si="7"/>
        <v>78.489301320582399</v>
      </c>
      <c r="G165" s="84">
        <f t="shared" si="8"/>
        <v>802.94555250955796</v>
      </c>
      <c r="H165" s="43"/>
      <c r="I165" s="185">
        <f t="shared" si="11"/>
        <v>51437.963620443683</v>
      </c>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43">
        <f t="shared" si="6"/>
        <v>0.79214916544573721</v>
      </c>
      <c r="F166" s="71">
        <f t="shared" si="7"/>
        <v>79.214916544573725</v>
      </c>
      <c r="G166" s="84">
        <f t="shared" si="8"/>
        <v>810.36859625098919</v>
      </c>
      <c r="H166" s="43"/>
      <c r="I166" s="185">
        <f t="shared" si="11"/>
        <v>51913.495557486385</v>
      </c>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43">
        <f t="shared" si="6"/>
        <v>0.79940595516093904</v>
      </c>
      <c r="F167" s="71">
        <f t="shared" si="7"/>
        <v>79.940595516093907</v>
      </c>
      <c r="G167" s="84">
        <f t="shared" si="8"/>
        <v>817.7922921296406</v>
      </c>
      <c r="H167" s="43"/>
      <c r="I167" s="185">
        <f t="shared" si="11"/>
        <v>52389.069271472137</v>
      </c>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43">
        <f t="shared" si="6"/>
        <v>0.80666333976267302</v>
      </c>
      <c r="F168" s="71">
        <f t="shared" si="7"/>
        <v>80.666333976267296</v>
      </c>
      <c r="G168" s="84">
        <f t="shared" si="8"/>
        <v>825.21659657721455</v>
      </c>
      <c r="H168" s="43"/>
      <c r="I168" s="185">
        <f t="shared" si="11"/>
        <v>52864.681971346778</v>
      </c>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43">
        <f t="shared" si="6"/>
        <v>0.81392127950116411</v>
      </c>
      <c r="F169" s="71">
        <f t="shared" si="7"/>
        <v>81.392127950116418</v>
      </c>
      <c r="G169" s="84">
        <f t="shared" si="8"/>
        <v>832.64146892969086</v>
      </c>
      <c r="H169" s="43"/>
      <c r="I169" s="185">
        <f t="shared" si="11"/>
        <v>53340.331052108791</v>
      </c>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43">
        <f t="shared" si="6"/>
        <v>0.82117973727718885</v>
      </c>
      <c r="F170" s="71">
        <f t="shared" si="7"/>
        <v>82.117973727718891</v>
      </c>
      <c r="G170" s="84">
        <f t="shared" si="8"/>
        <v>840.06687123456425</v>
      </c>
      <c r="H170" s="43"/>
      <c r="I170" s="185">
        <f t="shared" si="11"/>
        <v>53816.01408246057</v>
      </c>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43">
        <f t="shared" si="6"/>
        <v>0.82843867846604125</v>
      </c>
      <c r="F171" s="71">
        <f t="shared" si="7"/>
        <v>82.843867846604127</v>
      </c>
      <c r="G171" s="84">
        <f t="shared" si="8"/>
        <v>847.49276807076023</v>
      </c>
      <c r="H171" s="43"/>
      <c r="I171" s="185">
        <f t="shared" si="11"/>
        <v>54291.728793272014</v>
      </c>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43">
        <f t="shared" si="6"/>
        <v>0.83569807075310321</v>
      </c>
      <c r="F172" s="71">
        <f t="shared" si="7"/>
        <v>83.569807075310322</v>
      </c>
      <c r="G172" s="84">
        <f t="shared" si="8"/>
        <v>854.91912638042459</v>
      </c>
      <c r="H172" s="43"/>
      <c r="I172" s="185">
        <f t="shared" si="11"/>
        <v>54767.473066804618</v>
      </c>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43">
        <f t="shared" si="6"/>
        <v>0.84295788398026206</v>
      </c>
      <c r="F173" s="71">
        <f t="shared" si="7"/>
        <v>84.295788398026204</v>
      </c>
      <c r="G173" s="84">
        <f t="shared" si="8"/>
        <v>862.34591531180808</v>
      </c>
      <c r="H173" s="43"/>
      <c r="I173" s="185">
        <f t="shared" si="11"/>
        <v>55243.244926646476</v>
      </c>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43">
        <f t="shared" si="6"/>
        <v>0.85021809000246018</v>
      </c>
      <c r="F174" s="71">
        <f t="shared" si="7"/>
        <v>85.021809000246023</v>
      </c>
      <c r="G174" s="84">
        <f t="shared" si="8"/>
        <v>869.77310607251673</v>
      </c>
      <c r="H174" s="43"/>
      <c r="I174" s="185">
        <f t="shared" si="11"/>
        <v>55719.042528311227</v>
      </c>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43">
        <f t="shared" si="6"/>
        <v>0.85747866255373639</v>
      </c>
      <c r="F175" s="71">
        <f t="shared" si="7"/>
        <v>85.747866255373637</v>
      </c>
      <c r="G175" s="84">
        <f t="shared" si="8"/>
        <v>877.20067179247235</v>
      </c>
      <c r="H175" s="43"/>
      <c r="I175" s="185">
        <f t="shared" si="11"/>
        <v>56194.864150459114</v>
      </c>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43" t="s">
        <v>372</v>
      </c>
      <c r="D176" s="69">
        <v>16.291740238538001</v>
      </c>
      <c r="E176" s="43">
        <f t="shared" si="6"/>
        <v>0.86473957712212379</v>
      </c>
      <c r="F176" s="71">
        <f t="shared" si="7"/>
        <v>86.473957712212382</v>
      </c>
      <c r="G176" s="84">
        <f t="shared" si="8"/>
        <v>884.62858739593264</v>
      </c>
      <c r="H176" s="43"/>
      <c r="I176" s="185">
        <f t="shared" si="11"/>
        <v>56670.708186698386</v>
      </c>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t="s">
        <v>373</v>
      </c>
      <c r="D177" s="69">
        <v>17.461054846199701</v>
      </c>
      <c r="E177" s="43">
        <f t="shared" si="6"/>
        <v>0.87200081083282988</v>
      </c>
      <c r="F177" s="71">
        <f t="shared" si="7"/>
        <v>87.200081083282981</v>
      </c>
      <c r="G177" s="84">
        <f t="shared" si="8"/>
        <v>892.05682948198501</v>
      </c>
      <c r="H177" s="43"/>
      <c r="I177" s="185">
        <f t="shared" si="11"/>
        <v>57146.573137929503</v>
      </c>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t="s">
        <v>374</v>
      </c>
      <c r="D178" s="69">
        <v>18.714295212047599</v>
      </c>
      <c r="E178" s="43">
        <f t="shared" si="6"/>
        <v>0.87926234233915934</v>
      </c>
      <c r="F178" s="71">
        <f t="shared" si="7"/>
        <v>87.926234233915935</v>
      </c>
      <c r="G178" s="84">
        <f t="shared" si="8"/>
        <v>899.48537621295998</v>
      </c>
      <c r="H178" s="43"/>
      <c r="I178" s="185">
        <f t="shared" si="11"/>
        <v>57622.457605196811</v>
      </c>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t="s">
        <v>375</v>
      </c>
      <c r="D179" s="69">
        <v>20.0574849783426</v>
      </c>
      <c r="E179" s="43">
        <f t="shared" si="6"/>
        <v>0.88652415172066701</v>
      </c>
      <c r="F179" s="71">
        <f t="shared" si="7"/>
        <v>88.652415172066696</v>
      </c>
      <c r="G179" s="84">
        <f t="shared" si="8"/>
        <v>906.91420721024235</v>
      </c>
      <c r="H179" s="43"/>
      <c r="I179" s="185">
        <f t="shared" si="11"/>
        <v>58098.360283013913</v>
      </c>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t="s">
        <v>376</v>
      </c>
      <c r="D180" s="69">
        <v>21.497080125008001</v>
      </c>
      <c r="E180" s="43">
        <f t="shared" si="6"/>
        <v>0.89378622038807054</v>
      </c>
      <c r="F180" s="71">
        <f t="shared" si="7"/>
        <v>89.378622038807052</v>
      </c>
      <c r="G180" s="84">
        <f t="shared" si="8"/>
        <v>914.34330345699618</v>
      </c>
      <c r="H180" s="43"/>
      <c r="I180" s="185">
        <f t="shared" si="11"/>
        <v>58574.279953132202</v>
      </c>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t="s">
        <v>377</v>
      </c>
      <c r="D181" s="69">
        <v>23.04</v>
      </c>
      <c r="E181" s="43">
        <f t="shared" si="6"/>
        <v>0.90104853099447313</v>
      </c>
      <c r="F181" s="71">
        <f t="shared" si="7"/>
        <v>90.104853099447311</v>
      </c>
      <c r="G181" s="84">
        <f t="shared" si="8"/>
        <v>921.77264720734604</v>
      </c>
      <c r="H181" s="43"/>
      <c r="I181" s="185">
        <f t="shared" si="11"/>
        <v>59050.215478722799</v>
      </c>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t="s">
        <v>378</v>
      </c>
      <c r="D182" s="69">
        <v>24.693660576836098</v>
      </c>
      <c r="E182" s="43">
        <f t="shared" si="6"/>
        <v>0.90831106735248712</v>
      </c>
      <c r="F182" s="71">
        <f t="shared" si="7"/>
        <v>90.83110673524871</v>
      </c>
      <c r="G182" s="84">
        <f t="shared" si="8"/>
        <v>929.20222190159427</v>
      </c>
      <c r="H182" s="43"/>
      <c r="I182" s="185">
        <f t="shared" si="11"/>
        <v>59526.165798945243</v>
      </c>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t="s">
        <v>379</v>
      </c>
      <c r="D183" s="69">
        <v>26.466010099131601</v>
      </c>
      <c r="E183" s="43">
        <f t="shared" si="6"/>
        <v>0.91557381435686569</v>
      </c>
      <c r="F183" s="71">
        <f t="shared" si="7"/>
        <v>91.557381435686565</v>
      </c>
      <c r="G183" s="84">
        <f t="shared" si="8"/>
        <v>936.63201208707358</v>
      </c>
      <c r="H183" s="43"/>
      <c r="I183" s="185">
        <f t="shared" si="11"/>
        <v>60002.12992387719</v>
      </c>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t="s">
        <v>380</v>
      </c>
      <c r="D184" s="69">
        <v>28.365567283466799</v>
      </c>
      <c r="E184" s="43">
        <f t="shared" si="6"/>
        <v>0.92283675791227548</v>
      </c>
      <c r="F184" s="71">
        <f t="shared" si="7"/>
        <v>92.283675791227552</v>
      </c>
      <c r="G184" s="84">
        <f t="shared" si="8"/>
        <v>944.06200334425785</v>
      </c>
      <c r="H184" s="43"/>
      <c r="I184" s="185">
        <f t="shared" si="11"/>
        <v>60478.106929780974</v>
      </c>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t="s">
        <v>381</v>
      </c>
      <c r="D185" s="69">
        <v>30.401462264207399</v>
      </c>
      <c r="E185" s="43">
        <f t="shared" si="6"/>
        <v>0.93009988486587969</v>
      </c>
      <c r="F185" s="71">
        <f t="shared" si="7"/>
        <v>93.009988486587972</v>
      </c>
      <c r="G185" s="84">
        <f t="shared" si="8"/>
        <v>951.49218221779495</v>
      </c>
      <c r="H185" s="43"/>
      <c r="I185" s="185">
        <f t="shared" si="11"/>
        <v>60954.095954685428</v>
      </c>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t="s">
        <v>382</v>
      </c>
      <c r="D186" s="69">
        <v>32.583480477076101</v>
      </c>
      <c r="E186" s="43">
        <f t="shared" si="6"/>
        <v>0.93736318294440613</v>
      </c>
      <c r="F186" s="71">
        <f t="shared" si="7"/>
        <v>93.736318294440608</v>
      </c>
      <c r="G186" s="84">
        <f t="shared" si="8"/>
        <v>958.92253615212746</v>
      </c>
      <c r="H186" s="43"/>
      <c r="I186" s="185">
        <f t="shared" si="11"/>
        <v>61430.096194261656</v>
      </c>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t="s">
        <v>383</v>
      </c>
      <c r="D187" s="69">
        <v>34.922109692399502</v>
      </c>
      <c r="E187" s="43">
        <f t="shared" si="6"/>
        <v>0.94462664069540492</v>
      </c>
      <c r="F187" s="71">
        <f t="shared" si="7"/>
        <v>94.462664069540494</v>
      </c>
      <c r="G187" s="84">
        <f t="shared" si="8"/>
        <v>966.35305343139919</v>
      </c>
      <c r="H187" s="43"/>
      <c r="I187" s="185">
        <f t="shared" si="11"/>
        <v>61906.106897973361</v>
      </c>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t="s">
        <v>384</v>
      </c>
      <c r="D188" s="69">
        <v>37.428590424095297</v>
      </c>
      <c r="E188" s="43">
        <f t="shared" si="6"/>
        <v>0.95189024743242245</v>
      </c>
      <c r="F188" s="71">
        <f t="shared" si="7"/>
        <v>95.189024743242243</v>
      </c>
      <c r="G188" s="84">
        <f t="shared" si="8"/>
        <v>973.78372312336819</v>
      </c>
      <c r="H188" s="43"/>
      <c r="I188" s="185">
        <f t="shared" si="11"/>
        <v>62382.127365483808</v>
      </c>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t="s">
        <v>385</v>
      </c>
      <c r="D189" s="191">
        <v>40.1149699566853</v>
      </c>
      <c r="E189" s="64">
        <f t="shared" si="6"/>
        <v>0.95915399318382411</v>
      </c>
      <c r="F189" s="192">
        <f t="shared" si="7"/>
        <v>95.915399318382413</v>
      </c>
      <c r="G189" s="193">
        <f t="shared" si="8"/>
        <v>981.21453502705208</v>
      </c>
      <c r="H189" s="64"/>
      <c r="I189" s="185">
        <f t="shared" si="11"/>
        <v>62858.15694330191</v>
      </c>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128" t="s">
        <v>386</v>
      </c>
      <c r="D190" s="183">
        <v>42.994160250016002</v>
      </c>
      <c r="E190" s="142">
        <f t="shared" si="6"/>
        <v>0.96641786864503365</v>
      </c>
      <c r="F190" s="194">
        <f t="shared" si="7"/>
        <v>96.641786864503359</v>
      </c>
      <c r="G190" s="195">
        <f t="shared" si="8"/>
        <v>988.64547962386939</v>
      </c>
      <c r="H190" s="142"/>
      <c r="I190" s="185">
        <f t="shared" si="11"/>
        <v>63334.195021652282</v>
      </c>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128" t="s">
        <v>387</v>
      </c>
      <c r="D191" s="183">
        <v>46.08</v>
      </c>
      <c r="E191" s="142">
        <f t="shared" si="6"/>
        <v>0.97368186513395205</v>
      </c>
      <c r="F191" s="194">
        <f t="shared" si="7"/>
        <v>97.368186513395202</v>
      </c>
      <c r="G191" s="195">
        <f t="shared" si="8"/>
        <v>996.07654803203297</v>
      </c>
      <c r="H191" s="142"/>
      <c r="I191" s="185">
        <f t="shared" si="11"/>
        <v>63810.241031553545</v>
      </c>
      <c r="J191" s="8"/>
      <c r="K191" s="8"/>
      <c r="L191" s="8"/>
      <c r="M191" s="8"/>
      <c r="N191" s="8"/>
      <c r="O191" s="8"/>
      <c r="P191" s="8"/>
      <c r="Q191" s="8"/>
      <c r="R191" s="8"/>
      <c r="S191" s="8"/>
      <c r="T191" s="8"/>
      <c r="U191" s="8"/>
      <c r="V191" s="8"/>
      <c r="W191" s="8"/>
      <c r="X191" s="8"/>
      <c r="Y191" s="8"/>
      <c r="Z191" s="8"/>
      <c r="AA191" s="8"/>
      <c r="AB191" s="8"/>
      <c r="AC191" s="8"/>
      <c r="AD191" s="8"/>
    </row>
    <row r="192" spans="1:30" ht="15">
      <c r="A192" s="8"/>
      <c r="B192" s="69">
        <v>162</v>
      </c>
      <c r="C192" s="190" t="s">
        <v>389</v>
      </c>
      <c r="D192" s="142">
        <f>0.18*2^8.2</f>
        <v>52.932020198263317</v>
      </c>
      <c r="E192" s="142">
        <f t="shared" si="6"/>
        <v>0.98821018933205906</v>
      </c>
      <c r="F192" s="194">
        <f t="shared" ref="F192:F200" si="12">E192*100</f>
        <v>98.821018933205906</v>
      </c>
      <c r="G192" s="195">
        <f t="shared" ref="G192:G200" si="13">E192*1023</f>
        <v>1010.9390236866964</v>
      </c>
      <c r="H192" s="142"/>
      <c r="I192" s="185">
        <f t="shared" si="11"/>
        <v>64762.354757876492</v>
      </c>
      <c r="J192" s="8"/>
      <c r="K192" s="8"/>
      <c r="L192" s="8"/>
      <c r="M192" s="8"/>
      <c r="N192" s="8"/>
      <c r="O192" s="8"/>
      <c r="P192" s="8"/>
      <c r="Q192" s="8"/>
      <c r="R192" s="8"/>
      <c r="S192" s="8"/>
      <c r="T192" s="8"/>
      <c r="U192" s="8"/>
      <c r="V192" s="8"/>
      <c r="W192" s="8"/>
      <c r="X192" s="8"/>
      <c r="Y192" s="8"/>
      <c r="Z192" s="8"/>
      <c r="AA192" s="8"/>
      <c r="AB192" s="8"/>
      <c r="AC192" s="8"/>
      <c r="AD192" s="8"/>
    </row>
    <row r="193" spans="1:30" ht="15">
      <c r="A193" s="8"/>
      <c r="B193" s="69">
        <v>163</v>
      </c>
      <c r="C193" s="190" t="s">
        <v>390</v>
      </c>
      <c r="D193" s="142">
        <f>0.18*2^8.3</f>
        <v>56.731134566933783</v>
      </c>
      <c r="E193" s="142">
        <f t="shared" ref="E193:E200" si="14">0.24136077*LOG10((87.099375*(D193/0.9))+1)+0.092864125</f>
        <v>0.9954745024286914</v>
      </c>
      <c r="F193" s="194">
        <f t="shared" si="12"/>
        <v>99.547450242869147</v>
      </c>
      <c r="G193" s="195">
        <f t="shared" si="13"/>
        <v>1018.3704159845513</v>
      </c>
      <c r="H193" s="142"/>
      <c r="I193" s="185">
        <f t="shared" si="11"/>
        <v>65238.42151666429</v>
      </c>
      <c r="J193" s="8"/>
      <c r="K193" s="8"/>
      <c r="L193" s="8"/>
      <c r="M193" s="8"/>
      <c r="N193" s="8"/>
      <c r="O193" s="8"/>
      <c r="P193" s="8"/>
      <c r="Q193" s="8"/>
      <c r="R193" s="8"/>
      <c r="S193" s="8"/>
      <c r="T193" s="8"/>
      <c r="U193" s="8"/>
      <c r="V193" s="8"/>
      <c r="W193" s="8"/>
      <c r="X193" s="8"/>
      <c r="Y193" s="8"/>
      <c r="Z193" s="8"/>
      <c r="AA193" s="8"/>
      <c r="AB193" s="8"/>
      <c r="AC193" s="8"/>
      <c r="AD193" s="8"/>
    </row>
    <row r="194" spans="1:30" ht="15">
      <c r="A194" s="8"/>
      <c r="B194" s="69">
        <v>164</v>
      </c>
      <c r="C194" s="190" t="s">
        <v>391</v>
      </c>
      <c r="D194" s="142">
        <f>0.18*2^8.4</f>
        <v>60.802924528414955</v>
      </c>
      <c r="E194" s="142">
        <f t="shared" si="14"/>
        <v>1.0027389072578621</v>
      </c>
      <c r="F194" s="194">
        <f t="shared" si="12"/>
        <v>100.2738907257862</v>
      </c>
      <c r="G194" s="195">
        <f t="shared" si="13"/>
        <v>1025.8019021247928</v>
      </c>
      <c r="H194" s="142"/>
      <c r="I194" s="185">
        <f t="shared" si="11"/>
        <v>65714.494287143985</v>
      </c>
      <c r="J194" s="8"/>
      <c r="K194" s="8"/>
      <c r="L194" s="8"/>
      <c r="M194" s="8"/>
      <c r="N194" s="8"/>
      <c r="O194" s="8"/>
      <c r="P194" s="8"/>
      <c r="Q194" s="8"/>
      <c r="R194" s="8"/>
      <c r="S194" s="8"/>
      <c r="T194" s="8"/>
      <c r="U194" s="8"/>
      <c r="V194" s="8"/>
      <c r="W194" s="8"/>
      <c r="X194" s="8"/>
      <c r="Y194" s="8"/>
      <c r="Z194" s="8"/>
      <c r="AA194" s="8"/>
      <c r="AB194" s="8"/>
      <c r="AC194" s="8"/>
      <c r="AD194" s="8"/>
    </row>
    <row r="195" spans="1:30" ht="15">
      <c r="A195" s="8"/>
      <c r="B195" s="69">
        <v>165</v>
      </c>
      <c r="C195" s="190" t="s">
        <v>814</v>
      </c>
      <c r="D195" s="142">
        <f>0.18*2^8.36229702</f>
        <v>59.234501890192121</v>
      </c>
      <c r="E195" s="142">
        <f t="shared" si="14"/>
        <v>0.9999999997844502</v>
      </c>
      <c r="F195" s="194">
        <f t="shared" si="12"/>
        <v>99.999999978445018</v>
      </c>
      <c r="G195" s="195">
        <f t="shared" si="13"/>
        <v>1022.9999997794926</v>
      </c>
      <c r="H195" s="142"/>
      <c r="I195" s="185">
        <f t="shared" si="11"/>
        <v>65534.999985873947</v>
      </c>
      <c r="J195" s="8"/>
      <c r="K195" s="8"/>
      <c r="L195" s="8"/>
      <c r="M195" s="8"/>
      <c r="N195" s="8"/>
      <c r="O195" s="8"/>
      <c r="P195" s="8"/>
      <c r="Q195" s="8"/>
      <c r="R195" s="8"/>
      <c r="S195" s="8"/>
      <c r="T195" s="8"/>
      <c r="U195" s="8"/>
      <c r="V195" s="8"/>
      <c r="W195" s="8"/>
      <c r="X195" s="8"/>
      <c r="Y195" s="8"/>
      <c r="Z195" s="8"/>
      <c r="AA195" s="8"/>
      <c r="AB195" s="8"/>
      <c r="AC195" s="8"/>
      <c r="AD195" s="8"/>
    </row>
    <row r="196" spans="1:30" ht="15">
      <c r="A196" s="8"/>
      <c r="B196" s="69"/>
      <c r="C196" s="190"/>
      <c r="D196" s="142"/>
      <c r="E196" s="142"/>
      <c r="F196" s="194"/>
      <c r="G196" s="195"/>
      <c r="H196" s="142"/>
      <c r="I196" s="185"/>
      <c r="J196" s="8"/>
      <c r="K196" s="8"/>
      <c r="L196" s="8"/>
      <c r="M196" s="8"/>
      <c r="N196" s="8"/>
      <c r="O196" s="8"/>
      <c r="P196" s="8"/>
      <c r="Q196" s="8"/>
      <c r="R196" s="8"/>
      <c r="S196" s="8"/>
      <c r="T196" s="8"/>
      <c r="U196" s="8"/>
      <c r="V196" s="8"/>
      <c r="W196" s="8"/>
      <c r="X196" s="8"/>
      <c r="Y196" s="8"/>
      <c r="Z196" s="8"/>
      <c r="AA196" s="8"/>
      <c r="AB196" s="8"/>
      <c r="AC196" s="8"/>
      <c r="AD196" s="8"/>
    </row>
    <row r="197" spans="1:30" ht="15">
      <c r="A197" s="8"/>
      <c r="B197" s="69"/>
      <c r="C197" s="190"/>
      <c r="D197" s="142"/>
      <c r="E197" s="142"/>
      <c r="F197" s="194"/>
      <c r="G197" s="195"/>
      <c r="H197" s="142"/>
      <c r="I197" s="185"/>
      <c r="J197" s="8"/>
      <c r="K197" s="8"/>
      <c r="L197" s="8"/>
      <c r="M197" s="8"/>
      <c r="N197" s="8"/>
      <c r="O197" s="8"/>
      <c r="P197" s="8"/>
      <c r="Q197" s="8"/>
      <c r="R197" s="8"/>
      <c r="S197" s="8"/>
      <c r="T197" s="8"/>
      <c r="U197" s="8"/>
      <c r="V197" s="8"/>
      <c r="W197" s="8"/>
      <c r="X197" s="8"/>
      <c r="Y197" s="8"/>
      <c r="Z197" s="8"/>
      <c r="AA197" s="8"/>
      <c r="AB197" s="8"/>
      <c r="AC197" s="8"/>
      <c r="AD197" s="8"/>
    </row>
    <row r="198" spans="1:30" ht="15">
      <c r="A198" s="8"/>
      <c r="B198" s="69"/>
      <c r="C198" s="190"/>
      <c r="D198" s="142"/>
      <c r="E198" s="142"/>
      <c r="F198" s="194"/>
      <c r="G198" s="195"/>
      <c r="H198" s="142"/>
      <c r="I198" s="185"/>
      <c r="J198" s="8"/>
      <c r="K198" s="8"/>
      <c r="L198" s="8"/>
      <c r="M198" s="8"/>
      <c r="N198" s="8"/>
      <c r="O198" s="8"/>
      <c r="P198" s="8"/>
      <c r="Q198" s="8"/>
      <c r="R198" s="8"/>
      <c r="S198" s="8"/>
      <c r="T198" s="8"/>
      <c r="U198" s="8"/>
      <c r="V198" s="8"/>
      <c r="W198" s="8"/>
      <c r="X198" s="8"/>
      <c r="Y198" s="8"/>
      <c r="Z198" s="8"/>
      <c r="AA198" s="8"/>
      <c r="AB198" s="8"/>
      <c r="AC198" s="8"/>
      <c r="AD198" s="8"/>
    </row>
    <row r="199" spans="1:30" ht="15">
      <c r="A199" s="8"/>
      <c r="B199" s="69"/>
      <c r="C199" s="190"/>
      <c r="D199" s="142"/>
      <c r="E199" s="142"/>
      <c r="F199" s="194"/>
      <c r="G199" s="195"/>
      <c r="H199" s="142"/>
      <c r="I199" s="185"/>
      <c r="J199" s="8"/>
      <c r="K199" s="8"/>
      <c r="L199" s="8"/>
      <c r="M199" s="8"/>
      <c r="N199" s="8"/>
      <c r="O199" s="8"/>
      <c r="P199" s="8"/>
      <c r="Q199" s="8"/>
      <c r="R199" s="8"/>
      <c r="S199" s="8"/>
      <c r="T199" s="8"/>
      <c r="U199" s="8"/>
      <c r="V199" s="8"/>
      <c r="W199" s="8"/>
      <c r="X199" s="8"/>
      <c r="Y199" s="8"/>
      <c r="Z199" s="8"/>
      <c r="AA199" s="8"/>
      <c r="AB199" s="8"/>
      <c r="AC199" s="8"/>
      <c r="AD199" s="8"/>
    </row>
    <row r="200" spans="1:30" ht="15">
      <c r="A200" s="8"/>
      <c r="B200" s="69"/>
      <c r="C200" s="190"/>
      <c r="D200" s="142"/>
      <c r="E200" s="142"/>
      <c r="F200" s="194"/>
      <c r="G200" s="195"/>
      <c r="H200" s="142"/>
      <c r="I200" s="185"/>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row>
  </sheetData>
  <mergeCells count="2">
    <mergeCell ref="D2:G2"/>
    <mergeCell ref="D29:G29"/>
  </mergeCells>
  <phoneticPr fontId="1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D1004"/>
  <sheetViews>
    <sheetView topLeftCell="F1" zoomScale="150" workbookViewId="0">
      <selection activeCell="I5" sqref="I5:I24"/>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55.6640625" customWidth="1"/>
    <col min="9" max="9" width="12.33203125" customWidth="1"/>
    <col min="10" max="10" width="3.83203125" customWidth="1"/>
  </cols>
  <sheetData>
    <row r="1" spans="1:30" ht="13">
      <c r="A1" s="8"/>
      <c r="B1" s="9"/>
      <c r="C1" s="9"/>
      <c r="D1" s="9"/>
      <c r="E1" s="9"/>
      <c r="F1" s="9"/>
      <c r="G1" s="9"/>
      <c r="H1" s="9"/>
      <c r="I1" s="185"/>
      <c r="J1" s="8"/>
      <c r="K1" s="8"/>
      <c r="L1" s="8"/>
      <c r="M1" s="8"/>
      <c r="N1" s="8"/>
      <c r="O1" s="8"/>
      <c r="P1" s="8"/>
      <c r="Q1" s="8"/>
      <c r="R1" s="8"/>
      <c r="S1" s="8"/>
      <c r="T1" s="8"/>
      <c r="U1" s="8"/>
      <c r="V1" s="8"/>
      <c r="W1" s="8"/>
      <c r="X1" s="8"/>
      <c r="Y1" s="8"/>
      <c r="Z1" s="8"/>
      <c r="AA1" s="8"/>
      <c r="AB1" s="8"/>
      <c r="AC1" s="8"/>
      <c r="AD1" s="8"/>
    </row>
    <row r="2" spans="1:30" ht="29.25" customHeight="1">
      <c r="A2" s="8"/>
      <c r="B2" s="56"/>
      <c r="C2" s="12" t="s">
        <v>617</v>
      </c>
      <c r="D2" s="174" t="s">
        <v>142</v>
      </c>
      <c r="E2" s="170"/>
      <c r="F2" s="170"/>
      <c r="G2" s="171"/>
      <c r="H2" s="16"/>
      <c r="I2" s="185"/>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188" t="s">
        <v>813</v>
      </c>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f t="shared" ref="E4:E9" si="0">(1.9754798*(D4/0.9))+0.12512219</f>
        <v>0.12512531718452338</v>
      </c>
      <c r="F4" s="18">
        <f t="shared" ref="F4:F27" si="1">E4*100</f>
        <v>12.512531718452339</v>
      </c>
      <c r="G4" s="33">
        <f t="shared" ref="G4:G27" si="2">E4*1023</f>
        <v>128.00319947976743</v>
      </c>
      <c r="H4" s="16" t="s">
        <v>161</v>
      </c>
      <c r="I4" s="189"/>
      <c r="J4" s="8"/>
      <c r="K4" s="64" t="s">
        <v>162</v>
      </c>
      <c r="L4" s="8"/>
      <c r="M4" s="8"/>
      <c r="N4" s="8"/>
      <c r="P4" s="8"/>
      <c r="Q4" s="8"/>
      <c r="R4" s="8"/>
      <c r="S4" s="8"/>
      <c r="T4" s="8"/>
      <c r="U4" s="8"/>
      <c r="V4" s="8"/>
      <c r="W4" s="8"/>
      <c r="X4" s="8"/>
      <c r="Y4" s="8"/>
      <c r="Z4" s="8"/>
      <c r="AA4" s="8"/>
      <c r="AB4" s="8"/>
      <c r="AC4" s="8"/>
      <c r="AD4" s="8"/>
    </row>
    <row r="5" spans="1:30" ht="13">
      <c r="A5" s="58"/>
      <c r="B5" s="50">
        <v>2</v>
      </c>
      <c r="C5" s="16" t="s">
        <v>76</v>
      </c>
      <c r="D5" s="17">
        <v>7.0312499999999997E-4</v>
      </c>
      <c r="E5" s="43">
        <f t="shared" si="0"/>
        <v>0.12666553359374999</v>
      </c>
      <c r="F5" s="18">
        <f t="shared" si="1"/>
        <v>12.666553359374999</v>
      </c>
      <c r="G5" s="33">
        <f t="shared" si="2"/>
        <v>129.57884086640624</v>
      </c>
      <c r="H5" s="16" t="s">
        <v>164</v>
      </c>
      <c r="I5" s="189">
        <f t="shared" ref="I5:I27" si="3">E5*(2^16-1)</f>
        <v>8301.0257440664063</v>
      </c>
      <c r="J5" s="8"/>
      <c r="K5" s="56" t="s">
        <v>165</v>
      </c>
      <c r="L5" s="8"/>
      <c r="M5" s="8"/>
      <c r="N5" s="8"/>
      <c r="P5" s="8"/>
      <c r="Q5" s="8"/>
      <c r="R5" s="8"/>
      <c r="S5" s="8"/>
      <c r="T5" s="8"/>
      <c r="U5" s="8"/>
      <c r="V5" s="8"/>
      <c r="W5" s="8"/>
      <c r="X5" s="8"/>
      <c r="Y5" s="8"/>
      <c r="Z5" s="8"/>
      <c r="AA5" s="8"/>
      <c r="AB5" s="8"/>
      <c r="AC5" s="8"/>
      <c r="AD5" s="8"/>
    </row>
    <row r="6" spans="1:30" ht="13">
      <c r="A6" s="58"/>
      <c r="B6" s="50">
        <v>3</v>
      </c>
      <c r="C6" s="16" t="s">
        <v>77</v>
      </c>
      <c r="D6" s="17">
        <v>1.4062499999999999E-3</v>
      </c>
      <c r="E6" s="43">
        <f t="shared" si="0"/>
        <v>0.12820887718749999</v>
      </c>
      <c r="F6" s="18">
        <f t="shared" si="1"/>
        <v>12.820887718749999</v>
      </c>
      <c r="G6" s="33">
        <f t="shared" si="2"/>
        <v>131.1576813628125</v>
      </c>
      <c r="H6" s="12"/>
      <c r="I6" s="189">
        <f t="shared" si="3"/>
        <v>8402.1687664828114</v>
      </c>
      <c r="J6" s="8"/>
      <c r="K6" s="8"/>
      <c r="L6" s="8"/>
      <c r="M6" s="8"/>
      <c r="N6" s="8"/>
      <c r="P6" s="8"/>
      <c r="Q6" s="8"/>
      <c r="R6" s="8"/>
      <c r="S6" s="8"/>
      <c r="T6" s="8"/>
      <c r="U6" s="8"/>
      <c r="V6" s="8"/>
      <c r="W6" s="8"/>
      <c r="X6" s="8"/>
      <c r="Y6" s="8"/>
      <c r="Z6" s="8"/>
      <c r="AA6" s="8"/>
      <c r="AB6" s="8"/>
      <c r="AC6" s="8"/>
      <c r="AD6" s="8"/>
    </row>
    <row r="7" spans="1:30" ht="15">
      <c r="A7" s="58"/>
      <c r="B7" s="50">
        <v>4</v>
      </c>
      <c r="C7" s="16" t="s">
        <v>78</v>
      </c>
      <c r="D7" s="17">
        <v>2.8124999999999999E-3</v>
      </c>
      <c r="E7" s="43">
        <f t="shared" si="0"/>
        <v>0.13129556437500001</v>
      </c>
      <c r="F7" s="18">
        <f t="shared" si="1"/>
        <v>13.1295564375</v>
      </c>
      <c r="G7" s="33">
        <f t="shared" si="2"/>
        <v>134.31536235562501</v>
      </c>
      <c r="H7" s="107" t="s">
        <v>618</v>
      </c>
      <c r="I7" s="189">
        <f t="shared" si="3"/>
        <v>8604.4548113156252</v>
      </c>
      <c r="J7" s="8"/>
      <c r="L7" s="8"/>
      <c r="M7" s="8"/>
      <c r="N7" s="8"/>
      <c r="P7" s="8"/>
      <c r="Q7" s="8"/>
      <c r="R7" s="8"/>
      <c r="S7" s="8"/>
      <c r="T7" s="8"/>
      <c r="U7" s="8"/>
      <c r="V7" s="8"/>
      <c r="W7" s="8"/>
      <c r="X7" s="8"/>
      <c r="Y7" s="8"/>
      <c r="Z7" s="8"/>
      <c r="AA7" s="8"/>
      <c r="AB7" s="8"/>
      <c r="AC7" s="8"/>
      <c r="AD7" s="8"/>
    </row>
    <row r="8" spans="1:30" ht="13">
      <c r="A8" s="58"/>
      <c r="B8" s="50">
        <v>5</v>
      </c>
      <c r="C8" s="16" t="s">
        <v>79</v>
      </c>
      <c r="D8" s="17">
        <v>5.6249999999999998E-3</v>
      </c>
      <c r="E8" s="43">
        <f t="shared" si="0"/>
        <v>0.13746893874999999</v>
      </c>
      <c r="F8" s="18">
        <f t="shared" si="1"/>
        <v>13.746893875</v>
      </c>
      <c r="G8" s="33">
        <f t="shared" si="2"/>
        <v>140.63072434124999</v>
      </c>
      <c r="H8" s="16"/>
      <c r="I8" s="189">
        <f t="shared" si="3"/>
        <v>9009.0269009812491</v>
      </c>
      <c r="J8" s="8"/>
      <c r="K8" s="2" t="s">
        <v>619</v>
      </c>
      <c r="L8" s="8"/>
      <c r="M8" s="8"/>
      <c r="N8" s="8"/>
      <c r="P8" s="8"/>
      <c r="Q8" s="8"/>
      <c r="R8" s="8"/>
      <c r="S8" s="8"/>
      <c r="T8" s="8"/>
      <c r="U8" s="8"/>
      <c r="V8" s="8"/>
      <c r="W8" s="8"/>
      <c r="X8" s="8"/>
      <c r="Y8" s="8"/>
      <c r="Z8" s="8"/>
      <c r="AA8" s="8"/>
      <c r="AB8" s="8"/>
      <c r="AC8" s="8"/>
      <c r="AD8" s="8"/>
    </row>
    <row r="9" spans="1:30" ht="13">
      <c r="A9" s="58"/>
      <c r="B9" s="50">
        <v>6</v>
      </c>
      <c r="C9" s="16" t="s">
        <v>80</v>
      </c>
      <c r="D9" s="17">
        <v>1.125E-2</v>
      </c>
      <c r="E9" s="43">
        <f t="shared" si="0"/>
        <v>0.14981568749999999</v>
      </c>
      <c r="F9" s="18">
        <f t="shared" si="1"/>
        <v>14.981568749999999</v>
      </c>
      <c r="G9" s="33">
        <f t="shared" si="2"/>
        <v>153.26144831249999</v>
      </c>
      <c r="H9" s="16"/>
      <c r="I9" s="189">
        <f t="shared" si="3"/>
        <v>9818.1710803124988</v>
      </c>
      <c r="J9" s="8"/>
      <c r="K9" s="8" t="s">
        <v>620</v>
      </c>
      <c r="L9" s="8"/>
      <c r="M9" s="8"/>
      <c r="N9" s="8"/>
      <c r="P9" s="8"/>
      <c r="Q9" s="8"/>
      <c r="R9" s="8"/>
      <c r="S9" s="8"/>
      <c r="T9" s="8"/>
      <c r="U9" s="8"/>
      <c r="V9" s="8"/>
      <c r="W9" s="8"/>
      <c r="X9" s="8"/>
      <c r="Y9" s="8"/>
      <c r="Z9" s="8"/>
      <c r="AA9" s="8"/>
      <c r="AB9" s="8"/>
      <c r="AC9" s="8"/>
      <c r="AD9" s="8"/>
    </row>
    <row r="10" spans="1:30" ht="13">
      <c r="A10" s="58"/>
      <c r="B10" s="50">
        <v>7</v>
      </c>
      <c r="C10" s="16" t="s">
        <v>81</v>
      </c>
      <c r="D10" s="17">
        <v>2.2499999999999999E-2</v>
      </c>
      <c r="E10" s="43">
        <f t="shared" ref="E10:E27" si="4">(0.36726845*LOG10((14.98325*(D10/0.9))+1))+0.12240537</f>
        <v>0.17315100437761471</v>
      </c>
      <c r="F10" s="18">
        <f t="shared" si="1"/>
        <v>17.315100437761473</v>
      </c>
      <c r="G10" s="33">
        <f t="shared" si="2"/>
        <v>177.13347747829985</v>
      </c>
      <c r="H10" s="16"/>
      <c r="I10" s="189">
        <f t="shared" si="3"/>
        <v>11347.451071886981</v>
      </c>
      <c r="J10" s="8"/>
      <c r="K10" s="8" t="s">
        <v>621</v>
      </c>
      <c r="L10" s="8"/>
      <c r="M10" s="8"/>
      <c r="N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f t="shared" si="4"/>
        <v>0.21158922574427691</v>
      </c>
      <c r="F11" s="18">
        <f t="shared" si="1"/>
        <v>21.158922574427692</v>
      </c>
      <c r="G11" s="33">
        <f t="shared" si="2"/>
        <v>216.45577793639526</v>
      </c>
      <c r="H11" s="16"/>
      <c r="I11" s="189">
        <f t="shared" si="3"/>
        <v>13866.499909151187</v>
      </c>
      <c r="J11" s="8"/>
      <c r="K11" s="8" t="s">
        <v>622</v>
      </c>
      <c r="L11" s="8"/>
      <c r="M11" s="8"/>
      <c r="N11" s="8"/>
      <c r="Q11" s="8"/>
      <c r="R11" s="8"/>
      <c r="S11" s="8"/>
      <c r="T11" s="8"/>
      <c r="U11" s="8"/>
      <c r="V11" s="8"/>
      <c r="W11" s="8"/>
      <c r="X11" s="8"/>
      <c r="Y11" s="8"/>
      <c r="Z11" s="8"/>
      <c r="AA11" s="8"/>
      <c r="AB11" s="8"/>
      <c r="AC11" s="8"/>
      <c r="AD11" s="8"/>
    </row>
    <row r="12" spans="1:30" ht="13">
      <c r="A12" s="58"/>
      <c r="B12" s="50">
        <v>9</v>
      </c>
      <c r="C12" s="16" t="s">
        <v>83</v>
      </c>
      <c r="D12" s="17">
        <v>0.09</v>
      </c>
      <c r="E12" s="43">
        <f t="shared" si="4"/>
        <v>0.2684492775785825</v>
      </c>
      <c r="F12" s="18">
        <f t="shared" si="1"/>
        <v>26.844927757858251</v>
      </c>
      <c r="G12" s="33">
        <f t="shared" si="2"/>
        <v>274.62361096288993</v>
      </c>
      <c r="H12" s="16"/>
      <c r="I12" s="189">
        <f t="shared" si="3"/>
        <v>17592.823406112406</v>
      </c>
      <c r="J12" s="8"/>
      <c r="K12" s="8" t="s">
        <v>623</v>
      </c>
      <c r="L12" s="8"/>
      <c r="M12" s="8"/>
      <c r="N12" s="8"/>
      <c r="P12" s="8"/>
      <c r="Q12" s="8"/>
      <c r="R12" s="8"/>
      <c r="S12" s="8"/>
      <c r="T12" s="8"/>
      <c r="U12" s="8"/>
      <c r="V12" s="8"/>
      <c r="W12" s="8"/>
      <c r="X12" s="8"/>
      <c r="Y12" s="8"/>
      <c r="Z12" s="8"/>
      <c r="AA12" s="8"/>
      <c r="AB12" s="8"/>
      <c r="AC12" s="8"/>
      <c r="AD12" s="8"/>
    </row>
    <row r="13" spans="1:30" ht="13">
      <c r="A13" s="58"/>
      <c r="B13" s="50">
        <v>10</v>
      </c>
      <c r="C13" s="16" t="s">
        <v>84</v>
      </c>
      <c r="D13" s="69">
        <v>0.12727922061357799</v>
      </c>
      <c r="E13" s="43">
        <f t="shared" si="4"/>
        <v>0.3038391525335597</v>
      </c>
      <c r="F13" s="18">
        <f t="shared" si="1"/>
        <v>30.383915253355969</v>
      </c>
      <c r="G13" s="33">
        <f t="shared" si="2"/>
        <v>310.82745304183157</v>
      </c>
      <c r="H13" s="16"/>
      <c r="I13" s="189">
        <f t="shared" si="3"/>
        <v>19912.098861286835</v>
      </c>
      <c r="J13" s="8"/>
      <c r="K13" s="2" t="s">
        <v>624</v>
      </c>
      <c r="L13" s="8">
        <f>0.014*0.9</f>
        <v>1.26E-2</v>
      </c>
      <c r="M13" s="8"/>
      <c r="N13" s="8"/>
      <c r="P13" s="8"/>
      <c r="Q13" s="8"/>
      <c r="R13" s="8"/>
      <c r="S13" s="8"/>
      <c r="T13" s="8"/>
      <c r="U13" s="8"/>
      <c r="V13" s="8"/>
      <c r="W13" s="8"/>
      <c r="X13" s="8"/>
      <c r="Y13" s="8"/>
      <c r="Z13" s="8"/>
      <c r="AA13" s="8"/>
      <c r="AB13" s="8"/>
      <c r="AC13" s="8"/>
      <c r="AD13" s="8"/>
    </row>
    <row r="14" spans="1:30" ht="13">
      <c r="A14" s="58"/>
      <c r="B14" s="50">
        <v>11</v>
      </c>
      <c r="C14" s="43" t="s">
        <v>85</v>
      </c>
      <c r="D14" s="69">
        <f>0.18*2^-0.1</f>
        <v>0.16794593847662534</v>
      </c>
      <c r="E14" s="43">
        <f t="shared" si="4"/>
        <v>0.3351724855886149</v>
      </c>
      <c r="F14" s="18">
        <f t="shared" si="1"/>
        <v>33.517248558861489</v>
      </c>
      <c r="G14" s="33">
        <f t="shared" si="2"/>
        <v>342.88145275715306</v>
      </c>
      <c r="H14" s="16"/>
      <c r="I14" s="189"/>
      <c r="J14" s="8"/>
      <c r="K14" s="2" t="s">
        <v>625</v>
      </c>
      <c r="L14" s="8"/>
      <c r="M14" s="8"/>
      <c r="N14" s="8"/>
      <c r="P14" s="8"/>
      <c r="Q14" s="8"/>
      <c r="R14" s="8"/>
      <c r="S14" s="8"/>
      <c r="T14" s="8"/>
      <c r="U14" s="8"/>
      <c r="V14" s="8"/>
      <c r="W14" s="8"/>
      <c r="X14" s="8"/>
      <c r="Y14" s="8"/>
      <c r="Z14" s="8"/>
      <c r="AA14" s="8"/>
      <c r="AB14" s="8"/>
      <c r="AC14" s="8"/>
      <c r="AD14" s="8"/>
    </row>
    <row r="15" spans="1:30" ht="13">
      <c r="A15" s="58"/>
      <c r="B15" s="50">
        <v>12</v>
      </c>
      <c r="C15" s="16" t="s">
        <v>86</v>
      </c>
      <c r="D15" s="17">
        <v>0.18</v>
      </c>
      <c r="E15" s="43">
        <f t="shared" si="4"/>
        <v>0.34338937037393552</v>
      </c>
      <c r="F15" s="18">
        <f t="shared" si="1"/>
        <v>34.338937037393549</v>
      </c>
      <c r="G15" s="33">
        <f t="shared" si="2"/>
        <v>351.28732589253605</v>
      </c>
      <c r="H15" s="16"/>
      <c r="I15" s="189">
        <f t="shared" si="3"/>
        <v>22504.022387455865</v>
      </c>
      <c r="J15" s="8"/>
      <c r="K15" s="8" t="s">
        <v>596</v>
      </c>
      <c r="L15" s="8"/>
      <c r="M15" s="8"/>
      <c r="N15" s="8"/>
      <c r="P15" s="8"/>
      <c r="Q15" s="8"/>
      <c r="R15" s="8"/>
      <c r="S15" s="8"/>
      <c r="T15" s="8"/>
      <c r="U15" s="8"/>
      <c r="V15" s="8"/>
      <c r="W15" s="8"/>
      <c r="X15" s="8"/>
      <c r="Y15" s="8"/>
      <c r="Z15" s="8"/>
      <c r="AA15" s="8"/>
      <c r="AB15" s="8"/>
      <c r="AC15" s="8"/>
      <c r="AD15" s="8"/>
    </row>
    <row r="16" spans="1:30" ht="13">
      <c r="A16" s="58"/>
      <c r="B16" s="50">
        <v>13</v>
      </c>
      <c r="C16" s="43" t="s">
        <v>87</v>
      </c>
      <c r="D16" s="69">
        <f>0.18*2^0.2</f>
        <v>0.2067657038994663</v>
      </c>
      <c r="E16" s="43">
        <f t="shared" si="4"/>
        <v>0.36024940817582796</v>
      </c>
      <c r="F16" s="18">
        <f t="shared" si="1"/>
        <v>36.024940817582795</v>
      </c>
      <c r="G16" s="33">
        <f t="shared" si="2"/>
        <v>368.535144563872</v>
      </c>
      <c r="H16" s="16"/>
      <c r="I16" s="189"/>
      <c r="J16" s="8"/>
      <c r="K16" s="8" t="s">
        <v>597</v>
      </c>
      <c r="L16" s="8"/>
      <c r="M16" s="8"/>
      <c r="N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f t="shared" si="4"/>
        <v>0.38652921471022927</v>
      </c>
      <c r="F17" s="18">
        <f t="shared" si="1"/>
        <v>38.652921471022928</v>
      </c>
      <c r="G17" s="33">
        <f t="shared" si="2"/>
        <v>395.41938664856457</v>
      </c>
      <c r="H17" s="16"/>
      <c r="I17" s="189">
        <f t="shared" si="3"/>
        <v>25331.192086034876</v>
      </c>
      <c r="J17" s="8"/>
      <c r="L17" s="8"/>
      <c r="M17" s="8"/>
      <c r="N17" s="8"/>
      <c r="P17" s="8"/>
      <c r="Q17" s="8"/>
      <c r="R17" s="8"/>
      <c r="S17" s="8"/>
      <c r="T17" s="8"/>
      <c r="U17" s="8"/>
      <c r="V17" s="8"/>
      <c r="W17" s="8"/>
      <c r="X17" s="8"/>
      <c r="Y17" s="8"/>
      <c r="Z17" s="8"/>
      <c r="AA17" s="8"/>
      <c r="AB17" s="8"/>
      <c r="AC17" s="8"/>
      <c r="AD17" s="8"/>
    </row>
    <row r="18" spans="1:30" ht="13">
      <c r="A18" s="58"/>
      <c r="B18" s="50">
        <v>15</v>
      </c>
      <c r="C18" s="16" t="s">
        <v>89</v>
      </c>
      <c r="D18" s="17">
        <v>0.36</v>
      </c>
      <c r="E18" s="43">
        <f t="shared" si="4"/>
        <v>0.43263047731256132</v>
      </c>
      <c r="F18" s="18">
        <f t="shared" si="1"/>
        <v>43.26304773125613</v>
      </c>
      <c r="G18" s="33">
        <f t="shared" si="2"/>
        <v>442.58097829075024</v>
      </c>
      <c r="H18" s="16"/>
      <c r="I18" s="189">
        <f t="shared" si="3"/>
        <v>28352.438330678706</v>
      </c>
      <c r="J18" s="8"/>
      <c r="L18" s="8"/>
      <c r="M18" s="8"/>
      <c r="N18" s="8"/>
      <c r="P18" s="8"/>
      <c r="Q18" s="8"/>
      <c r="R18" s="8"/>
      <c r="S18" s="8"/>
      <c r="T18" s="8"/>
      <c r="U18" s="8"/>
      <c r="V18" s="8"/>
      <c r="W18" s="8"/>
      <c r="X18" s="8"/>
      <c r="Y18" s="8"/>
      <c r="Z18" s="8"/>
      <c r="AA18" s="8"/>
      <c r="AB18" s="8"/>
      <c r="AC18" s="8"/>
      <c r="AD18" s="8"/>
    </row>
    <row r="19" spans="1:30" ht="13">
      <c r="A19" s="58"/>
      <c r="B19" s="50">
        <v>16</v>
      </c>
      <c r="C19" s="16" t="s">
        <v>90</v>
      </c>
      <c r="D19" s="17">
        <v>0.72</v>
      </c>
      <c r="E19" s="43">
        <f t="shared" si="4"/>
        <v>0.53135712316125061</v>
      </c>
      <c r="F19" s="18">
        <f t="shared" si="1"/>
        <v>53.135712316125058</v>
      </c>
      <c r="G19" s="33">
        <f t="shared" si="2"/>
        <v>543.5783369939594</v>
      </c>
      <c r="H19" s="16"/>
      <c r="I19" s="189">
        <f t="shared" si="3"/>
        <v>34822.48906637256</v>
      </c>
      <c r="J19" s="8"/>
      <c r="K19" s="2" t="s">
        <v>626</v>
      </c>
      <c r="L19" s="8"/>
      <c r="M19" s="8"/>
      <c r="N19" s="8"/>
      <c r="P19" s="8"/>
      <c r="Q19" s="8"/>
      <c r="R19" s="8"/>
      <c r="S19" s="8"/>
      <c r="T19" s="8"/>
      <c r="U19" s="8"/>
      <c r="V19" s="8"/>
      <c r="W19" s="8"/>
      <c r="X19" s="8"/>
      <c r="Y19" s="8"/>
      <c r="Z19" s="8"/>
      <c r="AA19" s="8"/>
      <c r="AB19" s="8"/>
      <c r="AC19" s="8"/>
      <c r="AD19" s="8"/>
    </row>
    <row r="20" spans="1:30" ht="13">
      <c r="A20" s="58"/>
      <c r="B20" s="82">
        <v>17</v>
      </c>
      <c r="C20" s="73" t="s">
        <v>91</v>
      </c>
      <c r="D20" s="74">
        <f>0.18*2^2.322</f>
        <v>0.90004485786135058</v>
      </c>
      <c r="E20" s="98">
        <f t="shared" si="4"/>
        <v>0.56448103520760984</v>
      </c>
      <c r="F20" s="76">
        <f t="shared" si="1"/>
        <v>56.448103520760981</v>
      </c>
      <c r="G20" s="77">
        <f t="shared" si="2"/>
        <v>577.46409901738491</v>
      </c>
      <c r="H20" s="73" t="s">
        <v>205</v>
      </c>
      <c r="I20" s="189"/>
      <c r="J20" s="8"/>
      <c r="K20" s="8" t="s">
        <v>627</v>
      </c>
      <c r="L20" s="8"/>
      <c r="M20" s="8"/>
      <c r="N20" s="8"/>
      <c r="P20" s="8"/>
      <c r="Q20" s="8"/>
      <c r="R20" s="8"/>
      <c r="S20" s="8"/>
      <c r="T20" s="8"/>
      <c r="U20" s="8"/>
      <c r="V20" s="8"/>
      <c r="W20" s="8"/>
      <c r="X20" s="8"/>
      <c r="Y20" s="8"/>
      <c r="Z20" s="8"/>
      <c r="AA20" s="8"/>
      <c r="AB20" s="8"/>
      <c r="AC20" s="8"/>
      <c r="AD20" s="8"/>
    </row>
    <row r="21" spans="1:30" ht="13">
      <c r="A21" s="58"/>
      <c r="B21" s="50">
        <v>18</v>
      </c>
      <c r="C21" s="16" t="s">
        <v>92</v>
      </c>
      <c r="D21" s="17">
        <v>1.44</v>
      </c>
      <c r="E21" s="43">
        <f t="shared" si="4"/>
        <v>0.63565355161064208</v>
      </c>
      <c r="F21" s="18">
        <f t="shared" si="1"/>
        <v>63.565355161064204</v>
      </c>
      <c r="G21" s="33">
        <f t="shared" si="2"/>
        <v>650.27358329768686</v>
      </c>
      <c r="H21" s="16"/>
      <c r="I21" s="189">
        <f t="shared" si="3"/>
        <v>41657.555504803429</v>
      </c>
      <c r="J21" s="8"/>
      <c r="K21" s="8" t="s">
        <v>628</v>
      </c>
      <c r="L21" s="8"/>
      <c r="M21" s="8"/>
      <c r="N21" s="8"/>
      <c r="P21" s="8"/>
      <c r="Q21" s="8"/>
      <c r="R21" s="8"/>
      <c r="S21" s="8"/>
      <c r="T21" s="8"/>
      <c r="U21" s="8"/>
      <c r="V21" s="8"/>
      <c r="W21" s="8"/>
      <c r="X21" s="8"/>
      <c r="Y21" s="8"/>
      <c r="Z21" s="8"/>
      <c r="AA21" s="8"/>
      <c r="AB21" s="8"/>
      <c r="AC21" s="8"/>
      <c r="AD21" s="8"/>
    </row>
    <row r="22" spans="1:30" ht="13">
      <c r="A22" s="58"/>
      <c r="B22" s="50">
        <v>19</v>
      </c>
      <c r="C22" s="16" t="s">
        <v>93</v>
      </c>
      <c r="D22" s="17">
        <v>2.88</v>
      </c>
      <c r="E22" s="43">
        <f t="shared" si="4"/>
        <v>0.74298649263017424</v>
      </c>
      <c r="F22" s="18">
        <f t="shared" si="1"/>
        <v>74.298649263017424</v>
      </c>
      <c r="G22" s="33">
        <f t="shared" si="2"/>
        <v>760.07518196066826</v>
      </c>
      <c r="H22" s="16"/>
      <c r="I22" s="189">
        <f t="shared" si="3"/>
        <v>48691.619794518469</v>
      </c>
      <c r="J22" s="8"/>
      <c r="K22" s="8" t="s">
        <v>629</v>
      </c>
      <c r="L22" s="8"/>
      <c r="M22" s="8"/>
      <c r="N22" s="8"/>
      <c r="P22" s="8"/>
      <c r="Q22" s="8"/>
      <c r="R22" s="8"/>
      <c r="S22" s="8"/>
      <c r="T22" s="8"/>
      <c r="U22" s="8"/>
      <c r="V22" s="8"/>
      <c r="W22" s="8"/>
      <c r="X22" s="8"/>
      <c r="Y22" s="8"/>
      <c r="Z22" s="8"/>
      <c r="AA22" s="8"/>
      <c r="AB22" s="8"/>
      <c r="AC22" s="8"/>
      <c r="AD22" s="8"/>
    </row>
    <row r="23" spans="1:30" ht="13">
      <c r="A23" s="58"/>
      <c r="B23" s="50">
        <v>20</v>
      </c>
      <c r="C23" s="16" t="s">
        <v>94</v>
      </c>
      <c r="D23" s="17">
        <v>5.76</v>
      </c>
      <c r="E23" s="43">
        <f t="shared" si="4"/>
        <v>0.8519075727643256</v>
      </c>
      <c r="F23" s="18">
        <f t="shared" si="1"/>
        <v>85.190757276432564</v>
      </c>
      <c r="G23" s="33">
        <f t="shared" si="2"/>
        <v>871.50144693790514</v>
      </c>
      <c r="H23" s="16"/>
      <c r="I23" s="189">
        <f t="shared" si="3"/>
        <v>55829.762781110076</v>
      </c>
      <c r="J23" s="8"/>
      <c r="K23" s="2" t="s">
        <v>630</v>
      </c>
      <c r="L23" s="8"/>
      <c r="M23" s="8"/>
      <c r="N23" s="8"/>
      <c r="O23" s="2">
        <f>((0.3433893704-0.12512219)/1.9754798)</f>
        <v>0.11048818641425744</v>
      </c>
      <c r="P23" s="8"/>
      <c r="Q23" s="8"/>
      <c r="R23" s="8"/>
      <c r="S23" s="8"/>
      <c r="T23" s="8"/>
      <c r="U23" s="8"/>
      <c r="V23" s="8"/>
      <c r="W23" s="8"/>
      <c r="X23" s="8"/>
      <c r="Y23" s="8"/>
      <c r="Z23" s="8"/>
      <c r="AA23" s="8"/>
      <c r="AB23" s="8"/>
      <c r="AC23" s="8"/>
      <c r="AD23" s="8"/>
    </row>
    <row r="24" spans="1:30" ht="13">
      <c r="A24" s="58"/>
      <c r="B24" s="50">
        <v>21</v>
      </c>
      <c r="C24" s="16" t="s">
        <v>95</v>
      </c>
      <c r="D24" s="17">
        <v>11.52</v>
      </c>
      <c r="E24" s="43">
        <f t="shared" si="4"/>
        <v>0.96164117332636567</v>
      </c>
      <c r="F24" s="18">
        <f t="shared" si="1"/>
        <v>96.164117332636565</v>
      </c>
      <c r="G24" s="33">
        <f t="shared" si="2"/>
        <v>983.75892031287208</v>
      </c>
      <c r="H24" s="16" t="s">
        <v>631</v>
      </c>
      <c r="I24" s="189">
        <f t="shared" si="3"/>
        <v>63021.154293943371</v>
      </c>
      <c r="J24" s="8"/>
      <c r="K24" s="8" t="s">
        <v>632</v>
      </c>
      <c r="L24" s="8"/>
      <c r="M24" s="8"/>
      <c r="N24" s="8"/>
      <c r="P24" s="8"/>
      <c r="Q24" s="8"/>
      <c r="R24" s="8"/>
      <c r="S24" s="8"/>
      <c r="T24" s="8"/>
      <c r="U24" s="8"/>
      <c r="V24" s="8"/>
      <c r="W24" s="8"/>
      <c r="X24" s="8"/>
      <c r="Y24" s="8"/>
      <c r="Z24" s="8"/>
      <c r="AA24" s="8"/>
      <c r="AB24" s="8"/>
      <c r="AC24" s="8"/>
      <c r="AD24" s="8"/>
    </row>
    <row r="25" spans="1:30" ht="15">
      <c r="A25" s="58"/>
      <c r="B25" s="50">
        <v>22</v>
      </c>
      <c r="C25" s="133" t="s">
        <v>815</v>
      </c>
      <c r="D25" s="69">
        <f>0.18*2^6.34856111</f>
        <v>14.668301514224005</v>
      </c>
      <c r="E25" s="43">
        <f>(0.36726845*LOG10((14.98325*(D25/0.9))+1))+0.12240537</f>
        <v>1.000000001115749</v>
      </c>
      <c r="F25" s="71">
        <f>E25*100</f>
        <v>100.00000011157491</v>
      </c>
      <c r="G25" s="84">
        <f>E25*1023</f>
        <v>1023.0000011414113</v>
      </c>
      <c r="H25" s="16"/>
      <c r="I25" s="189"/>
      <c r="J25" s="8"/>
      <c r="K25" s="8" t="s">
        <v>633</v>
      </c>
      <c r="L25" s="8"/>
      <c r="M25" s="8"/>
      <c r="N25" s="8"/>
      <c r="O25" s="8">
        <f>POWER(10,(((0.3433893704-0.12240537)/0.36726845)-1))/14.98325</f>
        <v>2.6674119437726095E-2</v>
      </c>
      <c r="P25" s="8"/>
      <c r="Q25" s="8"/>
      <c r="R25" s="8"/>
      <c r="S25" s="8"/>
      <c r="T25" s="8"/>
      <c r="U25" s="8"/>
      <c r="V25" s="8"/>
      <c r="W25" s="8"/>
      <c r="X25" s="8"/>
      <c r="Y25" s="8"/>
      <c r="Z25" s="8"/>
      <c r="AA25" s="8"/>
      <c r="AB25" s="8"/>
      <c r="AC25" s="8"/>
      <c r="AD25" s="8"/>
    </row>
    <row r="26" spans="1:30" ht="13">
      <c r="A26" s="58"/>
      <c r="B26" s="50">
        <v>23</v>
      </c>
      <c r="C26" s="16"/>
      <c r="D26" s="17"/>
      <c r="E26" s="43"/>
      <c r="F26" s="18"/>
      <c r="G26" s="33"/>
      <c r="H26" s="16"/>
      <c r="I26" s="189"/>
      <c r="J26" s="8"/>
      <c r="K26" s="8"/>
      <c r="L26" s="8"/>
      <c r="M26" s="8"/>
      <c r="N26" s="8"/>
      <c r="P26" s="8"/>
      <c r="Q26" s="8"/>
      <c r="R26" s="8"/>
      <c r="S26" s="8"/>
      <c r="T26" s="8"/>
      <c r="U26" s="8"/>
      <c r="V26" s="8"/>
      <c r="W26" s="8"/>
      <c r="X26" s="8"/>
      <c r="Y26" s="8"/>
      <c r="Z26" s="8"/>
      <c r="AA26" s="8"/>
      <c r="AB26" s="8"/>
      <c r="AC26" s="8"/>
      <c r="AD26" s="8"/>
    </row>
    <row r="27" spans="1:30" ht="13">
      <c r="A27" s="58"/>
      <c r="B27" s="50">
        <v>24</v>
      </c>
      <c r="H27" s="43"/>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617</v>
      </c>
      <c r="D29" s="173" t="s">
        <v>142</v>
      </c>
      <c r="E29" s="166"/>
      <c r="F29" s="166"/>
      <c r="G29" s="167"/>
      <c r="H29" s="41" t="s">
        <v>228</v>
      </c>
      <c r="I29" s="187"/>
      <c r="J29" s="8"/>
      <c r="K29" s="8"/>
      <c r="L29" s="8"/>
      <c r="M29" s="8"/>
      <c r="N29" s="8"/>
      <c r="O29" s="8"/>
      <c r="P29" s="8"/>
      <c r="Q29" s="8"/>
      <c r="R29" s="8"/>
      <c r="S29" s="8"/>
      <c r="T29" s="8"/>
      <c r="U29" s="8"/>
      <c r="V29" s="8"/>
      <c r="W29" s="8"/>
      <c r="X29" s="8"/>
      <c r="Y29" s="8"/>
      <c r="Z29" s="8"/>
      <c r="AA29" s="8"/>
      <c r="AB29" s="8"/>
      <c r="AC29" s="8"/>
      <c r="AD29" s="8"/>
    </row>
    <row r="30" spans="1:30" ht="42">
      <c r="A30" s="8"/>
      <c r="B30" s="41" t="s">
        <v>58</v>
      </c>
      <c r="C30" s="41" t="s">
        <v>59</v>
      </c>
      <c r="D30" s="41" t="s">
        <v>143</v>
      </c>
      <c r="E30" s="83" t="s">
        <v>144</v>
      </c>
      <c r="F30" s="83" t="s">
        <v>145</v>
      </c>
      <c r="G30" s="83" t="s">
        <v>146</v>
      </c>
      <c r="H30" s="43"/>
      <c r="I30" s="185"/>
      <c r="J30" s="8"/>
      <c r="K30" s="8"/>
      <c r="L30" s="8"/>
      <c r="M30" s="8"/>
      <c r="N30" s="8"/>
      <c r="O30" s="8"/>
      <c r="P30" s="8"/>
      <c r="Q30" s="8"/>
      <c r="R30" s="8"/>
      <c r="S30" s="8"/>
      <c r="T30" s="8"/>
      <c r="U30" s="8"/>
      <c r="V30" s="8"/>
      <c r="W30" s="8"/>
      <c r="X30" s="8"/>
      <c r="Y30" s="8"/>
      <c r="Z30" s="8"/>
      <c r="AA30" s="8"/>
      <c r="AB30" s="8"/>
      <c r="AC30" s="8"/>
      <c r="AD30" s="8"/>
    </row>
    <row r="31" spans="1:30" ht="15">
      <c r="A31" s="58"/>
      <c r="B31" s="69">
        <v>1</v>
      </c>
      <c r="C31" s="43" t="s">
        <v>229</v>
      </c>
      <c r="D31" s="69">
        <v>7.0312499999999997E-4</v>
      </c>
      <c r="E31" s="43">
        <f t="shared" ref="E31:E72" si="5">(1.9754798*(D31/0.9))+0.12512219</f>
        <v>0.12666553359374999</v>
      </c>
      <c r="F31" s="71">
        <f t="shared" ref="F31:F176" si="6">E31*100</f>
        <v>12.666553359374999</v>
      </c>
      <c r="G31" s="84">
        <f t="shared" ref="G31:G176" si="7">E31*1023</f>
        <v>129.57884086640624</v>
      </c>
      <c r="H31" s="43"/>
      <c r="I31" s="185">
        <f t="shared" ref="I31:I94" si="8">E31*(2^16-1)</f>
        <v>8301.0257440664063</v>
      </c>
      <c r="J31" s="8"/>
      <c r="K31" s="8"/>
      <c r="L31" s="8"/>
      <c r="M31" s="8"/>
      <c r="N31" s="8"/>
      <c r="O31" s="8"/>
      <c r="P31" s="8"/>
      <c r="Q31" s="8"/>
      <c r="R31" s="8"/>
      <c r="S31" s="8"/>
      <c r="T31" s="8"/>
      <c r="U31" s="8"/>
      <c r="V31" s="8"/>
      <c r="W31" s="8"/>
      <c r="X31" s="8"/>
      <c r="Y31" s="8"/>
      <c r="Z31" s="8"/>
      <c r="AA31" s="8"/>
      <c r="AB31" s="8"/>
      <c r="AC31" s="8"/>
      <c r="AD31" s="8"/>
    </row>
    <row r="32" spans="1:30" ht="15">
      <c r="A32" s="58"/>
      <c r="B32" s="69">
        <v>2</v>
      </c>
      <c r="C32" s="43" t="s">
        <v>230</v>
      </c>
      <c r="D32" s="69">
        <v>7.5359071584583004E-4</v>
      </c>
      <c r="E32" s="43">
        <f t="shared" si="5"/>
        <v>0.12677630470735662</v>
      </c>
      <c r="F32" s="71">
        <f t="shared" si="6"/>
        <v>12.677630470735663</v>
      </c>
      <c r="G32" s="84">
        <f t="shared" si="7"/>
        <v>129.69215971562582</v>
      </c>
      <c r="H32" s="43"/>
      <c r="I32" s="185">
        <f t="shared" si="8"/>
        <v>8308.2851289966165</v>
      </c>
      <c r="J32" s="8"/>
      <c r="K32" s="8"/>
      <c r="L32" s="8"/>
      <c r="M32" s="8"/>
      <c r="N32" s="8"/>
      <c r="O32" s="8"/>
      <c r="P32" s="8"/>
      <c r="Q32" s="8"/>
      <c r="R32" s="8"/>
      <c r="S32" s="8"/>
      <c r="T32" s="8"/>
      <c r="U32" s="8"/>
      <c r="V32" s="8"/>
      <c r="W32" s="8"/>
      <c r="X32" s="8"/>
      <c r="Y32" s="8"/>
      <c r="Z32" s="8"/>
      <c r="AA32" s="8"/>
      <c r="AB32" s="8"/>
      <c r="AC32" s="8"/>
      <c r="AD32" s="8"/>
    </row>
    <row r="33" spans="1:30" ht="15">
      <c r="A33" s="58"/>
      <c r="B33" s="69">
        <v>3</v>
      </c>
      <c r="C33" s="43" t="s">
        <v>231</v>
      </c>
      <c r="D33" s="69">
        <v>8.0767853085729003E-4</v>
      </c>
      <c r="E33" s="43">
        <f t="shared" si="5"/>
        <v>0.12689502624733584</v>
      </c>
      <c r="F33" s="71">
        <f t="shared" si="6"/>
        <v>12.689502624733585</v>
      </c>
      <c r="G33" s="84">
        <f t="shared" si="7"/>
        <v>129.81361185102458</v>
      </c>
      <c r="H33" s="43"/>
      <c r="I33" s="185">
        <f t="shared" si="8"/>
        <v>8316.0655451191542</v>
      </c>
      <c r="J33" s="8"/>
      <c r="K33" s="8"/>
      <c r="L33" s="8"/>
      <c r="M33" s="8"/>
      <c r="N33" s="8"/>
      <c r="O33" s="8"/>
      <c r="P33" s="8"/>
      <c r="Q33" s="8"/>
      <c r="R33" s="8"/>
      <c r="S33" s="8"/>
      <c r="T33" s="8"/>
      <c r="U33" s="8"/>
      <c r="V33" s="8"/>
      <c r="W33" s="8"/>
      <c r="X33" s="8"/>
      <c r="Y33" s="8"/>
      <c r="Z33" s="8"/>
      <c r="AA33" s="8"/>
      <c r="AB33" s="8"/>
      <c r="AC33" s="8"/>
      <c r="AD33" s="8"/>
    </row>
    <row r="34" spans="1:30" ht="15">
      <c r="A34" s="58"/>
      <c r="B34" s="69">
        <v>4</v>
      </c>
      <c r="C34" s="43" t="s">
        <v>232</v>
      </c>
      <c r="D34" s="69">
        <v>8.6564841563314401E-4</v>
      </c>
      <c r="E34" s="43">
        <f t="shared" si="5"/>
        <v>0.12702226884331697</v>
      </c>
      <c r="F34" s="71">
        <f t="shared" si="6"/>
        <v>12.702226884331697</v>
      </c>
      <c r="G34" s="84">
        <f t="shared" si="7"/>
        <v>129.94378102671325</v>
      </c>
      <c r="H34" s="43"/>
      <c r="I34" s="185">
        <f t="shared" si="8"/>
        <v>8324.4043886467771</v>
      </c>
      <c r="J34" s="8"/>
      <c r="K34" s="8"/>
      <c r="L34" s="8"/>
      <c r="M34" s="8"/>
      <c r="N34" s="8"/>
      <c r="O34" s="8"/>
      <c r="P34" s="8"/>
      <c r="Q34" s="8"/>
      <c r="R34" s="8"/>
      <c r="S34" s="8"/>
      <c r="T34" s="8"/>
      <c r="U34" s="8"/>
      <c r="V34" s="8"/>
      <c r="W34" s="8"/>
      <c r="X34" s="8"/>
      <c r="Y34" s="8"/>
      <c r="Z34" s="8"/>
      <c r="AA34" s="8"/>
      <c r="AB34" s="8"/>
      <c r="AC34" s="8"/>
      <c r="AD34" s="8"/>
    </row>
    <row r="35" spans="1:30" ht="15">
      <c r="A35" s="58"/>
      <c r="B35" s="69">
        <v>5</v>
      </c>
      <c r="C35" s="43" t="s">
        <v>233</v>
      </c>
      <c r="D35" s="69">
        <v>9.2777899976219098E-4</v>
      </c>
      <c r="E35" s="43">
        <f t="shared" si="5"/>
        <v>0.12715864408099378</v>
      </c>
      <c r="F35" s="71">
        <f t="shared" si="6"/>
        <v>12.715864408099378</v>
      </c>
      <c r="G35" s="84">
        <f t="shared" si="7"/>
        <v>130.08329289485664</v>
      </c>
      <c r="H35" s="43"/>
      <c r="I35" s="185">
        <f t="shared" si="8"/>
        <v>8333.3417398479269</v>
      </c>
      <c r="J35" s="8"/>
      <c r="K35" s="8"/>
      <c r="L35" s="8"/>
      <c r="M35" s="8"/>
      <c r="N35" s="8"/>
      <c r="O35" s="8"/>
      <c r="P35" s="8"/>
      <c r="Q35" s="8"/>
      <c r="R35" s="8"/>
      <c r="S35" s="8"/>
      <c r="T35" s="8"/>
      <c r="U35" s="8"/>
      <c r="V35" s="8"/>
      <c r="W35" s="8"/>
      <c r="X35" s="8"/>
      <c r="Y35" s="8"/>
      <c r="Z35" s="8"/>
      <c r="AA35" s="8"/>
      <c r="AB35" s="8"/>
      <c r="AC35" s="8"/>
      <c r="AD35" s="8"/>
    </row>
    <row r="36" spans="1:30" ht="15">
      <c r="A36" s="58"/>
      <c r="B36" s="69">
        <v>6</v>
      </c>
      <c r="C36" s="43" t="s">
        <v>234</v>
      </c>
      <c r="D36" s="69">
        <v>9.9436891104358197E-4</v>
      </c>
      <c r="E36" s="43">
        <f t="shared" si="5"/>
        <v>0.12730480744168288</v>
      </c>
      <c r="F36" s="71">
        <f t="shared" si="6"/>
        <v>12.730480744168288</v>
      </c>
      <c r="G36" s="84">
        <f t="shared" si="7"/>
        <v>130.23281801284159</v>
      </c>
      <c r="H36" s="43"/>
      <c r="I36" s="185">
        <f t="shared" si="8"/>
        <v>8342.9205556906873</v>
      </c>
      <c r="J36" s="8"/>
      <c r="K36" s="8"/>
      <c r="L36" s="8"/>
      <c r="M36" s="8"/>
      <c r="N36" s="8"/>
      <c r="O36" s="8"/>
      <c r="P36" s="8"/>
      <c r="Q36" s="8"/>
      <c r="R36" s="8"/>
      <c r="S36" s="8"/>
      <c r="T36" s="8"/>
      <c r="U36" s="8"/>
      <c r="V36" s="8"/>
      <c r="W36" s="8"/>
      <c r="X36" s="8"/>
      <c r="Y36" s="8"/>
      <c r="Z36" s="8"/>
      <c r="AA36" s="8"/>
      <c r="AB36" s="8"/>
      <c r="AC36" s="8"/>
      <c r="AD36" s="8"/>
    </row>
    <row r="37" spans="1:30" ht="15">
      <c r="A37" s="58"/>
      <c r="B37" s="69">
        <v>7</v>
      </c>
      <c r="C37" s="43" t="s">
        <v>235</v>
      </c>
      <c r="D37" s="69">
        <v>1.06573821082762E-3</v>
      </c>
      <c r="E37" s="43">
        <f t="shared" si="5"/>
        <v>0.12746146145286455</v>
      </c>
      <c r="F37" s="71">
        <f t="shared" si="6"/>
        <v>12.746146145286454</v>
      </c>
      <c r="G37" s="84">
        <f t="shared" si="7"/>
        <v>130.39307506628043</v>
      </c>
      <c r="H37" s="43"/>
      <c r="I37" s="185">
        <f t="shared" si="8"/>
        <v>8353.1868763134789</v>
      </c>
      <c r="J37" s="8"/>
      <c r="K37" s="8"/>
      <c r="L37" s="8"/>
      <c r="M37" s="8"/>
      <c r="N37" s="8"/>
      <c r="O37" s="8"/>
      <c r="P37" s="8"/>
      <c r="Q37" s="8"/>
      <c r="R37" s="8"/>
      <c r="S37" s="8"/>
      <c r="T37" s="8"/>
      <c r="U37" s="8"/>
      <c r="V37" s="8"/>
      <c r="W37" s="8"/>
      <c r="X37" s="8"/>
      <c r="Y37" s="8"/>
      <c r="Z37" s="8"/>
      <c r="AA37" s="8"/>
      <c r="AB37" s="8"/>
      <c r="AC37" s="8"/>
      <c r="AD37" s="8"/>
    </row>
    <row r="38" spans="1:30" ht="15">
      <c r="A38" s="58"/>
      <c r="B38" s="69">
        <v>8</v>
      </c>
      <c r="C38" s="43" t="s">
        <v>236</v>
      </c>
      <c r="D38" s="69">
        <v>1.1422299323759499E-3</v>
      </c>
      <c r="E38" s="43">
        <f t="shared" si="5"/>
        <v>0.12762935906484896</v>
      </c>
      <c r="F38" s="71">
        <f t="shared" si="6"/>
        <v>12.762935906484895</v>
      </c>
      <c r="G38" s="84">
        <f t="shared" si="7"/>
        <v>130.56483432334048</v>
      </c>
      <c r="H38" s="43"/>
      <c r="I38" s="185">
        <f t="shared" si="8"/>
        <v>8364.1900463148759</v>
      </c>
      <c r="J38" s="8"/>
      <c r="K38" s="8"/>
      <c r="L38" s="8"/>
      <c r="M38" s="8"/>
      <c r="N38" s="8"/>
      <c r="O38" s="8"/>
      <c r="P38" s="8"/>
      <c r="Q38" s="8"/>
      <c r="R38" s="8"/>
      <c r="S38" s="8"/>
      <c r="T38" s="8"/>
      <c r="U38" s="8"/>
      <c r="V38" s="8"/>
      <c r="W38" s="8"/>
      <c r="X38" s="8"/>
      <c r="Y38" s="8"/>
      <c r="Z38" s="8"/>
      <c r="AA38" s="8"/>
      <c r="AB38" s="8"/>
      <c r="AC38" s="8"/>
      <c r="AD38" s="8"/>
    </row>
    <row r="39" spans="1:30" ht="15">
      <c r="A39" s="58"/>
      <c r="B39" s="69">
        <v>9</v>
      </c>
      <c r="C39" s="43" t="s">
        <v>237</v>
      </c>
      <c r="D39" s="69">
        <v>1.22421172963517E-3</v>
      </c>
      <c r="E39" s="43">
        <f t="shared" si="5"/>
        <v>0.12780930726979703</v>
      </c>
      <c r="F39" s="71">
        <f t="shared" si="6"/>
        <v>12.780930726979703</v>
      </c>
      <c r="G39" s="84">
        <f t="shared" si="7"/>
        <v>130.74892133700237</v>
      </c>
      <c r="H39" s="43"/>
      <c r="I39" s="185">
        <f t="shared" si="8"/>
        <v>8375.9829519261475</v>
      </c>
      <c r="J39" s="8"/>
      <c r="K39" s="8"/>
      <c r="L39" s="8"/>
      <c r="M39" s="8"/>
      <c r="N39" s="8"/>
      <c r="O39" s="8"/>
      <c r="P39" s="8"/>
      <c r="Q39" s="8"/>
      <c r="R39" s="8"/>
      <c r="S39" s="8"/>
      <c r="T39" s="8"/>
      <c r="U39" s="8"/>
      <c r="V39" s="8"/>
      <c r="W39" s="8"/>
      <c r="X39" s="8"/>
      <c r="Y39" s="8"/>
      <c r="Z39" s="8"/>
      <c r="AA39" s="8"/>
      <c r="AB39" s="8"/>
      <c r="AC39" s="8"/>
      <c r="AD39" s="8"/>
    </row>
    <row r="40" spans="1:30" ht="15">
      <c r="A40" s="58"/>
      <c r="B40" s="69">
        <v>10</v>
      </c>
      <c r="C40" s="43" t="s">
        <v>238</v>
      </c>
      <c r="D40" s="69">
        <v>1.31207764434863E-3</v>
      </c>
      <c r="E40" s="43">
        <f t="shared" si="5"/>
        <v>0.12800217098049144</v>
      </c>
      <c r="F40" s="71">
        <f t="shared" si="6"/>
        <v>12.800217098049144</v>
      </c>
      <c r="G40" s="84">
        <f t="shared" si="7"/>
        <v>130.94622091304274</v>
      </c>
      <c r="H40" s="43"/>
      <c r="I40" s="185">
        <f t="shared" si="8"/>
        <v>8388.6222752065059</v>
      </c>
      <c r="J40" s="8"/>
      <c r="K40" s="8"/>
      <c r="L40" s="8"/>
      <c r="M40" s="8"/>
      <c r="N40" s="8"/>
      <c r="O40" s="8"/>
      <c r="P40" s="8"/>
      <c r="Q40" s="8"/>
      <c r="R40" s="8"/>
      <c r="S40" s="8"/>
      <c r="T40" s="8"/>
      <c r="U40" s="8"/>
      <c r="V40" s="8"/>
      <c r="W40" s="8"/>
      <c r="X40" s="8"/>
      <c r="Y40" s="8"/>
      <c r="Z40" s="8"/>
      <c r="AA40" s="8"/>
      <c r="AB40" s="8"/>
      <c r="AC40" s="8"/>
      <c r="AD40" s="8"/>
    </row>
    <row r="41" spans="1:30" ht="15">
      <c r="A41" s="58"/>
      <c r="B41" s="69">
        <v>11</v>
      </c>
      <c r="C41" s="43" t="s">
        <v>239</v>
      </c>
      <c r="D41" s="69">
        <v>1.4062499999999999E-3</v>
      </c>
      <c r="E41" s="43">
        <f t="shared" si="5"/>
        <v>0.12820887718749999</v>
      </c>
      <c r="F41" s="71">
        <f t="shared" si="6"/>
        <v>12.820887718749999</v>
      </c>
      <c r="G41" s="84">
        <f t="shared" si="7"/>
        <v>131.1576813628125</v>
      </c>
      <c r="H41" s="43"/>
      <c r="I41" s="185">
        <f t="shared" si="8"/>
        <v>8402.1687664828114</v>
      </c>
      <c r="J41" s="8"/>
      <c r="K41" s="8"/>
      <c r="L41" s="8"/>
      <c r="M41" s="8"/>
      <c r="N41" s="8"/>
      <c r="O41" s="8"/>
      <c r="P41" s="8"/>
      <c r="Q41" s="8"/>
      <c r="R41" s="8"/>
      <c r="S41" s="8"/>
      <c r="T41" s="8"/>
      <c r="U41" s="8"/>
      <c r="V41" s="8"/>
      <c r="W41" s="8"/>
      <c r="X41" s="8"/>
      <c r="Y41" s="8"/>
      <c r="Z41" s="8"/>
      <c r="AA41" s="8"/>
      <c r="AB41" s="8"/>
      <c r="AC41" s="8"/>
      <c r="AD41" s="8"/>
    </row>
    <row r="42" spans="1:30" ht="15">
      <c r="A42" s="58"/>
      <c r="B42" s="69">
        <v>12</v>
      </c>
      <c r="C42" s="43" t="s">
        <v>240</v>
      </c>
      <c r="D42" s="69">
        <v>1.5071814316916601E-3</v>
      </c>
      <c r="E42" s="43">
        <f t="shared" si="5"/>
        <v>0.12843041941471328</v>
      </c>
      <c r="F42" s="71">
        <f t="shared" si="6"/>
        <v>12.843041941471329</v>
      </c>
      <c r="G42" s="84">
        <f t="shared" si="7"/>
        <v>131.38431906125169</v>
      </c>
      <c r="H42" s="43"/>
      <c r="I42" s="185">
        <f t="shared" si="8"/>
        <v>8416.6875363432355</v>
      </c>
      <c r="J42" s="8"/>
      <c r="K42" s="8"/>
      <c r="L42" s="8"/>
      <c r="M42" s="8"/>
      <c r="N42" s="8"/>
      <c r="O42" s="8"/>
      <c r="P42" s="8"/>
      <c r="Q42" s="8"/>
      <c r="R42" s="8"/>
      <c r="S42" s="8"/>
      <c r="T42" s="8"/>
      <c r="U42" s="8"/>
      <c r="V42" s="8"/>
      <c r="W42" s="8"/>
      <c r="X42" s="8"/>
      <c r="Y42" s="8"/>
      <c r="Z42" s="8"/>
      <c r="AA42" s="8"/>
      <c r="AB42" s="8"/>
      <c r="AC42" s="8"/>
      <c r="AD42" s="8"/>
    </row>
    <row r="43" spans="1:30" ht="15">
      <c r="A43" s="58"/>
      <c r="B43" s="69">
        <v>13</v>
      </c>
      <c r="C43" s="43" t="s">
        <v>241</v>
      </c>
      <c r="D43" s="69">
        <v>1.6153570617145801E-3</v>
      </c>
      <c r="E43" s="43">
        <f t="shared" si="5"/>
        <v>0.12866786249467166</v>
      </c>
      <c r="F43" s="71">
        <f t="shared" si="6"/>
        <v>12.866786249467166</v>
      </c>
      <c r="G43" s="84">
        <f t="shared" si="7"/>
        <v>131.62722333204911</v>
      </c>
      <c r="H43" s="43"/>
      <c r="I43" s="185">
        <f t="shared" si="8"/>
        <v>8432.2483685883071</v>
      </c>
      <c r="J43" s="8"/>
      <c r="K43" s="8"/>
      <c r="L43" s="8"/>
      <c r="M43" s="8"/>
      <c r="N43" s="8"/>
      <c r="O43" s="8"/>
      <c r="P43" s="8"/>
      <c r="Q43" s="8"/>
      <c r="R43" s="8"/>
      <c r="S43" s="8"/>
      <c r="T43" s="8"/>
      <c r="U43" s="8"/>
      <c r="V43" s="8"/>
      <c r="W43" s="8"/>
      <c r="X43" s="8"/>
      <c r="Y43" s="8"/>
      <c r="Z43" s="8"/>
      <c r="AA43" s="8"/>
      <c r="AB43" s="8"/>
      <c r="AC43" s="8"/>
      <c r="AD43" s="8"/>
    </row>
    <row r="44" spans="1:30" ht="15">
      <c r="A44" s="58"/>
      <c r="B44" s="69">
        <v>14</v>
      </c>
      <c r="C44" s="43" t="s">
        <v>242</v>
      </c>
      <c r="D44" s="69">
        <v>1.73129683126628E-3</v>
      </c>
      <c r="E44" s="43">
        <f t="shared" si="5"/>
        <v>0.12892234768663394</v>
      </c>
      <c r="F44" s="71">
        <f t="shared" si="6"/>
        <v>12.892234768663394</v>
      </c>
      <c r="G44" s="84">
        <f t="shared" si="7"/>
        <v>131.88756168342653</v>
      </c>
      <c r="H44" s="43"/>
      <c r="I44" s="185">
        <f t="shared" si="8"/>
        <v>8448.9260556435547</v>
      </c>
      <c r="J44" s="8"/>
      <c r="K44" s="8"/>
      <c r="L44" s="8"/>
      <c r="M44" s="8"/>
      <c r="N44" s="8"/>
      <c r="O44" s="8"/>
      <c r="P44" s="8"/>
      <c r="Q44" s="8"/>
      <c r="R44" s="8"/>
      <c r="S44" s="8"/>
      <c r="T44" s="8"/>
      <c r="U44" s="8"/>
      <c r="V44" s="8"/>
      <c r="W44" s="8"/>
      <c r="X44" s="8"/>
      <c r="Y44" s="8"/>
      <c r="Z44" s="8"/>
      <c r="AA44" s="8"/>
      <c r="AB44" s="8"/>
      <c r="AC44" s="8"/>
      <c r="AD44" s="8"/>
    </row>
    <row r="45" spans="1:30" ht="15">
      <c r="A45" s="58"/>
      <c r="B45" s="69">
        <v>15</v>
      </c>
      <c r="C45" s="43" t="s">
        <v>243</v>
      </c>
      <c r="D45" s="69">
        <v>1.85555799952438E-3</v>
      </c>
      <c r="E45" s="43">
        <f t="shared" si="5"/>
        <v>0.12919509816198757</v>
      </c>
      <c r="F45" s="71">
        <f t="shared" si="6"/>
        <v>12.919509816198756</v>
      </c>
      <c r="G45" s="84">
        <f t="shared" si="7"/>
        <v>132.16658541971327</v>
      </c>
      <c r="H45" s="43"/>
      <c r="I45" s="185">
        <f t="shared" si="8"/>
        <v>8466.8007580458561</v>
      </c>
      <c r="J45" s="8"/>
      <c r="K45" s="8"/>
      <c r="L45" s="8"/>
      <c r="M45" s="8"/>
      <c r="N45" s="8"/>
      <c r="O45" s="8"/>
      <c r="P45" s="8"/>
      <c r="Q45" s="8"/>
      <c r="R45" s="8"/>
      <c r="S45" s="8"/>
      <c r="T45" s="8"/>
      <c r="U45" s="8"/>
      <c r="V45" s="8"/>
      <c r="W45" s="8"/>
      <c r="X45" s="8"/>
      <c r="Y45" s="8"/>
      <c r="Z45" s="8"/>
      <c r="AA45" s="8"/>
      <c r="AB45" s="8"/>
      <c r="AC45" s="8"/>
      <c r="AD45" s="8"/>
    </row>
    <row r="46" spans="1:30" ht="15">
      <c r="A46" s="58"/>
      <c r="B46" s="69">
        <v>16</v>
      </c>
      <c r="C46" s="43" t="s">
        <v>244</v>
      </c>
      <c r="D46" s="69">
        <v>1.98873782208716E-3</v>
      </c>
      <c r="E46" s="43">
        <f t="shared" si="5"/>
        <v>0.12948742488336576</v>
      </c>
      <c r="F46" s="71">
        <f t="shared" si="6"/>
        <v>12.948742488336576</v>
      </c>
      <c r="G46" s="84">
        <f t="shared" si="7"/>
        <v>132.46563565568317</v>
      </c>
      <c r="H46" s="43"/>
      <c r="I46" s="185">
        <f t="shared" si="8"/>
        <v>8485.9583897313751</v>
      </c>
      <c r="J46" s="8"/>
      <c r="K46" s="8"/>
      <c r="L46" s="8"/>
      <c r="M46" s="8"/>
      <c r="N46" s="8"/>
      <c r="O46" s="8"/>
      <c r="P46" s="8"/>
      <c r="Q46" s="8"/>
      <c r="R46" s="8"/>
      <c r="S46" s="8"/>
      <c r="T46" s="8"/>
      <c r="U46" s="8"/>
      <c r="V46" s="8"/>
      <c r="W46" s="8"/>
      <c r="X46" s="8"/>
      <c r="Y46" s="8"/>
      <c r="Z46" s="8"/>
      <c r="AA46" s="8"/>
      <c r="AB46" s="8"/>
      <c r="AC46" s="8"/>
      <c r="AD46" s="8"/>
    </row>
    <row r="47" spans="1:30" ht="15">
      <c r="A47" s="58"/>
      <c r="B47" s="69">
        <v>17</v>
      </c>
      <c r="C47" s="43" t="s">
        <v>245</v>
      </c>
      <c r="D47" s="69">
        <v>2.13147642165524E-3</v>
      </c>
      <c r="E47" s="43">
        <f t="shared" si="5"/>
        <v>0.1298007329057291</v>
      </c>
      <c r="F47" s="71">
        <f t="shared" si="6"/>
        <v>12.980073290572911</v>
      </c>
      <c r="G47" s="84">
        <f t="shared" si="7"/>
        <v>132.78614976256088</v>
      </c>
      <c r="H47" s="43"/>
      <c r="I47" s="185">
        <f t="shared" si="8"/>
        <v>8506.4910309769566</v>
      </c>
      <c r="J47" s="8"/>
      <c r="K47" s="8"/>
      <c r="L47" s="8"/>
      <c r="M47" s="8"/>
      <c r="N47" s="8"/>
      <c r="O47" s="8"/>
      <c r="P47" s="8"/>
      <c r="Q47" s="8"/>
      <c r="R47" s="8"/>
      <c r="S47" s="8"/>
      <c r="T47" s="8"/>
      <c r="U47" s="8"/>
      <c r="V47" s="8"/>
      <c r="W47" s="8"/>
      <c r="X47" s="8"/>
      <c r="Y47" s="8"/>
      <c r="Z47" s="8"/>
      <c r="AA47" s="8"/>
      <c r="AB47" s="8"/>
      <c r="AC47" s="8"/>
      <c r="AD47" s="8"/>
    </row>
    <row r="48" spans="1:30" ht="15">
      <c r="A48" s="58"/>
      <c r="B48" s="69">
        <v>18</v>
      </c>
      <c r="C48" s="43" t="s">
        <v>246</v>
      </c>
      <c r="D48" s="69">
        <v>2.2844598647519098E-3</v>
      </c>
      <c r="E48" s="43">
        <f t="shared" si="5"/>
        <v>0.13013652812969792</v>
      </c>
      <c r="F48" s="71">
        <f t="shared" si="6"/>
        <v>13.013652812969791</v>
      </c>
      <c r="G48" s="84">
        <f t="shared" si="7"/>
        <v>133.12966827668097</v>
      </c>
      <c r="H48" s="43"/>
      <c r="I48" s="185">
        <f t="shared" si="8"/>
        <v>8528.4973709797523</v>
      </c>
      <c r="J48" s="8"/>
      <c r="K48" s="8"/>
      <c r="L48" s="8"/>
      <c r="M48" s="8"/>
      <c r="N48" s="8"/>
      <c r="O48" s="8"/>
      <c r="P48" s="8"/>
      <c r="Q48" s="8"/>
      <c r="R48" s="8"/>
      <c r="S48" s="8"/>
      <c r="T48" s="8"/>
      <c r="U48" s="8"/>
      <c r="V48" s="8"/>
      <c r="W48" s="8"/>
      <c r="X48" s="8"/>
      <c r="Y48" s="8"/>
      <c r="Z48" s="8"/>
      <c r="AA48" s="8"/>
      <c r="AB48" s="8"/>
      <c r="AC48" s="8"/>
      <c r="AD48" s="8"/>
    </row>
    <row r="49" spans="1:30" ht="15">
      <c r="A49" s="58"/>
      <c r="B49" s="69">
        <v>19</v>
      </c>
      <c r="C49" s="43" t="s">
        <v>247</v>
      </c>
      <c r="D49" s="69">
        <v>2.44842345927034E-3</v>
      </c>
      <c r="E49" s="43">
        <f t="shared" si="5"/>
        <v>0.13049642453959409</v>
      </c>
      <c r="F49" s="71">
        <f t="shared" si="6"/>
        <v>13.049642453959409</v>
      </c>
      <c r="G49" s="84">
        <f t="shared" si="7"/>
        <v>133.49784230400476</v>
      </c>
      <c r="H49" s="43"/>
      <c r="I49" s="185">
        <f t="shared" si="8"/>
        <v>8552.0831822022992</v>
      </c>
      <c r="J49" s="8"/>
      <c r="K49" s="8"/>
      <c r="L49" s="8"/>
      <c r="M49" s="8"/>
      <c r="N49" s="8"/>
      <c r="O49" s="8"/>
      <c r="P49" s="8"/>
      <c r="Q49" s="8"/>
      <c r="R49" s="8"/>
      <c r="S49" s="8"/>
      <c r="T49" s="8"/>
      <c r="U49" s="8"/>
      <c r="V49" s="8"/>
      <c r="W49" s="8"/>
      <c r="X49" s="8"/>
      <c r="Y49" s="8"/>
      <c r="Z49" s="8"/>
      <c r="AA49" s="8"/>
      <c r="AB49" s="8"/>
      <c r="AC49" s="8"/>
      <c r="AD49" s="8"/>
    </row>
    <row r="50" spans="1:30" ht="15">
      <c r="A50" s="58"/>
      <c r="B50" s="69">
        <v>20</v>
      </c>
      <c r="C50" s="43" t="s">
        <v>248</v>
      </c>
      <c r="D50" s="69">
        <v>2.6241552886972701E-3</v>
      </c>
      <c r="E50" s="43">
        <f t="shared" si="5"/>
        <v>0.13088215196098291</v>
      </c>
      <c r="F50" s="71">
        <f t="shared" si="6"/>
        <v>13.088215196098291</v>
      </c>
      <c r="G50" s="84">
        <f t="shared" si="7"/>
        <v>133.89244145608552</v>
      </c>
      <c r="H50" s="43"/>
      <c r="I50" s="185">
        <f t="shared" si="8"/>
        <v>8577.3618287630143</v>
      </c>
      <c r="J50" s="8"/>
      <c r="K50" s="8"/>
      <c r="L50" s="8"/>
      <c r="M50" s="8"/>
      <c r="N50" s="8"/>
      <c r="O50" s="8"/>
      <c r="P50" s="8"/>
      <c r="Q50" s="8"/>
      <c r="R50" s="8"/>
      <c r="S50" s="8"/>
      <c r="T50" s="8"/>
      <c r="U50" s="8"/>
      <c r="V50" s="8"/>
      <c r="W50" s="8"/>
      <c r="X50" s="8"/>
      <c r="Y50" s="8"/>
      <c r="Z50" s="8"/>
      <c r="AA50" s="8"/>
      <c r="AB50" s="8"/>
      <c r="AC50" s="8"/>
      <c r="AD50" s="8"/>
    </row>
    <row r="51" spans="1:30" ht="15">
      <c r="A51" s="58"/>
      <c r="B51" s="69">
        <v>21</v>
      </c>
      <c r="C51" s="43" t="s">
        <v>249</v>
      </c>
      <c r="D51" s="69">
        <v>2.8124999999999999E-3</v>
      </c>
      <c r="E51" s="43">
        <f t="shared" si="5"/>
        <v>0.13129556437500001</v>
      </c>
      <c r="F51" s="71">
        <f t="shared" si="6"/>
        <v>13.1295564375</v>
      </c>
      <c r="G51" s="84">
        <f t="shared" si="7"/>
        <v>134.31536235562501</v>
      </c>
      <c r="H51" s="43"/>
      <c r="I51" s="185">
        <f t="shared" si="8"/>
        <v>8604.4548113156252</v>
      </c>
      <c r="J51" s="8"/>
      <c r="K51" s="8"/>
      <c r="L51" s="8"/>
      <c r="M51" s="8"/>
      <c r="N51" s="8"/>
      <c r="O51" s="8"/>
      <c r="P51" s="8"/>
      <c r="Q51" s="8"/>
      <c r="R51" s="8"/>
      <c r="S51" s="8"/>
      <c r="T51" s="8"/>
      <c r="U51" s="8"/>
      <c r="V51" s="8"/>
      <c r="W51" s="8"/>
      <c r="X51" s="8"/>
      <c r="Y51" s="8"/>
      <c r="Z51" s="8"/>
      <c r="AA51" s="8"/>
      <c r="AB51" s="8"/>
      <c r="AC51" s="8"/>
      <c r="AD51" s="8"/>
    </row>
    <row r="52" spans="1:30" ht="15">
      <c r="A52" s="58"/>
      <c r="B52" s="69">
        <v>22</v>
      </c>
      <c r="C52" s="43" t="s">
        <v>250</v>
      </c>
      <c r="D52" s="69">
        <v>3.0143628633833202E-3</v>
      </c>
      <c r="E52" s="43">
        <f t="shared" si="5"/>
        <v>0.13173864882942657</v>
      </c>
      <c r="F52" s="71">
        <f t="shared" si="6"/>
        <v>13.173864882942658</v>
      </c>
      <c r="G52" s="84">
        <f t="shared" si="7"/>
        <v>134.76863775250337</v>
      </c>
      <c r="H52" s="43"/>
      <c r="I52" s="185">
        <f t="shared" si="8"/>
        <v>8633.4923510364697</v>
      </c>
      <c r="J52" s="8"/>
      <c r="K52" s="8"/>
      <c r="L52" s="8"/>
      <c r="M52" s="8"/>
      <c r="N52" s="8"/>
      <c r="O52" s="8"/>
      <c r="P52" s="8"/>
      <c r="Q52" s="8"/>
      <c r="R52" s="8"/>
      <c r="S52" s="8"/>
      <c r="T52" s="8"/>
      <c r="U52" s="8"/>
      <c r="V52" s="8"/>
      <c r="W52" s="8"/>
      <c r="X52" s="8"/>
      <c r="Y52" s="8"/>
      <c r="Z52" s="8"/>
      <c r="AA52" s="8"/>
      <c r="AB52" s="8"/>
      <c r="AC52" s="8"/>
      <c r="AD52" s="8"/>
    </row>
    <row r="53" spans="1:30" ht="15">
      <c r="A53" s="58"/>
      <c r="B53" s="69">
        <v>23</v>
      </c>
      <c r="C53" s="43" t="s">
        <v>251</v>
      </c>
      <c r="D53" s="69">
        <v>3.2307141234291601E-3</v>
      </c>
      <c r="E53" s="43">
        <f t="shared" si="5"/>
        <v>0.13221353498934335</v>
      </c>
      <c r="F53" s="71">
        <f t="shared" si="6"/>
        <v>13.221353498934334</v>
      </c>
      <c r="G53" s="84">
        <f t="shared" si="7"/>
        <v>135.25444629409824</v>
      </c>
      <c r="H53" s="43"/>
      <c r="I53" s="185">
        <f t="shared" si="8"/>
        <v>8664.6140155266166</v>
      </c>
      <c r="J53" s="8"/>
      <c r="K53" s="8"/>
      <c r="L53" s="8"/>
      <c r="M53" s="8"/>
      <c r="N53" s="8"/>
      <c r="O53" s="8"/>
      <c r="P53" s="8"/>
      <c r="Q53" s="8"/>
      <c r="R53" s="8"/>
      <c r="S53" s="8"/>
      <c r="T53" s="8"/>
      <c r="U53" s="8"/>
      <c r="V53" s="8"/>
      <c r="W53" s="8"/>
      <c r="X53" s="8"/>
      <c r="Y53" s="8"/>
      <c r="Z53" s="8"/>
      <c r="AA53" s="8"/>
      <c r="AB53" s="8"/>
      <c r="AC53" s="8"/>
      <c r="AD53" s="8"/>
    </row>
    <row r="54" spans="1:30" ht="15">
      <c r="A54" s="58"/>
      <c r="B54" s="69">
        <v>24</v>
      </c>
      <c r="C54" s="43" t="s">
        <v>252</v>
      </c>
      <c r="D54" s="69">
        <v>3.46259366253257E-3</v>
      </c>
      <c r="E54" s="43">
        <f t="shared" si="5"/>
        <v>0.13272250537326788</v>
      </c>
      <c r="F54" s="71">
        <f t="shared" si="6"/>
        <v>13.272250537326787</v>
      </c>
      <c r="G54" s="84">
        <f t="shared" si="7"/>
        <v>135.77512299685304</v>
      </c>
      <c r="H54" s="43"/>
      <c r="I54" s="185">
        <f t="shared" si="8"/>
        <v>8697.96938963711</v>
      </c>
      <c r="J54" s="8"/>
      <c r="K54" s="8"/>
      <c r="L54" s="8"/>
      <c r="M54" s="8"/>
      <c r="N54" s="8"/>
      <c r="O54" s="8"/>
      <c r="P54" s="8"/>
      <c r="Q54" s="8"/>
      <c r="R54" s="8"/>
      <c r="S54" s="8"/>
      <c r="T54" s="8"/>
      <c r="U54" s="8"/>
      <c r="V54" s="8"/>
      <c r="W54" s="8"/>
      <c r="X54" s="8"/>
      <c r="Y54" s="8"/>
      <c r="Z54" s="8"/>
      <c r="AA54" s="8"/>
      <c r="AB54" s="8"/>
      <c r="AC54" s="8"/>
      <c r="AD54" s="8"/>
    </row>
    <row r="55" spans="1:30" ht="15">
      <c r="A55" s="58"/>
      <c r="B55" s="69">
        <v>25</v>
      </c>
      <c r="C55" s="43" t="s">
        <v>253</v>
      </c>
      <c r="D55" s="69">
        <v>3.71111599904876E-3</v>
      </c>
      <c r="E55" s="43">
        <f t="shared" si="5"/>
        <v>0.13326800632397515</v>
      </c>
      <c r="F55" s="71">
        <f t="shared" si="6"/>
        <v>13.326800632397514</v>
      </c>
      <c r="G55" s="84">
        <f t="shared" si="7"/>
        <v>136.33317046942656</v>
      </c>
      <c r="H55" s="43"/>
      <c r="I55" s="185">
        <f t="shared" si="8"/>
        <v>8733.718794441711</v>
      </c>
      <c r="J55" s="8"/>
      <c r="K55" s="8"/>
      <c r="L55" s="8"/>
      <c r="M55" s="8"/>
      <c r="N55" s="8"/>
      <c r="O55" s="8"/>
      <c r="P55" s="8"/>
      <c r="Q55" s="8"/>
      <c r="R55" s="8"/>
      <c r="S55" s="8"/>
      <c r="T55" s="8"/>
      <c r="U55" s="8"/>
      <c r="V55" s="8"/>
      <c r="W55" s="8"/>
      <c r="X55" s="8"/>
      <c r="Y55" s="8"/>
      <c r="Z55" s="8"/>
      <c r="AA55" s="8"/>
      <c r="AB55" s="8"/>
      <c r="AC55" s="8"/>
      <c r="AD55" s="8"/>
    </row>
    <row r="56" spans="1:30" ht="15">
      <c r="A56" s="58"/>
      <c r="B56" s="69">
        <v>26</v>
      </c>
      <c r="C56" s="43" t="s">
        <v>254</v>
      </c>
      <c r="D56" s="69">
        <v>3.9774756441743296E-3</v>
      </c>
      <c r="E56" s="43">
        <f t="shared" si="5"/>
        <v>0.13385265976673152</v>
      </c>
      <c r="F56" s="71">
        <f t="shared" si="6"/>
        <v>13.385265976673152</v>
      </c>
      <c r="G56" s="84">
        <f t="shared" si="7"/>
        <v>136.93127094136634</v>
      </c>
      <c r="H56" s="43"/>
      <c r="I56" s="185">
        <f t="shared" si="8"/>
        <v>8772.0340578127507</v>
      </c>
      <c r="J56" s="8"/>
      <c r="K56" s="8"/>
      <c r="L56" s="8"/>
      <c r="M56" s="8"/>
      <c r="N56" s="8"/>
      <c r="O56" s="8"/>
      <c r="P56" s="8"/>
      <c r="Q56" s="8"/>
      <c r="R56" s="8"/>
      <c r="S56" s="8"/>
      <c r="T56" s="8"/>
      <c r="U56" s="8"/>
      <c r="V56" s="8"/>
      <c r="W56" s="8"/>
      <c r="X56" s="8"/>
      <c r="Y56" s="8"/>
      <c r="Z56" s="8"/>
      <c r="AA56" s="8"/>
      <c r="AB56" s="8"/>
      <c r="AC56" s="8"/>
      <c r="AD56" s="8"/>
    </row>
    <row r="57" spans="1:30" ht="15">
      <c r="A57" s="58"/>
      <c r="B57" s="69">
        <v>27</v>
      </c>
      <c r="C57" s="43" t="s">
        <v>255</v>
      </c>
      <c r="D57" s="69">
        <v>4.2629528433104904E-3</v>
      </c>
      <c r="E57" s="43">
        <f t="shared" si="5"/>
        <v>0.13447927581145827</v>
      </c>
      <c r="F57" s="71">
        <f t="shared" si="6"/>
        <v>13.447927581145827</v>
      </c>
      <c r="G57" s="84">
        <f t="shared" si="7"/>
        <v>137.57229915512181</v>
      </c>
      <c r="H57" s="43"/>
      <c r="I57" s="185">
        <f t="shared" si="8"/>
        <v>8813.0993403039174</v>
      </c>
      <c r="J57" s="8"/>
      <c r="K57" s="8"/>
      <c r="L57" s="8"/>
      <c r="M57" s="8"/>
      <c r="N57" s="8"/>
      <c r="O57" s="8"/>
      <c r="P57" s="8"/>
      <c r="Q57" s="8"/>
      <c r="R57" s="8"/>
      <c r="S57" s="8"/>
      <c r="T57" s="8"/>
      <c r="U57" s="8"/>
      <c r="V57" s="8"/>
      <c r="W57" s="8"/>
      <c r="X57" s="8"/>
      <c r="Y57" s="8"/>
      <c r="Z57" s="8"/>
      <c r="AA57" s="8"/>
      <c r="AB57" s="8"/>
      <c r="AC57" s="8"/>
      <c r="AD57" s="8"/>
    </row>
    <row r="58" spans="1:30" ht="15">
      <c r="A58" s="58"/>
      <c r="B58" s="69">
        <v>28</v>
      </c>
      <c r="C58" s="43" t="s">
        <v>256</v>
      </c>
      <c r="D58" s="69">
        <v>4.5689197295038196E-3</v>
      </c>
      <c r="E58" s="43">
        <f t="shared" si="5"/>
        <v>0.13515086625939585</v>
      </c>
      <c r="F58" s="71">
        <f t="shared" si="6"/>
        <v>13.515086625939585</v>
      </c>
      <c r="G58" s="84">
        <f t="shared" si="7"/>
        <v>138.25933618336194</v>
      </c>
      <c r="H58" s="43"/>
      <c r="I58" s="185">
        <f t="shared" si="8"/>
        <v>8857.112020309507</v>
      </c>
      <c r="J58" s="8"/>
      <c r="K58" s="8"/>
      <c r="L58" s="8"/>
      <c r="M58" s="8"/>
      <c r="N58" s="8"/>
      <c r="O58" s="8"/>
      <c r="P58" s="8"/>
      <c r="Q58" s="8"/>
      <c r="R58" s="8"/>
      <c r="S58" s="8"/>
      <c r="T58" s="8"/>
      <c r="U58" s="8"/>
      <c r="V58" s="8"/>
      <c r="W58" s="8"/>
      <c r="X58" s="8"/>
      <c r="Y58" s="8"/>
      <c r="Z58" s="8"/>
      <c r="AA58" s="8"/>
      <c r="AB58" s="8"/>
      <c r="AC58" s="8"/>
      <c r="AD58" s="8"/>
    </row>
    <row r="59" spans="1:30" ht="15">
      <c r="A59" s="58"/>
      <c r="B59" s="69">
        <v>29</v>
      </c>
      <c r="C59" s="43" t="s">
        <v>257</v>
      </c>
      <c r="D59" s="69">
        <v>4.8968469185406904E-3</v>
      </c>
      <c r="E59" s="43">
        <f t="shared" si="5"/>
        <v>0.13587065907918819</v>
      </c>
      <c r="F59" s="71">
        <f t="shared" si="6"/>
        <v>13.587065907918818</v>
      </c>
      <c r="G59" s="84">
        <f t="shared" si="7"/>
        <v>138.99568423800952</v>
      </c>
      <c r="H59" s="43"/>
      <c r="I59" s="185">
        <f t="shared" si="8"/>
        <v>8904.2836427545972</v>
      </c>
      <c r="J59" s="8"/>
      <c r="K59" s="8"/>
      <c r="L59" s="8"/>
      <c r="M59" s="8"/>
      <c r="N59" s="8"/>
      <c r="O59" s="8"/>
      <c r="P59" s="8"/>
      <c r="Q59" s="8"/>
      <c r="R59" s="8"/>
      <c r="S59" s="8"/>
      <c r="T59" s="8"/>
      <c r="U59" s="8"/>
      <c r="V59" s="8"/>
      <c r="W59" s="8"/>
      <c r="X59" s="8"/>
      <c r="Y59" s="8"/>
      <c r="Z59" s="8"/>
      <c r="AA59" s="8"/>
      <c r="AB59" s="8"/>
      <c r="AC59" s="8"/>
      <c r="AD59" s="8"/>
    </row>
    <row r="60" spans="1:30" ht="15">
      <c r="A60" s="58"/>
      <c r="B60" s="69">
        <v>30</v>
      </c>
      <c r="C60" s="43" t="s">
        <v>258</v>
      </c>
      <c r="D60" s="69">
        <v>5.2483105773945401E-3</v>
      </c>
      <c r="E60" s="43">
        <f t="shared" si="5"/>
        <v>0.13664211392196582</v>
      </c>
      <c r="F60" s="71">
        <f t="shared" si="6"/>
        <v>13.664211392196583</v>
      </c>
      <c r="G60" s="84">
        <f t="shared" si="7"/>
        <v>139.78488254217103</v>
      </c>
      <c r="H60" s="43"/>
      <c r="I60" s="185">
        <f t="shared" si="8"/>
        <v>8954.8409358760291</v>
      </c>
      <c r="J60" s="8"/>
      <c r="K60" s="8"/>
      <c r="L60" s="8"/>
      <c r="M60" s="8"/>
      <c r="N60" s="8"/>
      <c r="O60" s="8"/>
      <c r="P60" s="8"/>
      <c r="Q60" s="8"/>
      <c r="R60" s="8"/>
      <c r="S60" s="8"/>
      <c r="T60" s="8"/>
      <c r="U60" s="8"/>
      <c r="V60" s="8"/>
      <c r="W60" s="8"/>
      <c r="X60" s="8"/>
      <c r="Y60" s="8"/>
      <c r="Z60" s="8"/>
      <c r="AA60" s="8"/>
      <c r="AB60" s="8"/>
      <c r="AC60" s="8"/>
      <c r="AD60" s="8"/>
    </row>
    <row r="61" spans="1:30" ht="15">
      <c r="A61" s="58"/>
      <c r="B61" s="69">
        <v>31</v>
      </c>
      <c r="C61" s="43" t="s">
        <v>259</v>
      </c>
      <c r="D61" s="69">
        <v>5.6249999999999998E-3</v>
      </c>
      <c r="E61" s="43">
        <f t="shared" si="5"/>
        <v>0.13746893874999999</v>
      </c>
      <c r="F61" s="71">
        <f t="shared" si="6"/>
        <v>13.746893875</v>
      </c>
      <c r="G61" s="84">
        <f t="shared" si="7"/>
        <v>140.63072434124999</v>
      </c>
      <c r="H61" s="43"/>
      <c r="I61" s="185">
        <f t="shared" si="8"/>
        <v>9009.0269009812491</v>
      </c>
      <c r="J61" s="8"/>
      <c r="K61" s="8"/>
      <c r="L61" s="8"/>
      <c r="M61" s="8"/>
      <c r="N61" s="8"/>
      <c r="O61" s="8"/>
      <c r="P61" s="8"/>
      <c r="Q61" s="8"/>
      <c r="R61" s="8"/>
      <c r="S61" s="8"/>
      <c r="T61" s="8"/>
      <c r="U61" s="8"/>
      <c r="V61" s="8"/>
      <c r="W61" s="8"/>
      <c r="X61" s="8"/>
      <c r="Y61" s="8"/>
      <c r="Z61" s="8"/>
      <c r="AA61" s="8"/>
      <c r="AB61" s="8"/>
      <c r="AC61" s="8"/>
      <c r="AD61" s="8"/>
    </row>
    <row r="62" spans="1:30" ht="15">
      <c r="A62" s="58"/>
      <c r="B62" s="69">
        <v>32</v>
      </c>
      <c r="C62" s="43" t="s">
        <v>260</v>
      </c>
      <c r="D62" s="69">
        <v>6.0287257267666403E-3</v>
      </c>
      <c r="E62" s="43">
        <f t="shared" si="5"/>
        <v>0.13835510765885312</v>
      </c>
      <c r="F62" s="71">
        <f t="shared" si="6"/>
        <v>13.835510765885312</v>
      </c>
      <c r="G62" s="84">
        <f t="shared" si="7"/>
        <v>141.53727513500675</v>
      </c>
      <c r="H62" s="43"/>
      <c r="I62" s="185">
        <f t="shared" si="8"/>
        <v>9067.1019804229381</v>
      </c>
      <c r="J62" s="8"/>
      <c r="K62" s="8"/>
      <c r="L62" s="8"/>
      <c r="M62" s="8"/>
      <c r="N62" s="8"/>
      <c r="O62" s="8"/>
      <c r="P62" s="8"/>
      <c r="Q62" s="8"/>
      <c r="R62" s="8"/>
      <c r="S62" s="8"/>
      <c r="T62" s="8"/>
      <c r="U62" s="8"/>
      <c r="V62" s="8"/>
      <c r="W62" s="8"/>
      <c r="X62" s="8"/>
      <c r="Y62" s="8"/>
      <c r="Z62" s="8"/>
      <c r="AA62" s="8"/>
      <c r="AB62" s="8"/>
      <c r="AC62" s="8"/>
      <c r="AD62" s="8"/>
    </row>
    <row r="63" spans="1:30" ht="15">
      <c r="A63" s="58"/>
      <c r="B63" s="69">
        <v>33</v>
      </c>
      <c r="C63" s="43" t="s">
        <v>261</v>
      </c>
      <c r="D63" s="69">
        <v>6.4614282468583202E-3</v>
      </c>
      <c r="E63" s="43">
        <f t="shared" si="5"/>
        <v>0.13930487997868668</v>
      </c>
      <c r="F63" s="71">
        <f t="shared" si="6"/>
        <v>13.930487997868667</v>
      </c>
      <c r="G63" s="84">
        <f t="shared" si="7"/>
        <v>142.50889221819648</v>
      </c>
      <c r="H63" s="43"/>
      <c r="I63" s="185">
        <f t="shared" si="8"/>
        <v>9129.345309403232</v>
      </c>
      <c r="J63" s="8"/>
      <c r="K63" s="8"/>
      <c r="L63" s="8"/>
      <c r="M63" s="8"/>
      <c r="N63" s="8"/>
      <c r="O63" s="8"/>
      <c r="P63" s="8"/>
      <c r="Q63" s="8"/>
      <c r="R63" s="8"/>
      <c r="S63" s="8"/>
      <c r="T63" s="8"/>
      <c r="U63" s="8"/>
      <c r="V63" s="8"/>
      <c r="W63" s="8"/>
      <c r="X63" s="8"/>
      <c r="Y63" s="8"/>
      <c r="Z63" s="8"/>
      <c r="AA63" s="8"/>
      <c r="AB63" s="8"/>
      <c r="AC63" s="8"/>
      <c r="AD63" s="8"/>
    </row>
    <row r="64" spans="1:30" ht="15">
      <c r="A64" s="58"/>
      <c r="B64" s="69">
        <v>34</v>
      </c>
      <c r="C64" s="43" t="s">
        <v>262</v>
      </c>
      <c r="D64" s="69">
        <v>6.9251873250651503E-3</v>
      </c>
      <c r="E64" s="43">
        <f t="shared" si="5"/>
        <v>0.14032282074653582</v>
      </c>
      <c r="F64" s="71">
        <f t="shared" si="6"/>
        <v>14.032282074653581</v>
      </c>
      <c r="G64" s="84">
        <f t="shared" si="7"/>
        <v>143.55024562370613</v>
      </c>
      <c r="H64" s="43"/>
      <c r="I64" s="185">
        <f t="shared" si="8"/>
        <v>9196.0560576242242</v>
      </c>
      <c r="J64" s="8"/>
      <c r="K64" s="8"/>
      <c r="L64" s="8"/>
      <c r="M64" s="8"/>
      <c r="N64" s="8"/>
      <c r="O64" s="8"/>
      <c r="P64" s="8"/>
      <c r="Q64" s="8"/>
      <c r="R64" s="8"/>
      <c r="S64" s="8"/>
      <c r="T64" s="8"/>
      <c r="U64" s="8"/>
      <c r="V64" s="8"/>
      <c r="W64" s="8"/>
      <c r="X64" s="8"/>
      <c r="Y64" s="8"/>
      <c r="Z64" s="8"/>
      <c r="AA64" s="8"/>
      <c r="AB64" s="8"/>
      <c r="AC64" s="8"/>
      <c r="AD64" s="8"/>
    </row>
    <row r="65" spans="1:30" ht="15">
      <c r="A65" s="58"/>
      <c r="B65" s="69">
        <v>35</v>
      </c>
      <c r="C65" s="43" t="s">
        <v>263</v>
      </c>
      <c r="D65" s="69">
        <v>7.4222319980975296E-3</v>
      </c>
      <c r="E65" s="43">
        <f t="shared" si="5"/>
        <v>0.14141382264795033</v>
      </c>
      <c r="F65" s="71">
        <f t="shared" si="6"/>
        <v>14.141382264795032</v>
      </c>
      <c r="G65" s="84">
        <f t="shared" si="7"/>
        <v>144.66634056885317</v>
      </c>
      <c r="H65" s="43"/>
      <c r="I65" s="185">
        <f t="shared" si="8"/>
        <v>9267.5548672334244</v>
      </c>
      <c r="J65" s="8"/>
      <c r="K65" s="8"/>
      <c r="L65" s="8"/>
      <c r="M65" s="8"/>
      <c r="N65" s="8"/>
      <c r="O65" s="8"/>
      <c r="P65" s="8"/>
      <c r="Q65" s="8"/>
      <c r="R65" s="8"/>
      <c r="S65" s="8"/>
      <c r="T65" s="8"/>
      <c r="U65" s="8"/>
      <c r="V65" s="8"/>
      <c r="W65" s="8"/>
      <c r="X65" s="8"/>
      <c r="Y65" s="8"/>
      <c r="Z65" s="8"/>
      <c r="AA65" s="8"/>
      <c r="AB65" s="8"/>
      <c r="AC65" s="8"/>
      <c r="AD65" s="8"/>
    </row>
    <row r="66" spans="1:30" ht="15">
      <c r="A66" s="58"/>
      <c r="B66" s="69">
        <v>36</v>
      </c>
      <c r="C66" s="43" t="s">
        <v>264</v>
      </c>
      <c r="D66" s="69">
        <v>7.9549512883486592E-3</v>
      </c>
      <c r="E66" s="43">
        <f t="shared" si="5"/>
        <v>0.14258312953346305</v>
      </c>
      <c r="F66" s="71">
        <f t="shared" si="6"/>
        <v>14.258312953346305</v>
      </c>
      <c r="G66" s="84">
        <f t="shared" si="7"/>
        <v>145.86254151273272</v>
      </c>
      <c r="H66" s="43"/>
      <c r="I66" s="185">
        <f t="shared" si="8"/>
        <v>9344.1853939755019</v>
      </c>
      <c r="J66" s="8"/>
      <c r="K66" s="8"/>
      <c r="L66" s="8"/>
      <c r="M66" s="8"/>
      <c r="N66" s="8"/>
      <c r="O66" s="8"/>
      <c r="P66" s="8"/>
      <c r="Q66" s="8"/>
      <c r="R66" s="8"/>
      <c r="S66" s="8"/>
      <c r="T66" s="8"/>
      <c r="U66" s="8"/>
      <c r="V66" s="8"/>
      <c r="W66" s="8"/>
      <c r="X66" s="8"/>
      <c r="Y66" s="8"/>
      <c r="Z66" s="8"/>
      <c r="AA66" s="8"/>
      <c r="AB66" s="8"/>
      <c r="AC66" s="8"/>
      <c r="AD66" s="8"/>
    </row>
    <row r="67" spans="1:30" ht="15">
      <c r="A67" s="58"/>
      <c r="B67" s="69">
        <v>37</v>
      </c>
      <c r="C67" s="43" t="s">
        <v>265</v>
      </c>
      <c r="D67" s="69">
        <v>8.5259056866209808E-3</v>
      </c>
      <c r="E67" s="43">
        <f t="shared" si="5"/>
        <v>0.14383636162291652</v>
      </c>
      <c r="F67" s="71">
        <f t="shared" si="6"/>
        <v>14.383636162291651</v>
      </c>
      <c r="G67" s="84">
        <f t="shared" si="7"/>
        <v>147.14459794024361</v>
      </c>
      <c r="H67" s="43"/>
      <c r="I67" s="185">
        <f t="shared" si="8"/>
        <v>9426.3159589578336</v>
      </c>
      <c r="J67" s="8"/>
      <c r="K67" s="8"/>
      <c r="L67" s="8"/>
      <c r="M67" s="8"/>
      <c r="N67" s="8"/>
      <c r="O67" s="8"/>
      <c r="P67" s="8"/>
      <c r="Q67" s="8"/>
      <c r="R67" s="8"/>
      <c r="S67" s="8"/>
      <c r="T67" s="8"/>
      <c r="U67" s="8"/>
      <c r="V67" s="8"/>
      <c r="W67" s="8"/>
      <c r="X67" s="8"/>
      <c r="Y67" s="8"/>
      <c r="Z67" s="8"/>
      <c r="AA67" s="8"/>
      <c r="AB67" s="8"/>
      <c r="AC67" s="8"/>
      <c r="AD67" s="8"/>
    </row>
    <row r="68" spans="1:30" ht="15">
      <c r="A68" s="58"/>
      <c r="B68" s="69">
        <v>38</v>
      </c>
      <c r="C68" s="43" t="s">
        <v>266</v>
      </c>
      <c r="D68" s="69">
        <v>9.1378394590076496E-3</v>
      </c>
      <c r="E68" s="43">
        <f t="shared" si="5"/>
        <v>0.1451795425187917</v>
      </c>
      <c r="F68" s="71">
        <f t="shared" si="6"/>
        <v>14.51795425187917</v>
      </c>
      <c r="G68" s="84">
        <f t="shared" si="7"/>
        <v>148.5186719967239</v>
      </c>
      <c r="H68" s="43"/>
      <c r="I68" s="185">
        <f t="shared" si="8"/>
        <v>9514.3413189690145</v>
      </c>
      <c r="J68" s="8"/>
      <c r="K68" s="8"/>
      <c r="L68" s="8"/>
      <c r="M68" s="8"/>
      <c r="N68" s="8"/>
      <c r="O68" s="8"/>
      <c r="P68" s="8"/>
      <c r="Q68" s="8"/>
      <c r="R68" s="8"/>
      <c r="S68" s="8"/>
      <c r="T68" s="8"/>
      <c r="U68" s="8"/>
      <c r="V68" s="8"/>
      <c r="W68" s="8"/>
      <c r="X68" s="8"/>
      <c r="Y68" s="8"/>
      <c r="Z68" s="8"/>
      <c r="AA68" s="8"/>
      <c r="AB68" s="8"/>
      <c r="AC68" s="8"/>
      <c r="AD68" s="8"/>
    </row>
    <row r="69" spans="1:30" ht="15">
      <c r="A69" s="58"/>
      <c r="B69" s="69">
        <v>39</v>
      </c>
      <c r="C69" s="43" t="s">
        <v>267</v>
      </c>
      <c r="D69" s="69">
        <v>9.7936938370813895E-3</v>
      </c>
      <c r="E69" s="43">
        <f t="shared" si="5"/>
        <v>0.14661912815837641</v>
      </c>
      <c r="F69" s="71">
        <f t="shared" si="6"/>
        <v>14.661912815837642</v>
      </c>
      <c r="G69" s="84">
        <f t="shared" si="7"/>
        <v>149.99136810601908</v>
      </c>
      <c r="H69" s="43"/>
      <c r="I69" s="185">
        <f t="shared" si="8"/>
        <v>9608.6845638591985</v>
      </c>
      <c r="J69" s="8"/>
      <c r="K69" s="8"/>
      <c r="L69" s="8"/>
      <c r="M69" s="8"/>
      <c r="N69" s="8"/>
      <c r="O69" s="8"/>
      <c r="P69" s="8"/>
      <c r="Q69" s="8"/>
      <c r="R69" s="8"/>
      <c r="S69" s="8"/>
      <c r="T69" s="8"/>
      <c r="U69" s="8"/>
      <c r="V69" s="8"/>
      <c r="W69" s="8"/>
      <c r="X69" s="8"/>
      <c r="Y69" s="8"/>
      <c r="Z69" s="8"/>
      <c r="AA69" s="8"/>
      <c r="AB69" s="8"/>
      <c r="AC69" s="8"/>
      <c r="AD69" s="8"/>
    </row>
    <row r="70" spans="1:30" ht="15">
      <c r="A70" s="58"/>
      <c r="B70" s="69">
        <v>40</v>
      </c>
      <c r="C70" s="43" t="s">
        <v>268</v>
      </c>
      <c r="D70" s="69">
        <v>1.0496621154789E-2</v>
      </c>
      <c r="E70" s="43">
        <f t="shared" si="5"/>
        <v>0.14816203784393148</v>
      </c>
      <c r="F70" s="71">
        <f t="shared" si="6"/>
        <v>14.816203784393148</v>
      </c>
      <c r="G70" s="84">
        <f t="shared" si="7"/>
        <v>151.56976471434191</v>
      </c>
      <c r="H70" s="43"/>
      <c r="I70" s="185">
        <f t="shared" si="8"/>
        <v>9709.7991501020497</v>
      </c>
      <c r="J70" s="8"/>
      <c r="K70" s="8"/>
      <c r="L70" s="8"/>
      <c r="M70" s="8"/>
      <c r="N70" s="8"/>
      <c r="O70" s="8"/>
      <c r="P70" s="8"/>
      <c r="Q70" s="8"/>
      <c r="R70" s="8"/>
      <c r="S70" s="8"/>
      <c r="T70" s="8"/>
      <c r="U70" s="8"/>
      <c r="V70" s="8"/>
      <c r="W70" s="8"/>
      <c r="X70" s="8"/>
      <c r="Y70" s="8"/>
      <c r="Z70" s="8"/>
      <c r="AA70" s="8"/>
      <c r="AB70" s="8"/>
      <c r="AC70" s="8"/>
      <c r="AD70" s="8"/>
    </row>
    <row r="71" spans="1:30" ht="15">
      <c r="A71" s="58"/>
      <c r="B71" s="69">
        <v>41</v>
      </c>
      <c r="C71" s="43" t="s">
        <v>269</v>
      </c>
      <c r="D71" s="69">
        <v>1.125E-2</v>
      </c>
      <c r="E71" s="43">
        <f t="shared" si="5"/>
        <v>0.14981568749999999</v>
      </c>
      <c r="F71" s="71">
        <f t="shared" si="6"/>
        <v>14.981568749999999</v>
      </c>
      <c r="G71" s="84">
        <f t="shared" si="7"/>
        <v>153.26144831249999</v>
      </c>
      <c r="H71" s="43"/>
      <c r="I71" s="185">
        <f t="shared" si="8"/>
        <v>9818.1710803124988</v>
      </c>
      <c r="J71" s="8"/>
      <c r="K71" s="8"/>
      <c r="L71" s="8"/>
      <c r="M71" s="8"/>
      <c r="N71" s="8"/>
      <c r="O71" s="8"/>
      <c r="P71" s="8"/>
      <c r="Q71" s="8"/>
      <c r="R71" s="8"/>
      <c r="S71" s="8"/>
      <c r="T71" s="8"/>
      <c r="U71" s="8"/>
      <c r="V71" s="8"/>
      <c r="W71" s="8"/>
      <c r="X71" s="8"/>
      <c r="Y71" s="8"/>
      <c r="Z71" s="8"/>
      <c r="AA71" s="8"/>
      <c r="AB71" s="8"/>
      <c r="AC71" s="8"/>
      <c r="AD71" s="8"/>
    </row>
    <row r="72" spans="1:30" ht="15">
      <c r="A72" s="58"/>
      <c r="B72" s="69">
        <v>42</v>
      </c>
      <c r="C72" s="43" t="s">
        <v>270</v>
      </c>
      <c r="D72" s="69">
        <v>1.2057451453533201E-2</v>
      </c>
      <c r="E72" s="43">
        <f t="shared" si="5"/>
        <v>0.15158802531770607</v>
      </c>
      <c r="F72" s="71">
        <f t="shared" si="6"/>
        <v>15.158802531770608</v>
      </c>
      <c r="G72" s="84">
        <f t="shared" si="7"/>
        <v>155.07454990001332</v>
      </c>
      <c r="H72" s="43" t="s">
        <v>634</v>
      </c>
      <c r="I72" s="185">
        <f t="shared" si="8"/>
        <v>9934.3212391958677</v>
      </c>
      <c r="J72" s="8"/>
      <c r="K72" s="8"/>
      <c r="L72" s="8"/>
      <c r="M72" s="8"/>
      <c r="N72" s="8"/>
      <c r="O72" s="8"/>
      <c r="P72" s="8"/>
      <c r="Q72" s="8"/>
      <c r="R72" s="8"/>
      <c r="S72" s="8"/>
      <c r="T72" s="8"/>
      <c r="U72" s="8"/>
      <c r="V72" s="8"/>
      <c r="W72" s="8"/>
      <c r="X72" s="8"/>
      <c r="Y72" s="8"/>
      <c r="Z72" s="8"/>
      <c r="AA72" s="8"/>
      <c r="AB72" s="8"/>
      <c r="AC72" s="8"/>
      <c r="AD72" s="8"/>
    </row>
    <row r="73" spans="1:30" ht="15">
      <c r="A73" s="58"/>
      <c r="B73" s="69">
        <v>43</v>
      </c>
      <c r="C73" s="43" t="s">
        <v>271</v>
      </c>
      <c r="D73" s="69">
        <v>1.2922856493716601E-2</v>
      </c>
      <c r="E73" s="43">
        <f t="shared" ref="E73:E176" si="9">(0.36726845*LOG10((14.98325*(D73/0.9))+1))+0.12240537</f>
        <v>0.15348600316867136</v>
      </c>
      <c r="F73" s="71">
        <f t="shared" si="6"/>
        <v>15.348600316867136</v>
      </c>
      <c r="G73" s="84">
        <f t="shared" si="7"/>
        <v>157.01618124155081</v>
      </c>
      <c r="H73" s="43"/>
      <c r="I73" s="185">
        <f t="shared" si="8"/>
        <v>10058.705217658879</v>
      </c>
      <c r="J73" s="8"/>
      <c r="K73" s="8"/>
      <c r="L73" s="8"/>
      <c r="M73" s="8"/>
      <c r="N73" s="8"/>
      <c r="O73" s="8"/>
      <c r="P73" s="8"/>
      <c r="Q73" s="8"/>
      <c r="R73" s="8"/>
      <c r="S73" s="8"/>
      <c r="T73" s="8"/>
      <c r="U73" s="8"/>
      <c r="V73" s="8"/>
      <c r="W73" s="8"/>
      <c r="X73" s="8"/>
      <c r="Y73" s="8"/>
      <c r="Z73" s="8"/>
      <c r="AA73" s="8"/>
      <c r="AB73" s="8"/>
      <c r="AC73" s="8"/>
      <c r="AD73" s="8"/>
    </row>
    <row r="74" spans="1:30" ht="15">
      <c r="A74" s="58"/>
      <c r="B74" s="69">
        <v>44</v>
      </c>
      <c r="C74" s="43" t="s">
        <v>272</v>
      </c>
      <c r="D74" s="69">
        <v>1.3850374650130301E-2</v>
      </c>
      <c r="E74" s="43">
        <f t="shared" si="9"/>
        <v>0.15550011000400304</v>
      </c>
      <c r="F74" s="71">
        <f t="shared" si="6"/>
        <v>15.550011000400305</v>
      </c>
      <c r="G74" s="84">
        <f t="shared" si="7"/>
        <v>159.07661253409512</v>
      </c>
      <c r="H74" s="43"/>
      <c r="I74" s="185">
        <f t="shared" si="8"/>
        <v>10190.699709112339</v>
      </c>
      <c r="J74" s="8"/>
      <c r="K74" s="8"/>
      <c r="L74" s="8"/>
      <c r="M74" s="8"/>
      <c r="N74" s="8"/>
      <c r="O74" s="8"/>
      <c r="P74" s="8"/>
      <c r="Q74" s="8"/>
      <c r="R74" s="8"/>
      <c r="S74" s="8"/>
      <c r="T74" s="8"/>
      <c r="U74" s="8"/>
      <c r="V74" s="8"/>
      <c r="W74" s="8"/>
      <c r="X74" s="8"/>
      <c r="Y74" s="8"/>
      <c r="Z74" s="8"/>
      <c r="AA74" s="8"/>
      <c r="AB74" s="8"/>
      <c r="AC74" s="8"/>
      <c r="AD74" s="8"/>
    </row>
    <row r="75" spans="1:30" ht="15">
      <c r="A75" s="58"/>
      <c r="B75" s="69">
        <v>45</v>
      </c>
      <c r="C75" s="43" t="s">
        <v>273</v>
      </c>
      <c r="D75" s="69">
        <v>1.4844463996195E-2</v>
      </c>
      <c r="E75" s="43">
        <f t="shared" si="9"/>
        <v>0.15763090798791549</v>
      </c>
      <c r="F75" s="71">
        <f t="shared" si="6"/>
        <v>15.763090798791549</v>
      </c>
      <c r="G75" s="84">
        <f t="shared" si="7"/>
        <v>161.25641887163755</v>
      </c>
      <c r="H75" s="43"/>
      <c r="I75" s="185">
        <f t="shared" si="8"/>
        <v>10330.341554988041</v>
      </c>
      <c r="J75" s="8"/>
      <c r="K75" s="8"/>
      <c r="L75" s="8"/>
      <c r="M75" s="8"/>
      <c r="N75" s="8"/>
      <c r="O75" s="8"/>
      <c r="P75" s="8"/>
      <c r="Q75" s="8"/>
      <c r="R75" s="8"/>
      <c r="S75" s="8"/>
      <c r="T75" s="8"/>
      <c r="U75" s="8"/>
      <c r="V75" s="8"/>
      <c r="W75" s="8"/>
      <c r="X75" s="8"/>
      <c r="Y75" s="8"/>
      <c r="Z75" s="8"/>
      <c r="AA75" s="8"/>
      <c r="AB75" s="8"/>
      <c r="AC75" s="8"/>
      <c r="AD75" s="8"/>
    </row>
    <row r="76" spans="1:30" ht="15">
      <c r="A76" s="58"/>
      <c r="B76" s="69">
        <v>46</v>
      </c>
      <c r="C76" s="43" t="s">
        <v>274</v>
      </c>
      <c r="D76" s="69">
        <v>1.5909902576697301E-2</v>
      </c>
      <c r="E76" s="43">
        <f t="shared" si="9"/>
        <v>0.15988347322580065</v>
      </c>
      <c r="F76" s="71">
        <f t="shared" si="6"/>
        <v>15.988347322580065</v>
      </c>
      <c r="G76" s="84">
        <f t="shared" si="7"/>
        <v>163.56079310999408</v>
      </c>
      <c r="H76" s="43"/>
      <c r="I76" s="185">
        <f t="shared" si="8"/>
        <v>10477.963417852847</v>
      </c>
      <c r="J76" s="8"/>
      <c r="K76" s="8"/>
      <c r="L76" s="8"/>
      <c r="M76" s="8"/>
      <c r="N76" s="8"/>
      <c r="O76" s="8"/>
      <c r="P76" s="8"/>
      <c r="Q76" s="8"/>
      <c r="R76" s="8"/>
      <c r="S76" s="8"/>
      <c r="T76" s="8"/>
      <c r="U76" s="8"/>
      <c r="V76" s="8"/>
      <c r="W76" s="8"/>
      <c r="X76" s="8"/>
      <c r="Y76" s="8"/>
      <c r="Z76" s="8"/>
      <c r="AA76" s="8"/>
      <c r="AB76" s="8"/>
      <c r="AC76" s="8"/>
      <c r="AD76" s="8"/>
    </row>
    <row r="77" spans="1:30" ht="15">
      <c r="A77" s="58"/>
      <c r="B77" s="69">
        <v>47</v>
      </c>
      <c r="C77" s="43" t="s">
        <v>275</v>
      </c>
      <c r="D77" s="69">
        <v>1.7051811373241899E-2</v>
      </c>
      <c r="E77" s="43">
        <f t="shared" si="9"/>
        <v>0.16226290876646426</v>
      </c>
      <c r="F77" s="71">
        <f t="shared" si="6"/>
        <v>16.226290876646427</v>
      </c>
      <c r="G77" s="84">
        <f t="shared" si="7"/>
        <v>165.99495566809296</v>
      </c>
      <c r="H77" s="43"/>
      <c r="I77" s="185">
        <f t="shared" si="8"/>
        <v>10633.899726010235</v>
      </c>
      <c r="J77" s="8"/>
      <c r="K77" s="8"/>
      <c r="L77" s="8"/>
      <c r="M77" s="8"/>
      <c r="N77" s="8"/>
      <c r="O77" s="8"/>
      <c r="P77" s="8"/>
      <c r="Q77" s="8"/>
      <c r="R77" s="8"/>
      <c r="S77" s="8"/>
      <c r="T77" s="8"/>
      <c r="U77" s="8"/>
      <c r="V77" s="8"/>
      <c r="W77" s="8"/>
      <c r="X77" s="8"/>
      <c r="Y77" s="8"/>
      <c r="Z77" s="8"/>
      <c r="AA77" s="8"/>
      <c r="AB77" s="8"/>
      <c r="AC77" s="8"/>
      <c r="AD77" s="8"/>
    </row>
    <row r="78" spans="1:30" ht="15">
      <c r="A78" s="58"/>
      <c r="B78" s="69">
        <v>48</v>
      </c>
      <c r="C78" s="43" t="s">
        <v>276</v>
      </c>
      <c r="D78" s="69">
        <v>1.8275678918015299E-2</v>
      </c>
      <c r="E78" s="43">
        <f t="shared" si="9"/>
        <v>0.164774321397478</v>
      </c>
      <c r="F78" s="71">
        <f t="shared" si="6"/>
        <v>16.477432139747801</v>
      </c>
      <c r="G78" s="84">
        <f t="shared" si="7"/>
        <v>168.56413078961998</v>
      </c>
      <c r="H78" s="43"/>
      <c r="I78" s="185">
        <f t="shared" si="8"/>
        <v>10798.48515278372</v>
      </c>
      <c r="J78" s="8"/>
      <c r="K78" s="8"/>
      <c r="L78" s="8"/>
      <c r="M78" s="8"/>
      <c r="N78" s="8"/>
      <c r="O78" s="8"/>
      <c r="P78" s="8"/>
      <c r="Q78" s="8"/>
      <c r="R78" s="8"/>
      <c r="S78" s="8"/>
      <c r="T78" s="8"/>
      <c r="U78" s="8"/>
      <c r="V78" s="8"/>
      <c r="W78" s="8"/>
      <c r="X78" s="8"/>
      <c r="Y78" s="8"/>
      <c r="Z78" s="8"/>
      <c r="AA78" s="8"/>
      <c r="AB78" s="8"/>
      <c r="AC78" s="8"/>
      <c r="AD78" s="8"/>
    </row>
    <row r="79" spans="1:30" ht="15">
      <c r="A79" s="58"/>
      <c r="B79" s="69">
        <v>49</v>
      </c>
      <c r="C79" s="43" t="s">
        <v>277</v>
      </c>
      <c r="D79" s="69">
        <v>1.9587387674162699E-2</v>
      </c>
      <c r="E79" s="43">
        <f t="shared" si="9"/>
        <v>0.16742279646761865</v>
      </c>
      <c r="F79" s="71">
        <f t="shared" si="6"/>
        <v>16.742279646761865</v>
      </c>
      <c r="G79" s="84">
        <f t="shared" si="7"/>
        <v>171.27352078637389</v>
      </c>
      <c r="H79" s="43"/>
      <c r="I79" s="185">
        <f t="shared" si="8"/>
        <v>10972.052966505389</v>
      </c>
      <c r="J79" s="8"/>
      <c r="K79" s="8"/>
      <c r="L79" s="8"/>
      <c r="M79" s="8"/>
      <c r="N79" s="8"/>
      <c r="O79" s="8"/>
      <c r="P79" s="8"/>
      <c r="Q79" s="8"/>
      <c r="R79" s="8"/>
      <c r="S79" s="8"/>
      <c r="T79" s="8"/>
      <c r="U79" s="8"/>
      <c r="V79" s="8"/>
      <c r="W79" s="8"/>
      <c r="X79" s="8"/>
      <c r="Y79" s="8"/>
      <c r="Z79" s="8"/>
      <c r="AA79" s="8"/>
      <c r="AB79" s="8"/>
      <c r="AC79" s="8"/>
      <c r="AD79" s="8"/>
    </row>
    <row r="80" spans="1:30" ht="15">
      <c r="A80" s="58"/>
      <c r="B80" s="69">
        <v>50</v>
      </c>
      <c r="C80" s="43" t="s">
        <v>278</v>
      </c>
      <c r="D80" s="69">
        <v>2.0993242309578102E-2</v>
      </c>
      <c r="E80" s="43">
        <f t="shared" si="9"/>
        <v>0.17021337087112287</v>
      </c>
      <c r="F80" s="71">
        <f t="shared" si="6"/>
        <v>17.021337087112286</v>
      </c>
      <c r="G80" s="84">
        <f t="shared" si="7"/>
        <v>174.1282784011587</v>
      </c>
      <c r="H80" s="43"/>
      <c r="I80" s="185">
        <f t="shared" si="8"/>
        <v>11154.933260039037</v>
      </c>
      <c r="J80" s="8"/>
      <c r="K80" s="8"/>
      <c r="L80" s="8"/>
      <c r="M80" s="8"/>
      <c r="N80" s="8"/>
      <c r="O80" s="8"/>
      <c r="P80" s="8"/>
      <c r="Q80" s="8"/>
      <c r="R80" s="8"/>
      <c r="S80" s="8"/>
      <c r="T80" s="8"/>
      <c r="U80" s="8"/>
      <c r="V80" s="8"/>
      <c r="W80" s="8"/>
      <c r="X80" s="8"/>
      <c r="Y80" s="8"/>
      <c r="Z80" s="8"/>
      <c r="AA80" s="8"/>
      <c r="AB80" s="8"/>
      <c r="AC80" s="8"/>
      <c r="AD80" s="8"/>
    </row>
    <row r="81" spans="1:30" ht="15">
      <c r="A81" s="58"/>
      <c r="B81" s="69">
        <v>51</v>
      </c>
      <c r="C81" s="43" t="s">
        <v>279</v>
      </c>
      <c r="D81" s="69">
        <v>2.2499999999999999E-2</v>
      </c>
      <c r="E81" s="43">
        <f t="shared" si="9"/>
        <v>0.17315100437761471</v>
      </c>
      <c r="F81" s="71">
        <f t="shared" si="6"/>
        <v>17.315100437761473</v>
      </c>
      <c r="G81" s="84">
        <f t="shared" si="7"/>
        <v>177.13347747829985</v>
      </c>
      <c r="H81" s="43"/>
      <c r="I81" s="185">
        <f t="shared" si="8"/>
        <v>11347.451071886981</v>
      </c>
      <c r="J81" s="8"/>
      <c r="K81" s="8"/>
      <c r="L81" s="8"/>
      <c r="M81" s="8"/>
      <c r="N81" s="8"/>
      <c r="O81" s="8"/>
      <c r="P81" s="8"/>
      <c r="Q81" s="8"/>
      <c r="R81" s="8"/>
      <c r="S81" s="8"/>
      <c r="T81" s="8"/>
      <c r="U81" s="8"/>
      <c r="V81" s="8"/>
      <c r="W81" s="8"/>
      <c r="X81" s="8"/>
      <c r="Y81" s="8"/>
      <c r="Z81" s="8"/>
      <c r="AA81" s="8"/>
      <c r="AB81" s="8"/>
      <c r="AC81" s="8"/>
      <c r="AD81" s="8"/>
    </row>
    <row r="82" spans="1:30" ht="15">
      <c r="A82" s="58"/>
      <c r="B82" s="69">
        <v>52</v>
      </c>
      <c r="C82" s="43" t="s">
        <v>280</v>
      </c>
      <c r="D82" s="69">
        <v>2.4114902907066499E-2</v>
      </c>
      <c r="E82" s="43">
        <f t="shared" si="9"/>
        <v>0.17624054954233059</v>
      </c>
      <c r="F82" s="71">
        <f t="shared" si="6"/>
        <v>17.62405495423306</v>
      </c>
      <c r="G82" s="84">
        <f t="shared" si="7"/>
        <v>180.29408218180419</v>
      </c>
      <c r="H82" s="43"/>
      <c r="I82" s="185">
        <f t="shared" si="8"/>
        <v>11549.924414256635</v>
      </c>
      <c r="J82" s="8"/>
      <c r="K82" s="8"/>
      <c r="L82" s="8"/>
      <c r="M82" s="8"/>
      <c r="N82" s="8"/>
      <c r="O82" s="8"/>
      <c r="P82" s="8"/>
      <c r="Q82" s="8"/>
      <c r="R82" s="8"/>
      <c r="S82" s="8"/>
      <c r="T82" s="8"/>
      <c r="U82" s="8"/>
      <c r="V82" s="8"/>
      <c r="W82" s="8"/>
      <c r="X82" s="8"/>
      <c r="Y82" s="8"/>
      <c r="Z82" s="8"/>
      <c r="AA82" s="8"/>
      <c r="AB82" s="8"/>
      <c r="AC82" s="8"/>
      <c r="AD82" s="8"/>
    </row>
    <row r="83" spans="1:30" ht="15">
      <c r="A83" s="58"/>
      <c r="B83" s="69">
        <v>53</v>
      </c>
      <c r="C83" s="43" t="s">
        <v>281</v>
      </c>
      <c r="D83" s="69">
        <v>2.5845712987433201E-2</v>
      </c>
      <c r="E83" s="43">
        <f t="shared" si="9"/>
        <v>0.1794867204821893</v>
      </c>
      <c r="F83" s="71">
        <f t="shared" si="6"/>
        <v>17.948672048218931</v>
      </c>
      <c r="G83" s="84">
        <f t="shared" si="7"/>
        <v>183.61491505327965</v>
      </c>
      <c r="H83" s="43"/>
      <c r="I83" s="185">
        <f t="shared" si="8"/>
        <v>11762.662226800276</v>
      </c>
      <c r="J83" s="8"/>
      <c r="K83" s="8"/>
      <c r="L83" s="8"/>
      <c r="M83" s="8"/>
      <c r="N83" s="8"/>
      <c r="O83" s="8"/>
      <c r="P83" s="8"/>
      <c r="Q83" s="8"/>
      <c r="R83" s="8"/>
      <c r="S83" s="8"/>
      <c r="T83" s="8"/>
      <c r="U83" s="8"/>
      <c r="V83" s="8"/>
      <c r="W83" s="8"/>
      <c r="X83" s="8"/>
      <c r="Y83" s="8"/>
      <c r="Z83" s="8"/>
      <c r="AA83" s="8"/>
      <c r="AB83" s="8"/>
      <c r="AC83" s="8"/>
      <c r="AD83" s="8"/>
    </row>
    <row r="84" spans="1:30" ht="15">
      <c r="A84" s="58"/>
      <c r="B84" s="69">
        <v>54</v>
      </c>
      <c r="C84" s="43" t="s">
        <v>282</v>
      </c>
      <c r="D84" s="69">
        <v>2.7700749300260601E-2</v>
      </c>
      <c r="E84" s="43">
        <f t="shared" si="9"/>
        <v>0.18289406085271992</v>
      </c>
      <c r="F84" s="71">
        <f t="shared" si="6"/>
        <v>18.289406085271992</v>
      </c>
      <c r="G84" s="84">
        <f t="shared" si="7"/>
        <v>187.10062425233247</v>
      </c>
      <c r="H84" s="43"/>
      <c r="I84" s="185">
        <f t="shared" si="8"/>
        <v>11985.962277983001</v>
      </c>
      <c r="J84" s="8"/>
      <c r="K84" s="8"/>
      <c r="L84" s="8"/>
      <c r="M84" s="8"/>
      <c r="N84" s="8"/>
      <c r="O84" s="8"/>
      <c r="P84" s="8"/>
      <c r="Q84" s="8"/>
      <c r="R84" s="8"/>
      <c r="S84" s="8"/>
      <c r="T84" s="8"/>
      <c r="U84" s="8"/>
      <c r="V84" s="8"/>
      <c r="W84" s="8"/>
      <c r="X84" s="8"/>
      <c r="Y84" s="8"/>
      <c r="Z84" s="8"/>
      <c r="AA84" s="8"/>
      <c r="AB84" s="8"/>
      <c r="AC84" s="8"/>
      <c r="AD84" s="8"/>
    </row>
    <row r="85" spans="1:30" ht="15">
      <c r="A85" s="58"/>
      <c r="B85" s="69">
        <v>55</v>
      </c>
      <c r="C85" s="43" t="s">
        <v>283</v>
      </c>
      <c r="D85" s="69">
        <v>2.9688927992390101E-2</v>
      </c>
      <c r="E85" s="43">
        <f t="shared" si="9"/>
        <v>0.18646691140703833</v>
      </c>
      <c r="F85" s="71">
        <f t="shared" si="6"/>
        <v>18.646691140703833</v>
      </c>
      <c r="G85" s="84">
        <f t="shared" si="7"/>
        <v>190.7556503694002</v>
      </c>
      <c r="H85" s="43"/>
      <c r="I85" s="185">
        <f t="shared" si="8"/>
        <v>12220.109039060257</v>
      </c>
      <c r="J85" s="8"/>
      <c r="K85" s="8"/>
      <c r="L85" s="8"/>
      <c r="M85" s="8"/>
      <c r="N85" s="8"/>
      <c r="O85" s="8"/>
      <c r="P85" s="8"/>
      <c r="Q85" s="8"/>
      <c r="R85" s="8"/>
      <c r="S85" s="8"/>
      <c r="T85" s="8"/>
      <c r="U85" s="8"/>
      <c r="V85" s="8"/>
      <c r="W85" s="8"/>
      <c r="X85" s="8"/>
      <c r="Y85" s="8"/>
      <c r="Z85" s="8"/>
      <c r="AA85" s="8"/>
      <c r="AB85" s="8"/>
      <c r="AC85" s="8"/>
      <c r="AD85" s="8"/>
    </row>
    <row r="86" spans="1:30" ht="15">
      <c r="A86" s="58"/>
      <c r="B86" s="69">
        <v>56</v>
      </c>
      <c r="C86" s="43" t="s">
        <v>284</v>
      </c>
      <c r="D86" s="69">
        <v>3.1819805153394602E-2</v>
      </c>
      <c r="E86" s="43">
        <f t="shared" si="9"/>
        <v>0.19020937755899414</v>
      </c>
      <c r="F86" s="71">
        <f t="shared" si="6"/>
        <v>19.020937755899414</v>
      </c>
      <c r="G86" s="84">
        <f t="shared" si="7"/>
        <v>194.584193242851</v>
      </c>
      <c r="H86" s="43"/>
      <c r="I86" s="185">
        <f t="shared" si="8"/>
        <v>12465.371558328681</v>
      </c>
      <c r="J86" s="8"/>
      <c r="K86" s="8"/>
      <c r="L86" s="8"/>
      <c r="M86" s="8"/>
      <c r="N86" s="8"/>
      <c r="O86" s="8"/>
      <c r="P86" s="8"/>
      <c r="Q86" s="8"/>
      <c r="R86" s="8"/>
      <c r="S86" s="8"/>
      <c r="T86" s="8"/>
      <c r="U86" s="8"/>
      <c r="V86" s="8"/>
      <c r="W86" s="8"/>
      <c r="X86" s="8"/>
      <c r="Y86" s="8"/>
      <c r="Z86" s="8"/>
      <c r="AA86" s="8"/>
      <c r="AB86" s="8"/>
      <c r="AC86" s="8"/>
      <c r="AD86" s="8"/>
    </row>
    <row r="87" spans="1:30" ht="15">
      <c r="A87" s="58"/>
      <c r="B87" s="69">
        <v>57</v>
      </c>
      <c r="C87" s="43" t="s">
        <v>285</v>
      </c>
      <c r="D87" s="69">
        <v>3.4103622746483903E-2</v>
      </c>
      <c r="E87" s="43">
        <f t="shared" si="9"/>
        <v>0.19412529740635187</v>
      </c>
      <c r="F87" s="71">
        <f t="shared" si="6"/>
        <v>19.412529740635186</v>
      </c>
      <c r="G87" s="84">
        <f t="shared" si="7"/>
        <v>198.59017924669797</v>
      </c>
      <c r="H87" s="43"/>
      <c r="I87" s="185">
        <f t="shared" si="8"/>
        <v>12722.00136552527</v>
      </c>
      <c r="J87" s="8"/>
      <c r="K87" s="8"/>
      <c r="L87" s="8"/>
      <c r="M87" s="8"/>
      <c r="N87" s="8"/>
      <c r="O87" s="8"/>
      <c r="P87" s="8"/>
      <c r="Q87" s="8"/>
      <c r="R87" s="8"/>
      <c r="S87" s="8"/>
      <c r="T87" s="8"/>
      <c r="U87" s="8"/>
      <c r="V87" s="8"/>
      <c r="W87" s="8"/>
      <c r="X87" s="8"/>
      <c r="Y87" s="8"/>
      <c r="Z87" s="8"/>
      <c r="AA87" s="8"/>
      <c r="AB87" s="8"/>
      <c r="AC87" s="8"/>
      <c r="AD87" s="8"/>
    </row>
    <row r="88" spans="1:30" ht="15">
      <c r="A88" s="58"/>
      <c r="B88" s="69">
        <v>58</v>
      </c>
      <c r="C88" s="43" t="s">
        <v>286</v>
      </c>
      <c r="D88" s="69">
        <v>3.6551357836030599E-2</v>
      </c>
      <c r="E88" s="43">
        <f t="shared" si="9"/>
        <v>0.19821821069452111</v>
      </c>
      <c r="F88" s="71">
        <f t="shared" si="6"/>
        <v>19.82182106945211</v>
      </c>
      <c r="G88" s="84">
        <f t="shared" si="7"/>
        <v>202.77722954049509</v>
      </c>
      <c r="H88" s="43"/>
      <c r="I88" s="185">
        <f t="shared" si="8"/>
        <v>12990.230437865441</v>
      </c>
      <c r="J88" s="8"/>
      <c r="K88" s="8"/>
      <c r="L88" s="8"/>
      <c r="M88" s="8"/>
      <c r="N88" s="8"/>
      <c r="O88" s="8"/>
      <c r="P88" s="8"/>
      <c r="Q88" s="8"/>
      <c r="R88" s="8"/>
      <c r="S88" s="8"/>
      <c r="T88" s="8"/>
      <c r="U88" s="8"/>
      <c r="V88" s="8"/>
      <c r="W88" s="8"/>
      <c r="X88" s="8"/>
      <c r="Y88" s="8"/>
      <c r="Z88" s="8"/>
      <c r="AA88" s="8"/>
      <c r="AB88" s="8"/>
      <c r="AC88" s="8"/>
      <c r="AD88" s="8"/>
    </row>
    <row r="89" spans="1:30" ht="15">
      <c r="A89" s="58"/>
      <c r="B89" s="69">
        <v>59</v>
      </c>
      <c r="C89" s="43" t="s">
        <v>287</v>
      </c>
      <c r="D89" s="69">
        <v>3.9174775348325502E-2</v>
      </c>
      <c r="E89" s="43">
        <f t="shared" si="9"/>
        <v>0.20249132921518673</v>
      </c>
      <c r="F89" s="71">
        <f t="shared" si="6"/>
        <v>20.249132921518672</v>
      </c>
      <c r="G89" s="84">
        <f t="shared" si="7"/>
        <v>207.14862978713603</v>
      </c>
      <c r="H89" s="43"/>
      <c r="I89" s="185">
        <f t="shared" si="8"/>
        <v>13270.269260117262</v>
      </c>
      <c r="J89" s="8"/>
      <c r="K89" s="8"/>
      <c r="L89" s="8"/>
      <c r="M89" s="8"/>
      <c r="N89" s="8"/>
      <c r="O89" s="8"/>
      <c r="P89" s="8"/>
      <c r="Q89" s="8"/>
      <c r="R89" s="8"/>
      <c r="S89" s="8"/>
      <c r="T89" s="8"/>
      <c r="U89" s="8"/>
      <c r="V89" s="8"/>
      <c r="W89" s="8"/>
      <c r="X89" s="8"/>
      <c r="Y89" s="8"/>
      <c r="Z89" s="8"/>
      <c r="AA89" s="8"/>
      <c r="AB89" s="8"/>
      <c r="AC89" s="8"/>
      <c r="AD89" s="8"/>
    </row>
    <row r="90" spans="1:30" ht="15">
      <c r="A90" s="58"/>
      <c r="B90" s="69">
        <v>60</v>
      </c>
      <c r="C90" s="43" t="s">
        <v>288</v>
      </c>
      <c r="D90" s="69">
        <v>4.19864846191563E-2</v>
      </c>
      <c r="E90" s="43">
        <f t="shared" si="9"/>
        <v>0.20694750913580573</v>
      </c>
      <c r="F90" s="71">
        <f t="shared" si="6"/>
        <v>20.694750913580574</v>
      </c>
      <c r="G90" s="84">
        <f t="shared" si="7"/>
        <v>211.70730184592927</v>
      </c>
      <c r="H90" s="43"/>
      <c r="I90" s="185">
        <f t="shared" si="8"/>
        <v>13562.305011215029</v>
      </c>
      <c r="J90" s="8"/>
      <c r="K90" s="8"/>
      <c r="L90" s="8"/>
      <c r="M90" s="8"/>
      <c r="N90" s="8"/>
      <c r="O90" s="8"/>
      <c r="P90" s="8"/>
      <c r="Q90" s="8"/>
      <c r="R90" s="8"/>
      <c r="S90" s="8"/>
      <c r="T90" s="8"/>
      <c r="U90" s="8"/>
      <c r="V90" s="8"/>
      <c r="W90" s="8"/>
      <c r="X90" s="8"/>
      <c r="Y90" s="8"/>
      <c r="Z90" s="8"/>
      <c r="AA90" s="8"/>
      <c r="AB90" s="8"/>
      <c r="AC90" s="8"/>
      <c r="AD90" s="8"/>
    </row>
    <row r="91" spans="1:30" ht="15">
      <c r="A91" s="58"/>
      <c r="B91" s="69">
        <v>61</v>
      </c>
      <c r="C91" s="43" t="s">
        <v>289</v>
      </c>
      <c r="D91" s="69">
        <v>4.4999999999999998E-2</v>
      </c>
      <c r="E91" s="43">
        <f t="shared" si="9"/>
        <v>0.21158922574427691</v>
      </c>
      <c r="F91" s="71">
        <f t="shared" si="6"/>
        <v>21.158922574427692</v>
      </c>
      <c r="G91" s="84">
        <f t="shared" si="7"/>
        <v>216.45577793639526</v>
      </c>
      <c r="H91" s="43"/>
      <c r="I91" s="185">
        <f t="shared" si="8"/>
        <v>13866.499909151187</v>
      </c>
      <c r="J91" s="8"/>
      <c r="K91" s="8"/>
      <c r="L91" s="8"/>
      <c r="M91" s="8"/>
      <c r="N91" s="8"/>
      <c r="O91" s="8"/>
      <c r="P91" s="8"/>
      <c r="Q91" s="8"/>
      <c r="R91" s="8"/>
      <c r="S91" s="8"/>
      <c r="T91" s="8"/>
      <c r="U91" s="8"/>
      <c r="V91" s="8"/>
      <c r="W91" s="8"/>
      <c r="X91" s="8"/>
      <c r="Y91" s="8"/>
      <c r="Z91" s="8"/>
      <c r="AA91" s="8"/>
      <c r="AB91" s="8"/>
      <c r="AC91" s="8"/>
      <c r="AD91" s="8"/>
    </row>
    <row r="92" spans="1:30" ht="15">
      <c r="A92" s="58"/>
      <c r="B92" s="69">
        <v>62</v>
      </c>
      <c r="C92" s="43" t="s">
        <v>290</v>
      </c>
      <c r="D92" s="69">
        <v>4.8229805814133102E-2</v>
      </c>
      <c r="E92" s="43">
        <f t="shared" si="9"/>
        <v>0.21641855106765534</v>
      </c>
      <c r="F92" s="71">
        <f t="shared" si="6"/>
        <v>21.641855106765533</v>
      </c>
      <c r="G92" s="84">
        <f t="shared" si="7"/>
        <v>221.39617774221142</v>
      </c>
      <c r="H92" s="43"/>
      <c r="I92" s="185">
        <f t="shared" si="8"/>
        <v>14182.989744218792</v>
      </c>
      <c r="J92" s="8"/>
      <c r="K92" s="8"/>
      <c r="L92" s="8"/>
      <c r="M92" s="8"/>
      <c r="N92" s="8"/>
      <c r="O92" s="8"/>
      <c r="P92" s="8"/>
      <c r="Q92" s="8"/>
      <c r="R92" s="8"/>
      <c r="S92" s="8"/>
      <c r="T92" s="8"/>
      <c r="U92" s="8"/>
      <c r="V92" s="8"/>
      <c r="W92" s="8"/>
      <c r="X92" s="8"/>
      <c r="Y92" s="8"/>
      <c r="Z92" s="8"/>
      <c r="AA92" s="8"/>
      <c r="AB92" s="8"/>
      <c r="AC92" s="8"/>
      <c r="AD92" s="8"/>
    </row>
    <row r="93" spans="1:30" ht="15">
      <c r="A93" s="58"/>
      <c r="B93" s="69">
        <v>63</v>
      </c>
      <c r="C93" s="43" t="s">
        <v>291</v>
      </c>
      <c r="D93" s="69">
        <v>5.1691425974866499E-2</v>
      </c>
      <c r="E93" s="43">
        <f t="shared" si="9"/>
        <v>0.22143713478455884</v>
      </c>
      <c r="F93" s="71">
        <f t="shared" si="6"/>
        <v>22.143713478455883</v>
      </c>
      <c r="G93" s="84">
        <f t="shared" si="7"/>
        <v>226.53018888460369</v>
      </c>
      <c r="H93" s="43"/>
      <c r="I93" s="185">
        <f t="shared" si="8"/>
        <v>14511.882628106063</v>
      </c>
      <c r="J93" s="8"/>
      <c r="K93" s="8"/>
      <c r="L93" s="8"/>
      <c r="M93" s="8"/>
      <c r="N93" s="8"/>
      <c r="O93" s="8"/>
      <c r="P93" s="8"/>
      <c r="Q93" s="8"/>
      <c r="R93" s="8"/>
      <c r="S93" s="8"/>
      <c r="T93" s="8"/>
      <c r="U93" s="8"/>
      <c r="V93" s="8"/>
      <c r="W93" s="8"/>
      <c r="X93" s="8"/>
      <c r="Y93" s="8"/>
      <c r="Z93" s="8"/>
      <c r="AA93" s="8"/>
      <c r="AB93" s="8"/>
      <c r="AC93" s="8"/>
      <c r="AD93" s="8"/>
    </row>
    <row r="94" spans="1:30" ht="15">
      <c r="A94" s="58"/>
      <c r="B94" s="69">
        <v>64</v>
      </c>
      <c r="C94" s="43" t="s">
        <v>292</v>
      </c>
      <c r="D94" s="69">
        <v>5.5401498600521203E-2</v>
      </c>
      <c r="E94" s="43">
        <f t="shared" si="9"/>
        <v>0.22664618879855836</v>
      </c>
      <c r="F94" s="71">
        <f t="shared" si="6"/>
        <v>22.664618879855837</v>
      </c>
      <c r="G94" s="84">
        <f t="shared" si="7"/>
        <v>231.8590511409252</v>
      </c>
      <c r="H94" s="43"/>
      <c r="I94" s="185">
        <f t="shared" si="8"/>
        <v>14853.257982913521</v>
      </c>
      <c r="J94" s="8"/>
      <c r="K94" s="8"/>
      <c r="L94" s="8"/>
      <c r="M94" s="8"/>
      <c r="N94" s="8"/>
      <c r="O94" s="8"/>
      <c r="P94" s="8"/>
      <c r="Q94" s="8"/>
      <c r="R94" s="8"/>
      <c r="S94" s="8"/>
      <c r="T94" s="8"/>
      <c r="U94" s="8"/>
      <c r="V94" s="8"/>
      <c r="W94" s="8"/>
      <c r="X94" s="8"/>
      <c r="Y94" s="8"/>
      <c r="Z94" s="8"/>
      <c r="AA94" s="8"/>
      <c r="AB94" s="8"/>
      <c r="AC94" s="8"/>
      <c r="AD94" s="8"/>
    </row>
    <row r="95" spans="1:30" ht="15">
      <c r="A95" s="58"/>
      <c r="B95" s="69">
        <v>65</v>
      </c>
      <c r="C95" s="43" t="s">
        <v>293</v>
      </c>
      <c r="D95" s="69">
        <v>5.9377855984780202E-2</v>
      </c>
      <c r="E95" s="43">
        <f t="shared" si="9"/>
        <v>0.23204647577558754</v>
      </c>
      <c r="F95" s="71">
        <f t="shared" si="6"/>
        <v>23.204647577558752</v>
      </c>
      <c r="G95" s="84">
        <f t="shared" si="7"/>
        <v>237.38354471842607</v>
      </c>
      <c r="H95" s="43"/>
      <c r="I95" s="185">
        <f t="shared" ref="I95:I158" si="10">E95*(2^16-1)</f>
        <v>15207.165789953129</v>
      </c>
      <c r="J95" s="8"/>
      <c r="K95" s="8"/>
      <c r="L95" s="8"/>
      <c r="M95" s="8"/>
      <c r="N95" s="8"/>
      <c r="O95" s="8"/>
      <c r="P95" s="8"/>
      <c r="Q95" s="8"/>
      <c r="R95" s="8"/>
      <c r="S95" s="8"/>
      <c r="T95" s="8"/>
      <c r="U95" s="8"/>
      <c r="V95" s="8"/>
      <c r="W95" s="8"/>
      <c r="X95" s="8"/>
      <c r="Y95" s="8"/>
      <c r="Z95" s="8"/>
      <c r="AA95" s="8"/>
      <c r="AB95" s="8"/>
      <c r="AC95" s="8"/>
      <c r="AD95" s="8"/>
    </row>
    <row r="96" spans="1:30" ht="15">
      <c r="A96" s="58"/>
      <c r="B96" s="69">
        <v>66</v>
      </c>
      <c r="C96" s="43" t="s">
        <v>294</v>
      </c>
      <c r="D96" s="69">
        <v>6.3639610306789204E-2</v>
      </c>
      <c r="E96" s="43">
        <f t="shared" si="9"/>
        <v>0.23763830187405716</v>
      </c>
      <c r="F96" s="71">
        <f t="shared" si="6"/>
        <v>23.763830187405716</v>
      </c>
      <c r="G96" s="84">
        <f t="shared" si="7"/>
        <v>243.10398281716047</v>
      </c>
      <c r="H96" s="43"/>
      <c r="I96" s="185">
        <f t="shared" si="10"/>
        <v>15573.626113316335</v>
      </c>
      <c r="J96" s="8"/>
      <c r="K96" s="8"/>
      <c r="L96" s="8"/>
      <c r="M96" s="8"/>
      <c r="N96" s="8"/>
      <c r="O96" s="8"/>
      <c r="P96" s="8"/>
      <c r="Q96" s="8"/>
      <c r="R96" s="8"/>
      <c r="S96" s="8"/>
      <c r="T96" s="8"/>
      <c r="U96" s="8"/>
      <c r="V96" s="8"/>
      <c r="W96" s="8"/>
      <c r="X96" s="8"/>
      <c r="Y96" s="8"/>
      <c r="Z96" s="8"/>
      <c r="AA96" s="8"/>
      <c r="AB96" s="8"/>
      <c r="AC96" s="8"/>
      <c r="AD96" s="8"/>
    </row>
    <row r="97" spans="1:30" ht="15">
      <c r="A97" s="58"/>
      <c r="B97" s="69">
        <v>67</v>
      </c>
      <c r="C97" s="43" t="s">
        <v>295</v>
      </c>
      <c r="D97" s="69">
        <v>6.8207245492967902E-2</v>
      </c>
      <c r="E97" s="43">
        <f t="shared" si="9"/>
        <v>0.24342151381425023</v>
      </c>
      <c r="F97" s="71">
        <f t="shared" si="6"/>
        <v>24.342151381425023</v>
      </c>
      <c r="G97" s="84">
        <f t="shared" si="7"/>
        <v>249.02020863197799</v>
      </c>
      <c r="H97" s="43"/>
      <c r="I97" s="185">
        <f t="shared" si="10"/>
        <v>15952.628907816888</v>
      </c>
      <c r="J97" s="8"/>
      <c r="K97" s="8"/>
      <c r="L97" s="8"/>
      <c r="M97" s="8"/>
      <c r="N97" s="8"/>
      <c r="O97" s="8"/>
      <c r="P97" s="8"/>
      <c r="Q97" s="8"/>
      <c r="R97" s="8"/>
      <c r="S97" s="8"/>
      <c r="T97" s="8"/>
      <c r="U97" s="8"/>
      <c r="V97" s="8"/>
      <c r="W97" s="8"/>
      <c r="X97" s="8"/>
      <c r="Y97" s="8"/>
      <c r="Z97" s="8"/>
      <c r="AA97" s="8"/>
      <c r="AB97" s="8"/>
      <c r="AC97" s="8"/>
      <c r="AD97" s="8"/>
    </row>
    <row r="98" spans="1:30" ht="15">
      <c r="A98" s="58"/>
      <c r="B98" s="69">
        <v>68</v>
      </c>
      <c r="C98" s="43" t="s">
        <v>296</v>
      </c>
      <c r="D98" s="69">
        <v>7.31027156720611E-2</v>
      </c>
      <c r="E98" s="43">
        <f t="shared" si="9"/>
        <v>0.24939550034642</v>
      </c>
      <c r="F98" s="71">
        <f t="shared" si="6"/>
        <v>24.939550034642</v>
      </c>
      <c r="G98" s="84">
        <f t="shared" si="7"/>
        <v>255.13159685438765</v>
      </c>
      <c r="H98" s="43"/>
      <c r="I98" s="185">
        <f t="shared" si="10"/>
        <v>16344.134115202634</v>
      </c>
      <c r="J98" s="8"/>
      <c r="K98" s="8"/>
      <c r="L98" s="8"/>
      <c r="M98" s="8"/>
      <c r="N98" s="8"/>
      <c r="O98" s="8"/>
      <c r="P98" s="8"/>
      <c r="Q98" s="8"/>
      <c r="R98" s="8"/>
      <c r="S98" s="8"/>
      <c r="T98" s="8"/>
      <c r="U98" s="8"/>
      <c r="V98" s="8"/>
      <c r="W98" s="8"/>
      <c r="X98" s="8"/>
      <c r="Y98" s="8"/>
      <c r="Z98" s="8"/>
      <c r="AA98" s="8"/>
      <c r="AB98" s="8"/>
      <c r="AC98" s="8"/>
      <c r="AD98" s="8"/>
    </row>
    <row r="99" spans="1:30" ht="15">
      <c r="A99" s="58"/>
      <c r="B99" s="69">
        <v>69</v>
      </c>
      <c r="C99" s="43" t="s">
        <v>297</v>
      </c>
      <c r="D99" s="69">
        <v>7.8349550696651102E-2</v>
      </c>
      <c r="E99" s="43">
        <f t="shared" si="9"/>
        <v>0.2555591980878002</v>
      </c>
      <c r="F99" s="71">
        <f t="shared" si="6"/>
        <v>25.555919808780018</v>
      </c>
      <c r="G99" s="84">
        <f t="shared" si="7"/>
        <v>261.43705964381962</v>
      </c>
      <c r="H99" s="43"/>
      <c r="I99" s="185">
        <f t="shared" si="10"/>
        <v>16748.072046683985</v>
      </c>
      <c r="J99" s="8"/>
      <c r="K99" s="8"/>
      <c r="L99" s="8"/>
      <c r="M99" s="8"/>
      <c r="N99" s="8"/>
      <c r="O99" s="8"/>
      <c r="P99" s="8"/>
      <c r="Q99" s="8"/>
      <c r="R99" s="8"/>
      <c r="S99" s="8"/>
      <c r="T99" s="8"/>
      <c r="U99" s="8"/>
      <c r="V99" s="8"/>
      <c r="W99" s="8"/>
      <c r="X99" s="8"/>
      <c r="Y99" s="8"/>
      <c r="Z99" s="8"/>
      <c r="AA99" s="8"/>
      <c r="AB99" s="8"/>
      <c r="AC99" s="8"/>
      <c r="AD99" s="8"/>
    </row>
    <row r="100" spans="1:30" ht="15">
      <c r="A100" s="58"/>
      <c r="B100" s="69">
        <v>70</v>
      </c>
      <c r="C100" s="43" t="s">
        <v>298</v>
      </c>
      <c r="D100" s="69">
        <v>8.39729692383126E-2</v>
      </c>
      <c r="E100" s="43">
        <f t="shared" si="9"/>
        <v>0.26191110161055381</v>
      </c>
      <c r="F100" s="71">
        <f t="shared" si="6"/>
        <v>26.191110161055381</v>
      </c>
      <c r="G100" s="84">
        <f t="shared" si="7"/>
        <v>267.93505694759654</v>
      </c>
      <c r="H100" s="43"/>
      <c r="I100" s="185">
        <f t="shared" si="10"/>
        <v>17164.344044047644</v>
      </c>
      <c r="J100" s="8"/>
      <c r="K100" s="8"/>
      <c r="L100" s="8"/>
      <c r="M100" s="8"/>
      <c r="N100" s="8"/>
      <c r="O100" s="8"/>
      <c r="P100" s="8"/>
      <c r="Q100" s="8"/>
      <c r="R100" s="8"/>
      <c r="S100" s="8"/>
      <c r="T100" s="8"/>
      <c r="U100" s="8"/>
      <c r="V100" s="8"/>
      <c r="W100" s="8"/>
      <c r="X100" s="8"/>
      <c r="Y100" s="8"/>
      <c r="Z100" s="8"/>
      <c r="AA100" s="8"/>
      <c r="AB100" s="8"/>
      <c r="AC100" s="8"/>
      <c r="AD100" s="8"/>
    </row>
    <row r="101" spans="1:30" ht="15">
      <c r="A101" s="58"/>
      <c r="B101" s="69">
        <v>71</v>
      </c>
      <c r="C101" s="43" t="s">
        <v>299</v>
      </c>
      <c r="D101" s="69">
        <v>0.09</v>
      </c>
      <c r="E101" s="43">
        <f t="shared" si="9"/>
        <v>0.2684492775785825</v>
      </c>
      <c r="F101" s="71">
        <f t="shared" si="6"/>
        <v>26.844927757858251</v>
      </c>
      <c r="G101" s="84">
        <f t="shared" si="7"/>
        <v>274.62361096288993</v>
      </c>
      <c r="H101" s="43"/>
      <c r="I101" s="185">
        <f t="shared" si="10"/>
        <v>17592.823406112406</v>
      </c>
      <c r="J101" s="8"/>
      <c r="K101" s="8"/>
      <c r="L101" s="8"/>
      <c r="M101" s="8"/>
      <c r="N101" s="8"/>
      <c r="O101" s="8"/>
      <c r="P101" s="8"/>
      <c r="Q101" s="8"/>
      <c r="R101" s="8"/>
      <c r="S101" s="8"/>
      <c r="T101" s="8"/>
      <c r="U101" s="8"/>
      <c r="V101" s="8"/>
      <c r="W101" s="8"/>
      <c r="X101" s="8"/>
      <c r="Y101" s="8"/>
      <c r="Z101" s="8"/>
      <c r="AA101" s="8"/>
      <c r="AB101" s="8"/>
      <c r="AC101" s="8"/>
      <c r="AD101" s="8"/>
    </row>
    <row r="102" spans="1:30" ht="15">
      <c r="A102" s="58"/>
      <c r="B102" s="69">
        <v>72</v>
      </c>
      <c r="C102" s="43" t="s">
        <v>300</v>
      </c>
      <c r="D102" s="69">
        <v>9.6459611628266301E-2</v>
      </c>
      <c r="E102" s="43">
        <f t="shared" si="9"/>
        <v>0.2751713826539034</v>
      </c>
      <c r="F102" s="71">
        <f t="shared" si="6"/>
        <v>27.51713826539034</v>
      </c>
      <c r="G102" s="84">
        <f t="shared" si="7"/>
        <v>281.50032445494315</v>
      </c>
      <c r="H102" s="43"/>
      <c r="I102" s="185">
        <f t="shared" si="10"/>
        <v>18033.356562223558</v>
      </c>
      <c r="J102" s="8"/>
      <c r="K102" s="8"/>
      <c r="L102" s="8"/>
      <c r="M102" s="8"/>
      <c r="N102" s="8"/>
      <c r="O102" s="8"/>
      <c r="P102" s="8"/>
      <c r="Q102" s="8"/>
      <c r="R102" s="8"/>
      <c r="S102" s="8"/>
      <c r="T102" s="8"/>
      <c r="U102" s="8"/>
      <c r="V102" s="8"/>
      <c r="W102" s="8"/>
      <c r="X102" s="8"/>
      <c r="Y102" s="8"/>
      <c r="Z102" s="8"/>
      <c r="AA102" s="8"/>
      <c r="AB102" s="8"/>
      <c r="AC102" s="8"/>
      <c r="AD102" s="8"/>
    </row>
    <row r="103" spans="1:30" ht="15">
      <c r="A103" s="58"/>
      <c r="B103" s="69">
        <v>73</v>
      </c>
      <c r="C103" s="43" t="s">
        <v>301</v>
      </c>
      <c r="D103" s="69">
        <v>0.103382851949733</v>
      </c>
      <c r="E103" s="43">
        <f t="shared" si="9"/>
        <v>0.28207468482545633</v>
      </c>
      <c r="F103" s="71">
        <f t="shared" si="6"/>
        <v>28.207468482545632</v>
      </c>
      <c r="G103" s="84">
        <f t="shared" si="7"/>
        <v>288.56240257644185</v>
      </c>
      <c r="H103" s="43"/>
      <c r="I103" s="185">
        <f t="shared" si="10"/>
        <v>18485.76447003628</v>
      </c>
      <c r="J103" s="8"/>
      <c r="K103" s="8"/>
      <c r="L103" s="8"/>
      <c r="M103" s="8"/>
      <c r="N103" s="8"/>
      <c r="O103" s="8"/>
      <c r="P103" s="8"/>
      <c r="Q103" s="8"/>
      <c r="R103" s="8"/>
      <c r="S103" s="8"/>
      <c r="T103" s="8"/>
      <c r="U103" s="8"/>
      <c r="V103" s="8"/>
      <c r="W103" s="8"/>
      <c r="X103" s="8"/>
      <c r="Y103" s="8"/>
      <c r="Z103" s="8"/>
      <c r="AA103" s="8"/>
      <c r="AB103" s="8"/>
      <c r="AC103" s="8"/>
      <c r="AD103" s="8"/>
    </row>
    <row r="104" spans="1:30" ht="15">
      <c r="A104" s="58"/>
      <c r="B104" s="69">
        <v>74</v>
      </c>
      <c r="C104" s="43" t="s">
        <v>302</v>
      </c>
      <c r="D104" s="69">
        <v>0.110802997201042</v>
      </c>
      <c r="E104" s="43">
        <f t="shared" si="9"/>
        <v>0.28915608775671314</v>
      </c>
      <c r="F104" s="71">
        <f t="shared" si="6"/>
        <v>28.915608775671313</v>
      </c>
      <c r="G104" s="84">
        <f t="shared" si="7"/>
        <v>295.80667777511752</v>
      </c>
      <c r="H104" s="43"/>
      <c r="I104" s="185">
        <f t="shared" si="10"/>
        <v>18949.844211136195</v>
      </c>
      <c r="J104" s="8"/>
      <c r="K104" s="8"/>
      <c r="L104" s="8"/>
      <c r="M104" s="8"/>
      <c r="N104" s="8"/>
      <c r="O104" s="8"/>
      <c r="P104" s="8"/>
      <c r="Q104" s="8"/>
      <c r="R104" s="8"/>
      <c r="S104" s="8"/>
      <c r="T104" s="8"/>
      <c r="U104" s="8"/>
      <c r="V104" s="8"/>
      <c r="W104" s="8"/>
      <c r="X104" s="8"/>
      <c r="Y104" s="8"/>
      <c r="Z104" s="8"/>
      <c r="AA104" s="8"/>
      <c r="AB104" s="8"/>
      <c r="AC104" s="8"/>
      <c r="AD104" s="8"/>
    </row>
    <row r="105" spans="1:30" ht="15">
      <c r="A105" s="58"/>
      <c r="B105" s="69">
        <v>75</v>
      </c>
      <c r="C105" s="43" t="s">
        <v>303</v>
      </c>
      <c r="D105" s="69">
        <v>0.11875571196956</v>
      </c>
      <c r="E105" s="43">
        <f t="shared" si="9"/>
        <v>0.29641215770477325</v>
      </c>
      <c r="F105" s="71">
        <f t="shared" si="6"/>
        <v>29.641215770477324</v>
      </c>
      <c r="G105" s="84">
        <f t="shared" si="7"/>
        <v>303.22963733198304</v>
      </c>
      <c r="H105" s="43"/>
      <c r="I105" s="185">
        <f t="shared" si="10"/>
        <v>19425.370755182314</v>
      </c>
      <c r="J105" s="8"/>
      <c r="K105" s="8"/>
      <c r="L105" s="8"/>
      <c r="M105" s="8"/>
      <c r="N105" s="8"/>
      <c r="O105" s="8"/>
      <c r="P105" s="8"/>
      <c r="Q105" s="8"/>
      <c r="R105" s="8"/>
      <c r="S105" s="8"/>
      <c r="T105" s="8"/>
      <c r="U105" s="8"/>
      <c r="V105" s="8"/>
      <c r="W105" s="8"/>
      <c r="X105" s="8"/>
      <c r="Y105" s="8"/>
      <c r="Z105" s="8"/>
      <c r="AA105" s="8"/>
      <c r="AB105" s="8"/>
      <c r="AC105" s="8"/>
      <c r="AD105" s="8"/>
    </row>
    <row r="106" spans="1:30" ht="15">
      <c r="A106" s="58"/>
      <c r="B106" s="69">
        <v>76</v>
      </c>
      <c r="C106" s="43" t="s">
        <v>304</v>
      </c>
      <c r="D106" s="69">
        <v>0.12727922061357799</v>
      </c>
      <c r="E106" s="43">
        <f t="shared" si="9"/>
        <v>0.3038391525335597</v>
      </c>
      <c r="F106" s="71">
        <f t="shared" si="6"/>
        <v>30.383915253355969</v>
      </c>
      <c r="G106" s="84">
        <f t="shared" si="7"/>
        <v>310.82745304183157</v>
      </c>
      <c r="H106" s="43"/>
      <c r="I106" s="185">
        <f t="shared" si="10"/>
        <v>19912.098861286835</v>
      </c>
      <c r="J106" s="8"/>
      <c r="K106" s="8"/>
      <c r="L106" s="8"/>
      <c r="M106" s="8"/>
      <c r="N106" s="8"/>
      <c r="O106" s="8"/>
      <c r="P106" s="8"/>
      <c r="Q106" s="8"/>
      <c r="R106" s="8"/>
      <c r="S106" s="8"/>
      <c r="T106" s="8"/>
      <c r="U106" s="8"/>
      <c r="V106" s="8"/>
      <c r="W106" s="8"/>
      <c r="X106" s="8"/>
      <c r="Y106" s="8"/>
      <c r="Z106" s="8"/>
      <c r="AA106" s="8"/>
      <c r="AB106" s="8"/>
      <c r="AC106" s="8"/>
      <c r="AD106" s="8"/>
    </row>
    <row r="107" spans="1:30" ht="15">
      <c r="A107" s="58"/>
      <c r="B107" s="69">
        <v>77</v>
      </c>
      <c r="C107" s="43" t="s">
        <v>305</v>
      </c>
      <c r="D107" s="69">
        <v>0.136414490985935</v>
      </c>
      <c r="E107" s="43">
        <f t="shared" si="9"/>
        <v>0.31143305232752777</v>
      </c>
      <c r="F107" s="71">
        <f t="shared" si="6"/>
        <v>31.143305232752777</v>
      </c>
      <c r="G107" s="84">
        <f t="shared" si="7"/>
        <v>318.59601253106092</v>
      </c>
      <c r="H107" s="43"/>
      <c r="I107" s="185">
        <f t="shared" si="10"/>
        <v>20409.765084284532</v>
      </c>
      <c r="J107" s="8"/>
      <c r="K107" s="8"/>
      <c r="L107" s="8"/>
      <c r="M107" s="8"/>
      <c r="N107" s="8"/>
      <c r="O107" s="8"/>
      <c r="P107" s="8"/>
      <c r="Q107" s="8"/>
      <c r="R107" s="8"/>
      <c r="S107" s="8"/>
      <c r="T107" s="8"/>
      <c r="U107" s="8"/>
      <c r="V107" s="8"/>
      <c r="W107" s="8"/>
      <c r="X107" s="8"/>
      <c r="Y107" s="8"/>
      <c r="Z107" s="8"/>
      <c r="AA107" s="8"/>
      <c r="AB107" s="8"/>
      <c r="AC107" s="8"/>
      <c r="AD107" s="8"/>
    </row>
    <row r="108" spans="1:30" ht="15">
      <c r="A108" s="58"/>
      <c r="B108" s="69">
        <v>78</v>
      </c>
      <c r="C108" s="43" t="s">
        <v>306</v>
      </c>
      <c r="D108" s="69">
        <v>0.14620543134412201</v>
      </c>
      <c r="E108" s="43">
        <f t="shared" si="9"/>
        <v>0.31918959110957518</v>
      </c>
      <c r="F108" s="71">
        <f t="shared" si="6"/>
        <v>31.918959110957516</v>
      </c>
      <c r="G108" s="84">
        <f t="shared" si="7"/>
        <v>326.53095170509539</v>
      </c>
      <c r="H108" s="43"/>
      <c r="I108" s="185">
        <f t="shared" si="10"/>
        <v>20918.089853366007</v>
      </c>
      <c r="J108" s="8"/>
      <c r="K108" s="8"/>
      <c r="L108" s="8"/>
      <c r="M108" s="8"/>
      <c r="N108" s="8"/>
      <c r="O108" s="8"/>
      <c r="P108" s="8"/>
      <c r="Q108" s="8"/>
      <c r="R108" s="8"/>
      <c r="S108" s="8"/>
      <c r="T108" s="8"/>
      <c r="U108" s="8"/>
      <c r="V108" s="8"/>
      <c r="W108" s="8"/>
      <c r="X108" s="8"/>
      <c r="Y108" s="8"/>
      <c r="Z108" s="8"/>
      <c r="AA108" s="8"/>
      <c r="AB108" s="8"/>
      <c r="AC108" s="8"/>
      <c r="AD108" s="8"/>
    </row>
    <row r="109" spans="1:30" ht="15">
      <c r="A109" s="58"/>
      <c r="B109" s="69">
        <v>79</v>
      </c>
      <c r="C109" s="43" t="s">
        <v>307</v>
      </c>
      <c r="D109" s="69">
        <v>0.15669910139330201</v>
      </c>
      <c r="E109" s="43">
        <f t="shared" si="9"/>
        <v>0.32710428917675322</v>
      </c>
      <c r="F109" s="71">
        <f t="shared" si="6"/>
        <v>32.710428917675323</v>
      </c>
      <c r="G109" s="84">
        <f t="shared" si="7"/>
        <v>334.62768782781853</v>
      </c>
      <c r="H109" s="43"/>
      <c r="I109" s="185">
        <f t="shared" si="10"/>
        <v>21436.779591198523</v>
      </c>
      <c r="J109" s="8"/>
      <c r="K109" s="8"/>
      <c r="L109" s="8"/>
      <c r="M109" s="8"/>
      <c r="N109" s="8"/>
      <c r="O109" s="8"/>
      <c r="P109" s="8"/>
      <c r="Q109" s="8"/>
      <c r="R109" s="8"/>
      <c r="S109" s="8"/>
      <c r="T109" s="8"/>
      <c r="U109" s="8"/>
      <c r="V109" s="8"/>
      <c r="W109" s="8"/>
      <c r="X109" s="8"/>
      <c r="Y109" s="8"/>
      <c r="Z109" s="8"/>
      <c r="AA109" s="8"/>
      <c r="AB109" s="8"/>
      <c r="AC109" s="8"/>
      <c r="AD109" s="8"/>
    </row>
    <row r="110" spans="1:30" ht="15">
      <c r="A110" s="58"/>
      <c r="B110" s="69">
        <v>80</v>
      </c>
      <c r="C110" s="43" t="s">
        <v>85</v>
      </c>
      <c r="D110" s="69">
        <v>0.16794593847662501</v>
      </c>
      <c r="E110" s="43">
        <f t="shared" si="9"/>
        <v>0.33517248558861468</v>
      </c>
      <c r="F110" s="71">
        <f t="shared" si="6"/>
        <v>33.517248558861468</v>
      </c>
      <c r="G110" s="84">
        <f t="shared" si="7"/>
        <v>342.88145275715283</v>
      </c>
      <c r="H110" s="43"/>
      <c r="I110" s="185">
        <f t="shared" si="10"/>
        <v>21965.528843049862</v>
      </c>
      <c r="J110" s="8"/>
      <c r="K110" s="8"/>
      <c r="L110" s="8"/>
      <c r="M110" s="8"/>
      <c r="N110" s="8"/>
      <c r="O110" s="8"/>
      <c r="P110" s="8"/>
      <c r="Q110" s="8"/>
      <c r="R110" s="8"/>
      <c r="S110" s="8"/>
      <c r="T110" s="8"/>
      <c r="U110" s="8"/>
      <c r="V110" s="8"/>
      <c r="W110" s="8"/>
      <c r="X110" s="8"/>
      <c r="Y110" s="8"/>
      <c r="Z110" s="8"/>
      <c r="AA110" s="8"/>
      <c r="AB110" s="8"/>
      <c r="AC110" s="8"/>
      <c r="AD110" s="8"/>
    </row>
    <row r="111" spans="1:30" ht="15">
      <c r="A111" s="58"/>
      <c r="B111" s="69">
        <v>81</v>
      </c>
      <c r="C111" s="43" t="s">
        <v>308</v>
      </c>
      <c r="D111" s="69">
        <v>0.18</v>
      </c>
      <c r="E111" s="43">
        <f t="shared" si="9"/>
        <v>0.34338937037393552</v>
      </c>
      <c r="F111" s="71">
        <f t="shared" si="6"/>
        <v>34.338937037393549</v>
      </c>
      <c r="G111" s="84">
        <f t="shared" si="7"/>
        <v>351.28732589253605</v>
      </c>
      <c r="H111" s="43"/>
      <c r="I111" s="185">
        <f t="shared" si="10"/>
        <v>22504.022387455865</v>
      </c>
      <c r="J111" s="8"/>
      <c r="K111" s="8"/>
      <c r="L111" s="8"/>
      <c r="M111" s="8"/>
      <c r="N111" s="8"/>
      <c r="O111" s="8"/>
      <c r="P111" s="8"/>
      <c r="Q111" s="8"/>
      <c r="R111" s="8"/>
      <c r="S111" s="8"/>
      <c r="T111" s="8"/>
      <c r="U111" s="8"/>
      <c r="V111" s="8"/>
      <c r="W111" s="8"/>
      <c r="X111" s="8"/>
      <c r="Y111" s="8"/>
      <c r="Z111" s="8"/>
      <c r="AA111" s="8"/>
      <c r="AB111" s="8"/>
      <c r="AC111" s="8"/>
      <c r="AD111" s="8"/>
    </row>
    <row r="112" spans="1:30" ht="15">
      <c r="A112" s="58"/>
      <c r="B112" s="69">
        <v>82</v>
      </c>
      <c r="C112" s="43" t="s">
        <v>309</v>
      </c>
      <c r="D112" s="69">
        <v>0.19291922325653199</v>
      </c>
      <c r="E112" s="43">
        <f t="shared" si="9"/>
        <v>0.35175001606031769</v>
      </c>
      <c r="F112" s="71">
        <f t="shared" si="6"/>
        <v>35.175001606031771</v>
      </c>
      <c r="G112" s="84">
        <f t="shared" si="7"/>
        <v>359.84026642970503</v>
      </c>
      <c r="H112" s="43"/>
      <c r="I112" s="185">
        <f t="shared" si="10"/>
        <v>23051.937302512921</v>
      </c>
      <c r="J112" s="8"/>
      <c r="K112" s="8"/>
      <c r="L112" s="8"/>
      <c r="M112" s="8"/>
      <c r="N112" s="8"/>
      <c r="O112" s="8"/>
      <c r="P112" s="8"/>
      <c r="Q112" s="8"/>
      <c r="R112" s="8"/>
      <c r="S112" s="8"/>
      <c r="T112" s="8"/>
      <c r="U112" s="8"/>
      <c r="V112" s="8"/>
      <c r="W112" s="8"/>
      <c r="X112" s="8"/>
      <c r="Y112" s="8"/>
      <c r="Z112" s="8"/>
      <c r="AA112" s="8"/>
      <c r="AB112" s="8"/>
      <c r="AC112" s="8"/>
      <c r="AD112" s="8"/>
    </row>
    <row r="113" spans="1:30" ht="15">
      <c r="A113" s="58"/>
      <c r="B113" s="69">
        <v>83</v>
      </c>
      <c r="C113" s="43" t="s">
        <v>87</v>
      </c>
      <c r="D113" s="69">
        <v>0.206765703899466</v>
      </c>
      <c r="E113" s="43">
        <f t="shared" si="9"/>
        <v>0.36024940817582773</v>
      </c>
      <c r="F113" s="71">
        <f t="shared" si="6"/>
        <v>36.024940817582774</v>
      </c>
      <c r="G113" s="84">
        <f t="shared" si="7"/>
        <v>368.53514456387177</v>
      </c>
      <c r="H113" s="43"/>
      <c r="I113" s="185">
        <f t="shared" si="10"/>
        <v>23608.944964802871</v>
      </c>
      <c r="J113" s="8"/>
      <c r="K113" s="8"/>
      <c r="L113" s="8"/>
      <c r="M113" s="8"/>
      <c r="N113" s="8"/>
      <c r="O113" s="8"/>
      <c r="P113" s="8"/>
      <c r="Q113" s="8"/>
      <c r="R113" s="8"/>
      <c r="S113" s="8"/>
      <c r="T113" s="8"/>
      <c r="U113" s="8"/>
      <c r="V113" s="8"/>
      <c r="W113" s="8"/>
      <c r="X113" s="8"/>
      <c r="Y113" s="8"/>
      <c r="Z113" s="8"/>
      <c r="AA113" s="8"/>
      <c r="AB113" s="8"/>
      <c r="AC113" s="8"/>
      <c r="AD113" s="8"/>
    </row>
    <row r="114" spans="1:30" ht="15">
      <c r="A114" s="58"/>
      <c r="B114" s="69">
        <v>84</v>
      </c>
      <c r="C114" s="43" t="s">
        <v>310</v>
      </c>
      <c r="D114" s="69">
        <v>0.22160599440208401</v>
      </c>
      <c r="E114" s="43">
        <f t="shared" si="9"/>
        <v>0.36888247442038707</v>
      </c>
      <c r="F114" s="71">
        <f t="shared" si="6"/>
        <v>36.888247442038704</v>
      </c>
      <c r="G114" s="84">
        <f t="shared" si="7"/>
        <v>377.36677133205598</v>
      </c>
      <c r="H114" s="43"/>
      <c r="I114" s="185">
        <f t="shared" si="10"/>
        <v>24174.712961140067</v>
      </c>
      <c r="J114" s="8"/>
      <c r="K114" s="8"/>
      <c r="L114" s="8"/>
      <c r="M114" s="8"/>
      <c r="N114" s="8"/>
      <c r="O114" s="8"/>
      <c r="P114" s="8"/>
      <c r="Q114" s="8"/>
      <c r="R114" s="8"/>
      <c r="S114" s="8"/>
      <c r="T114" s="8"/>
      <c r="U114" s="8"/>
      <c r="V114" s="8"/>
      <c r="W114" s="8"/>
      <c r="X114" s="8"/>
      <c r="Y114" s="8"/>
      <c r="Z114" s="8"/>
      <c r="AA114" s="8"/>
      <c r="AB114" s="8"/>
      <c r="AC114" s="8"/>
      <c r="AD114" s="8"/>
    </row>
    <row r="115" spans="1:30" ht="15">
      <c r="A115" s="58"/>
      <c r="B115" s="69">
        <v>85</v>
      </c>
      <c r="C115" s="43" t="s">
        <v>311</v>
      </c>
      <c r="D115" s="69">
        <v>0.23751142393912</v>
      </c>
      <c r="E115" s="43">
        <f t="shared" si="9"/>
        <v>0.37764411225529704</v>
      </c>
      <c r="F115" s="71">
        <f t="shared" si="6"/>
        <v>37.764411225529706</v>
      </c>
      <c r="G115" s="84">
        <f t="shared" si="7"/>
        <v>386.32992683716884</v>
      </c>
      <c r="H115" s="43"/>
      <c r="I115" s="185">
        <f t="shared" si="10"/>
        <v>24748.906896650893</v>
      </c>
      <c r="J115" s="8"/>
      <c r="K115" s="8"/>
      <c r="L115" s="8"/>
      <c r="M115" s="8"/>
      <c r="N115" s="8"/>
      <c r="O115" s="8"/>
      <c r="P115" s="8"/>
      <c r="Q115" s="8"/>
      <c r="R115" s="8"/>
      <c r="S115" s="8"/>
      <c r="T115" s="8"/>
      <c r="U115" s="8"/>
      <c r="V115" s="8"/>
      <c r="W115" s="8"/>
      <c r="X115" s="8"/>
      <c r="Y115" s="8"/>
      <c r="Z115" s="8"/>
      <c r="AA115" s="8"/>
      <c r="AB115" s="8"/>
      <c r="AC115" s="8"/>
      <c r="AD115" s="8"/>
    </row>
    <row r="116" spans="1:30" ht="15">
      <c r="A116" s="58"/>
      <c r="B116" s="69">
        <v>86</v>
      </c>
      <c r="C116" s="43" t="s">
        <v>312</v>
      </c>
      <c r="D116" s="69">
        <v>0.25455844122715698</v>
      </c>
      <c r="E116" s="43">
        <f t="shared" si="9"/>
        <v>0.38652921471022916</v>
      </c>
      <c r="F116" s="71">
        <f t="shared" si="6"/>
        <v>38.652921471022914</v>
      </c>
      <c r="G116" s="84">
        <f t="shared" si="7"/>
        <v>395.41938664856445</v>
      </c>
      <c r="H116" s="43"/>
      <c r="I116" s="185">
        <f t="shared" si="10"/>
        <v>25331.192086034869</v>
      </c>
      <c r="J116" s="8"/>
      <c r="K116" s="8"/>
      <c r="L116" s="8"/>
      <c r="M116" s="8"/>
      <c r="N116" s="8"/>
      <c r="O116" s="8"/>
      <c r="P116" s="8"/>
      <c r="Q116" s="8"/>
      <c r="R116" s="8"/>
      <c r="S116" s="8"/>
      <c r="T116" s="8"/>
      <c r="U116" s="8"/>
      <c r="V116" s="8"/>
      <c r="W116" s="8"/>
      <c r="X116" s="8"/>
      <c r="Y116" s="8"/>
      <c r="Z116" s="8"/>
      <c r="AA116" s="8"/>
      <c r="AB116" s="8"/>
      <c r="AC116" s="8"/>
      <c r="AD116" s="8"/>
    </row>
    <row r="117" spans="1:30" ht="15">
      <c r="A117" s="58"/>
      <c r="B117" s="69">
        <v>87</v>
      </c>
      <c r="C117" s="43" t="s">
        <v>313</v>
      </c>
      <c r="D117" s="69">
        <v>0.272828981971871</v>
      </c>
      <c r="E117" s="43">
        <f t="shared" si="9"/>
        <v>0.39553269425686183</v>
      </c>
      <c r="F117" s="71">
        <f t="shared" si="6"/>
        <v>39.553269425686182</v>
      </c>
      <c r="G117" s="84">
        <f t="shared" si="7"/>
        <v>404.62994622476964</v>
      </c>
      <c r="H117" s="43"/>
      <c r="I117" s="185">
        <f t="shared" si="10"/>
        <v>25921.235118123441</v>
      </c>
      <c r="J117" s="8"/>
      <c r="K117" s="8"/>
      <c r="L117" s="8"/>
      <c r="M117" s="8"/>
      <c r="N117" s="8"/>
      <c r="O117" s="8"/>
      <c r="P117" s="8"/>
      <c r="Q117" s="8"/>
      <c r="R117" s="8"/>
      <c r="S117" s="8"/>
      <c r="T117" s="8"/>
      <c r="U117" s="8"/>
      <c r="V117" s="8"/>
      <c r="W117" s="8"/>
      <c r="X117" s="8"/>
      <c r="Y117" s="8"/>
      <c r="Z117" s="8"/>
      <c r="AA117" s="8"/>
      <c r="AB117" s="8"/>
      <c r="AC117" s="8"/>
      <c r="AD117" s="8"/>
    </row>
    <row r="118" spans="1:30" ht="15">
      <c r="A118" s="58"/>
      <c r="B118" s="69">
        <v>88</v>
      </c>
      <c r="C118" s="43" t="s">
        <v>314</v>
      </c>
      <c r="D118" s="69">
        <v>0.29241086268824401</v>
      </c>
      <c r="E118" s="43">
        <f t="shared" si="9"/>
        <v>0.40464950464573884</v>
      </c>
      <c r="F118" s="71">
        <f t="shared" si="6"/>
        <v>40.464950464573882</v>
      </c>
      <c r="G118" s="84">
        <f t="shared" si="7"/>
        <v>413.95644325259082</v>
      </c>
      <c r="H118" s="43"/>
      <c r="I118" s="185">
        <f t="shared" si="10"/>
        <v>26518.705286958495</v>
      </c>
      <c r="J118" s="8"/>
      <c r="K118" s="8"/>
      <c r="L118" s="8"/>
      <c r="M118" s="8"/>
      <c r="N118" s="8"/>
      <c r="O118" s="8"/>
      <c r="P118" s="8"/>
      <c r="Q118" s="8"/>
      <c r="R118" s="8"/>
      <c r="S118" s="8"/>
      <c r="T118" s="8"/>
      <c r="U118" s="8"/>
      <c r="V118" s="8"/>
      <c r="W118" s="8"/>
      <c r="X118" s="8"/>
      <c r="Y118" s="8"/>
      <c r="Z118" s="8"/>
      <c r="AA118" s="8"/>
      <c r="AB118" s="8"/>
      <c r="AC118" s="8"/>
      <c r="AD118" s="8"/>
    </row>
    <row r="119" spans="1:30" ht="15">
      <c r="A119" s="58"/>
      <c r="B119" s="69">
        <v>89</v>
      </c>
      <c r="C119" s="43" t="s">
        <v>315</v>
      </c>
      <c r="D119" s="69">
        <v>0.31339820278660402</v>
      </c>
      <c r="E119" s="43">
        <f t="shared" si="9"/>
        <v>0.41387466064690676</v>
      </c>
      <c r="F119" s="71">
        <f t="shared" si="6"/>
        <v>41.387466064690678</v>
      </c>
      <c r="G119" s="84">
        <f t="shared" si="7"/>
        <v>423.39377784178561</v>
      </c>
      <c r="H119" s="43"/>
      <c r="I119" s="185">
        <f t="shared" si="10"/>
        <v>27123.275885495033</v>
      </c>
      <c r="J119" s="8"/>
      <c r="K119" s="8"/>
      <c r="L119" s="8"/>
      <c r="M119" s="8"/>
      <c r="N119" s="8"/>
      <c r="O119" s="8"/>
      <c r="P119" s="8"/>
      <c r="Q119" s="8"/>
      <c r="R119" s="8"/>
      <c r="S119" s="8"/>
      <c r="T119" s="8"/>
      <c r="U119" s="8"/>
      <c r="V119" s="8"/>
      <c r="W119" s="8"/>
      <c r="X119" s="8"/>
      <c r="Y119" s="8"/>
      <c r="Z119" s="8"/>
      <c r="AA119" s="8"/>
      <c r="AB119" s="8"/>
      <c r="AC119" s="8"/>
      <c r="AD119" s="8"/>
    </row>
    <row r="120" spans="1:30" ht="15">
      <c r="A120" s="58"/>
      <c r="B120" s="69">
        <v>90</v>
      </c>
      <c r="C120" s="43" t="s">
        <v>316</v>
      </c>
      <c r="D120" s="69">
        <v>0.33589187695325001</v>
      </c>
      <c r="E120" s="43">
        <f t="shared" si="9"/>
        <v>0.42320325567474137</v>
      </c>
      <c r="F120" s="71">
        <f t="shared" si="6"/>
        <v>42.320325567474136</v>
      </c>
      <c r="G120" s="84">
        <f t="shared" si="7"/>
        <v>432.9369305552604</v>
      </c>
      <c r="H120" s="43"/>
      <c r="I120" s="185">
        <f t="shared" si="10"/>
        <v>27734.625360644175</v>
      </c>
      <c r="J120" s="8"/>
      <c r="K120" s="8"/>
      <c r="L120" s="8"/>
      <c r="M120" s="8"/>
      <c r="N120" s="8"/>
      <c r="O120" s="8"/>
      <c r="P120" s="8"/>
      <c r="Q120" s="8"/>
      <c r="R120" s="8"/>
      <c r="S120" s="8"/>
      <c r="T120" s="8"/>
      <c r="U120" s="8"/>
      <c r="V120" s="8"/>
      <c r="W120" s="8"/>
      <c r="X120" s="8"/>
      <c r="Y120" s="8"/>
      <c r="Z120" s="8"/>
      <c r="AA120" s="8"/>
      <c r="AB120" s="8"/>
      <c r="AC120" s="8"/>
      <c r="AD120" s="8"/>
    </row>
    <row r="121" spans="1:30" ht="15">
      <c r="A121" s="58"/>
      <c r="B121" s="69">
        <v>91</v>
      </c>
      <c r="C121" s="43" t="s">
        <v>317</v>
      </c>
      <c r="D121" s="69">
        <v>0.36</v>
      </c>
      <c r="E121" s="43">
        <f t="shared" si="9"/>
        <v>0.43263047731256132</v>
      </c>
      <c r="F121" s="71">
        <f t="shared" si="6"/>
        <v>43.26304773125613</v>
      </c>
      <c r="G121" s="84">
        <f t="shared" si="7"/>
        <v>442.58097829075024</v>
      </c>
      <c r="H121" s="43"/>
      <c r="I121" s="185">
        <f t="shared" si="10"/>
        <v>28352.438330678706</v>
      </c>
      <c r="J121" s="8"/>
      <c r="K121" s="8"/>
      <c r="L121" s="8"/>
      <c r="M121" s="8"/>
      <c r="N121" s="8"/>
      <c r="O121" s="8"/>
      <c r="P121" s="8"/>
      <c r="Q121" s="8"/>
      <c r="R121" s="8"/>
      <c r="S121" s="8"/>
      <c r="T121" s="8"/>
      <c r="U121" s="8"/>
      <c r="V121" s="8"/>
      <c r="W121" s="8"/>
      <c r="X121" s="8"/>
      <c r="Y121" s="8"/>
      <c r="Z121" s="8"/>
      <c r="AA121" s="8"/>
      <c r="AB121" s="8"/>
      <c r="AC121" s="8"/>
      <c r="AD121" s="8"/>
    </row>
    <row r="122" spans="1:30" ht="15">
      <c r="A122" s="58"/>
      <c r="B122" s="69">
        <v>92</v>
      </c>
      <c r="C122" s="43" t="s">
        <v>318</v>
      </c>
      <c r="D122" s="69">
        <v>0.38583844651306498</v>
      </c>
      <c r="E122" s="43">
        <f t="shared" si="9"/>
        <v>0.44215162078293085</v>
      </c>
      <c r="F122" s="71">
        <f t="shared" si="6"/>
        <v>44.215162078293083</v>
      </c>
      <c r="G122" s="84">
        <f t="shared" si="7"/>
        <v>452.32110806093829</v>
      </c>
      <c r="H122" s="43"/>
      <c r="I122" s="185">
        <f t="shared" si="10"/>
        <v>28976.406468009372</v>
      </c>
      <c r="J122" s="8"/>
      <c r="K122" s="8"/>
      <c r="L122" s="8"/>
      <c r="M122" s="8"/>
      <c r="N122" s="8"/>
      <c r="O122" s="8"/>
      <c r="P122" s="8"/>
      <c r="Q122" s="8"/>
      <c r="R122" s="8"/>
      <c r="S122" s="8"/>
      <c r="T122" s="8"/>
      <c r="U122" s="8"/>
      <c r="V122" s="8"/>
      <c r="W122" s="8"/>
      <c r="X122" s="8"/>
      <c r="Y122" s="8"/>
      <c r="Z122" s="8"/>
      <c r="AA122" s="8"/>
      <c r="AB122" s="8"/>
      <c r="AC122" s="8"/>
      <c r="AD122" s="8"/>
    </row>
    <row r="123" spans="1:30" ht="15">
      <c r="A123" s="58"/>
      <c r="B123" s="69">
        <v>93</v>
      </c>
      <c r="C123" s="43" t="s">
        <v>319</v>
      </c>
      <c r="D123" s="69">
        <v>0.41353140779893199</v>
      </c>
      <c r="E123" s="43">
        <f t="shared" si="9"/>
        <v>0.45176210043490389</v>
      </c>
      <c r="F123" s="71">
        <f t="shared" si="6"/>
        <v>45.176210043490386</v>
      </c>
      <c r="G123" s="84">
        <f t="shared" si="7"/>
        <v>462.15262874490668</v>
      </c>
      <c r="H123" s="43"/>
      <c r="I123" s="185">
        <f t="shared" si="10"/>
        <v>29606.229252001427</v>
      </c>
      <c r="J123" s="8"/>
      <c r="K123" s="8"/>
      <c r="L123" s="8"/>
      <c r="M123" s="8"/>
      <c r="N123" s="8"/>
      <c r="O123" s="8"/>
      <c r="P123" s="8"/>
      <c r="Q123" s="8"/>
      <c r="R123" s="8"/>
      <c r="S123" s="8"/>
      <c r="T123" s="8"/>
      <c r="U123" s="8"/>
      <c r="V123" s="8"/>
      <c r="W123" s="8"/>
      <c r="X123" s="8"/>
      <c r="Y123" s="8"/>
      <c r="Z123" s="8"/>
      <c r="AA123" s="8"/>
      <c r="AB123" s="8"/>
      <c r="AC123" s="8"/>
      <c r="AD123" s="8"/>
    </row>
    <row r="124" spans="1:30" ht="15">
      <c r="A124" s="58"/>
      <c r="B124" s="69">
        <v>94</v>
      </c>
      <c r="C124" s="43" t="s">
        <v>320</v>
      </c>
      <c r="D124" s="69">
        <v>0.44321198880416901</v>
      </c>
      <c r="E124" s="43">
        <f t="shared" si="9"/>
        <v>0.4614574593399417</v>
      </c>
      <c r="F124" s="71">
        <f t="shared" si="6"/>
        <v>46.145745933994171</v>
      </c>
      <c r="G124" s="84">
        <f t="shared" si="7"/>
        <v>472.07098090476035</v>
      </c>
      <c r="H124" s="43"/>
      <c r="I124" s="185">
        <f t="shared" si="10"/>
        <v>30241.61459784308</v>
      </c>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43">
        <f t="shared" si="9"/>
        <v>0.47123337710412738</v>
      </c>
      <c r="F125" s="71">
        <f t="shared" si="6"/>
        <v>47.123337710412741</v>
      </c>
      <c r="G125" s="84">
        <f t="shared" si="7"/>
        <v>482.07174477752233</v>
      </c>
      <c r="H125" s="43"/>
      <c r="I125" s="185">
        <f t="shared" si="10"/>
        <v>30882.279368518986</v>
      </c>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43">
        <f t="shared" si="9"/>
        <v>0.48108567601588997</v>
      </c>
      <c r="F126" s="71">
        <f t="shared" si="6"/>
        <v>48.108567601588994</v>
      </c>
      <c r="G126" s="84">
        <f t="shared" si="7"/>
        <v>492.15064656425545</v>
      </c>
      <c r="H126" s="43"/>
      <c r="I126" s="185">
        <f t="shared" si="10"/>
        <v>31527.949777701349</v>
      </c>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43">
        <f t="shared" si="9"/>
        <v>0.49101032565618252</v>
      </c>
      <c r="F127" s="71">
        <f t="shared" si="6"/>
        <v>49.101032565618254</v>
      </c>
      <c r="G127" s="84">
        <f t="shared" si="7"/>
        <v>502.30356314627471</v>
      </c>
      <c r="H127" s="43"/>
      <c r="I127" s="185">
        <f t="shared" si="10"/>
        <v>32178.361691877923</v>
      </c>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43">
        <f t="shared" si="9"/>
        <v>0.50100344610235981</v>
      </c>
      <c r="F128" s="71">
        <f t="shared" si="6"/>
        <v>50.100344610235979</v>
      </c>
      <c r="G128" s="84">
        <f t="shared" si="7"/>
        <v>512.5265253627141</v>
      </c>
      <c r="H128" s="43"/>
      <c r="I128" s="185">
        <f t="shared" si="10"/>
        <v>32833.260840318151</v>
      </c>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43">
        <f t="shared" si="9"/>
        <v>0.51106130985833786</v>
      </c>
      <c r="F129" s="71">
        <f t="shared" si="6"/>
        <v>51.106130985833786</v>
      </c>
      <c r="G129" s="84">
        <f t="shared" si="7"/>
        <v>522.81571998507968</v>
      </c>
      <c r="H129" s="43"/>
      <c r="I129" s="185">
        <f t="shared" si="10"/>
        <v>33492.402941566172</v>
      </c>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43">
        <f t="shared" si="9"/>
        <v>0.52118034264245605</v>
      </c>
      <c r="F130" s="71">
        <f t="shared" si="6"/>
        <v>52.118034264245608</v>
      </c>
      <c r="G130" s="84">
        <f t="shared" si="7"/>
        <v>533.16749052323257</v>
      </c>
      <c r="H130" s="43"/>
      <c r="I130" s="185">
        <f t="shared" si="10"/>
        <v>34155.553755073357</v>
      </c>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43">
        <f t="shared" si="9"/>
        <v>0.53135712316125061</v>
      </c>
      <c r="F131" s="71">
        <f t="shared" si="6"/>
        <v>53.135712316125058</v>
      </c>
      <c r="G131" s="84">
        <f t="shared" si="7"/>
        <v>543.5783369939594</v>
      </c>
      <c r="H131" s="43"/>
      <c r="I131" s="185">
        <f t="shared" si="10"/>
        <v>34822.48906637256</v>
      </c>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43">
        <f t="shared" si="9"/>
        <v>0.54158838199248749</v>
      </c>
      <c r="F132" s="71">
        <f t="shared" si="6"/>
        <v>54.158838199248748</v>
      </c>
      <c r="G132" s="84">
        <f t="shared" si="7"/>
        <v>554.04491477831471</v>
      </c>
      <c r="H132" s="43"/>
      <c r="I132" s="185">
        <f t="shared" si="10"/>
        <v>35492.994613877665</v>
      </c>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43">
        <f t="shared" si="9"/>
        <v>0.55187099969469944</v>
      </c>
      <c r="F133" s="71">
        <f t="shared" si="6"/>
        <v>55.187099969469941</v>
      </c>
      <c r="G133" s="84">
        <f t="shared" si="7"/>
        <v>564.56403268767758</v>
      </c>
      <c r="H133" s="43"/>
      <c r="I133" s="185">
        <f t="shared" si="10"/>
        <v>36166.865964992125</v>
      </c>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43">
        <f t="shared" si="9"/>
        <v>0.56220200425344691</v>
      </c>
      <c r="F134" s="71">
        <f t="shared" si="6"/>
        <v>56.220200425344693</v>
      </c>
      <c r="G134" s="84">
        <f t="shared" si="7"/>
        <v>575.1326503512762</v>
      </c>
      <c r="H134" s="43"/>
      <c r="I134" s="185">
        <f t="shared" si="10"/>
        <v>36843.908348749646</v>
      </c>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43">
        <f t="shared" si="9"/>
        <v>0.57257856796688777</v>
      </c>
      <c r="F135" s="71">
        <f t="shared" si="6"/>
        <v>57.257856796688777</v>
      </c>
      <c r="G135" s="84">
        <f t="shared" si="7"/>
        <v>585.74787503012624</v>
      </c>
      <c r="H135" s="43"/>
      <c r="I135" s="185">
        <f t="shared" si="10"/>
        <v>37523.936451709989</v>
      </c>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43">
        <f t="shared" si="9"/>
        <v>0.58299800386524414</v>
      </c>
      <c r="F136" s="71">
        <f t="shared" si="6"/>
        <v>58.299800386524417</v>
      </c>
      <c r="G136" s="84">
        <f t="shared" si="7"/>
        <v>596.40695795414479</v>
      </c>
      <c r="H136" s="43"/>
      <c r="I136" s="185">
        <f t="shared" si="10"/>
        <v>38206.774183308771</v>
      </c>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43">
        <f t="shared" si="9"/>
        <v>0.59345776175063147</v>
      </c>
      <c r="F137" s="71">
        <f t="shared" si="6"/>
        <v>59.345776175063151</v>
      </c>
      <c r="G137" s="84">
        <f t="shared" si="7"/>
        <v>607.10729027089599</v>
      </c>
      <c r="H137" s="43"/>
      <c r="I137" s="185">
        <f t="shared" si="10"/>
        <v>38892.254416327632</v>
      </c>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43">
        <f t="shared" si="9"/>
        <v>0.60395542393558999</v>
      </c>
      <c r="F138" s="71">
        <f t="shared" si="6"/>
        <v>60.395542393558998</v>
      </c>
      <c r="G138" s="84">
        <f t="shared" si="7"/>
        <v>617.8463986861085</v>
      </c>
      <c r="H138" s="43"/>
      <c r="I138" s="185">
        <f t="shared" si="10"/>
        <v>39580.218707618893</v>
      </c>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43">
        <f t="shared" si="9"/>
        <v>0.61448870075078676</v>
      </c>
      <c r="F139" s="71">
        <f t="shared" si="6"/>
        <v>61.448870075078673</v>
      </c>
      <c r="G139" s="84">
        <f t="shared" si="7"/>
        <v>628.62194086805482</v>
      </c>
      <c r="H139" s="43"/>
      <c r="I139" s="185">
        <f t="shared" si="10"/>
        <v>40270.517003702807</v>
      </c>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43">
        <f t="shared" si="9"/>
        <v>0.62505542588467056</v>
      </c>
      <c r="F140" s="71">
        <f t="shared" si="6"/>
        <v>62.505542588467058</v>
      </c>
      <c r="G140" s="84">
        <f t="shared" si="7"/>
        <v>639.43170068001803</v>
      </c>
      <c r="H140" s="43"/>
      <c r="I140" s="185">
        <f t="shared" si="10"/>
        <v>40963.007335351882</v>
      </c>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43">
        <f t="shared" si="9"/>
        <v>0.63565355161064208</v>
      </c>
      <c r="F141" s="71">
        <f t="shared" si="6"/>
        <v>63.565355161064204</v>
      </c>
      <c r="G141" s="84">
        <f t="shared" si="7"/>
        <v>650.27358329768686</v>
      </c>
      <c r="H141" s="43"/>
      <c r="I141" s="185">
        <f t="shared" si="10"/>
        <v>41657.555504803429</v>
      </c>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43">
        <f t="shared" si="9"/>
        <v>0.6462811439504591</v>
      </c>
      <c r="F142" s="71">
        <f t="shared" si="6"/>
        <v>64.628114395045912</v>
      </c>
      <c r="G142" s="84">
        <f t="shared" si="7"/>
        <v>661.14561026131969</v>
      </c>
      <c r="H142" s="43"/>
      <c r="I142" s="185">
        <f t="shared" si="10"/>
        <v>42354.034768793339</v>
      </c>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43">
        <f t="shared" si="9"/>
        <v>0.65693637781622261</v>
      </c>
      <c r="F143" s="71">
        <f t="shared" si="6"/>
        <v>65.693637781622257</v>
      </c>
      <c r="G143" s="84">
        <f t="shared" si="7"/>
        <v>672.04591450599571</v>
      </c>
      <c r="H143" s="43"/>
      <c r="I143" s="185">
        <f t="shared" si="10"/>
        <v>43052.325520186147</v>
      </c>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43">
        <f t="shared" si="9"/>
        <v>0.66761753216741992</v>
      </c>
      <c r="F144" s="71">
        <f t="shared" si="6"/>
        <v>66.761753216741994</v>
      </c>
      <c r="G144" s="84">
        <f t="shared" si="7"/>
        <v>682.97273540727053</v>
      </c>
      <c r="H144" s="43"/>
      <c r="I144" s="185">
        <f t="shared" si="10"/>
        <v>43752.314970591862</v>
      </c>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43">
        <f t="shared" si="9"/>
        <v>0.67832298521413026</v>
      </c>
      <c r="F145" s="71">
        <f t="shared" si="6"/>
        <v>67.832298521413023</v>
      </c>
      <c r="G145" s="84">
        <f t="shared" si="7"/>
        <v>693.92441387405529</v>
      </c>
      <c r="H145" s="43"/>
      <c r="I145" s="185">
        <f t="shared" si="10"/>
        <v>44453.896836008025</v>
      </c>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43">
        <f t="shared" si="9"/>
        <v>0.68905120969256883</v>
      </c>
      <c r="F146" s="71">
        <f t="shared" si="6"/>
        <v>68.905120969256885</v>
      </c>
      <c r="G146" s="84">
        <f t="shared" si="7"/>
        <v>704.89938751549789</v>
      </c>
      <c r="H146" s="43"/>
      <c r="I146" s="185">
        <f t="shared" si="10"/>
        <v>45156.971027202497</v>
      </c>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43">
        <f t="shared" si="9"/>
        <v>0.69980076823477877</v>
      </c>
      <c r="F147" s="71">
        <f t="shared" si="6"/>
        <v>69.980076823477873</v>
      </c>
      <c r="G147" s="84">
        <f t="shared" si="7"/>
        <v>715.89618590417865</v>
      </c>
      <c r="H147" s="43"/>
      <c r="I147" s="185">
        <f t="shared" si="10"/>
        <v>45861.443346266227</v>
      </c>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43">
        <f t="shared" si="9"/>
        <v>0.71057030885027306</v>
      </c>
      <c r="F148" s="71">
        <f t="shared" si="6"/>
        <v>71.057030885027302</v>
      </c>
      <c r="G148" s="84">
        <f t="shared" si="7"/>
        <v>726.91342595382935</v>
      </c>
      <c r="H148" s="43"/>
      <c r="I148" s="185">
        <f t="shared" si="10"/>
        <v>46567.225190502642</v>
      </c>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43">
        <f t="shared" si="9"/>
        <v>0.72135856053394132</v>
      </c>
      <c r="F149" s="71">
        <f t="shared" si="6"/>
        <v>72.135856053394136</v>
      </c>
      <c r="G149" s="84">
        <f t="shared" si="7"/>
        <v>737.94980742622192</v>
      </c>
      <c r="H149" s="43"/>
      <c r="I149" s="185">
        <f t="shared" si="10"/>
        <v>47274.233264591843</v>
      </c>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43">
        <f t="shared" si="9"/>
        <v>0.73216432901139095</v>
      </c>
      <c r="F150" s="71">
        <f t="shared" si="6"/>
        <v>73.2164329011391</v>
      </c>
      <c r="G150" s="84">
        <f t="shared" si="7"/>
        <v>749.0041085786529</v>
      </c>
      <c r="H150" s="43"/>
      <c r="I150" s="185">
        <f t="shared" si="10"/>
        <v>47982.389301761505</v>
      </c>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43">
        <f t="shared" si="9"/>
        <v>0.74298649263017424</v>
      </c>
      <c r="F151" s="71">
        <f t="shared" si="6"/>
        <v>74.298649263017424</v>
      </c>
      <c r="G151" s="84">
        <f t="shared" si="7"/>
        <v>760.07518196066826</v>
      </c>
      <c r="H151" s="43"/>
      <c r="I151" s="185">
        <f t="shared" si="10"/>
        <v>48691.619794518469</v>
      </c>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43">
        <f t="shared" si="9"/>
        <v>0.75382399840294678</v>
      </c>
      <c r="F152" s="71">
        <f t="shared" si="6"/>
        <v>75.382399840294681</v>
      </c>
      <c r="G152" s="84">
        <f t="shared" si="7"/>
        <v>771.16195036621457</v>
      </c>
      <c r="H152" s="43"/>
      <c r="I152" s="185">
        <f t="shared" si="10"/>
        <v>49401.855735337114</v>
      </c>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43">
        <f t="shared" si="9"/>
        <v>0.76467585820654127</v>
      </c>
      <c r="F153" s="71">
        <f t="shared" si="6"/>
        <v>76.467585820654122</v>
      </c>
      <c r="G153" s="84">
        <f t="shared" si="7"/>
        <v>782.26340294529177</v>
      </c>
      <c r="H153" s="43"/>
      <c r="I153" s="185">
        <f t="shared" si="10"/>
        <v>50113.032367565684</v>
      </c>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43">
        <f t="shared" si="9"/>
        <v>0.77554114513914241</v>
      </c>
      <c r="F154" s="71">
        <f t="shared" si="6"/>
        <v>77.554114513914243</v>
      </c>
      <c r="G154" s="84">
        <f t="shared" si="7"/>
        <v>793.37859147734264</v>
      </c>
      <c r="H154" s="43"/>
      <c r="I154" s="185">
        <f t="shared" si="10"/>
        <v>50825.088946693701</v>
      </c>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43">
        <f t="shared" si="9"/>
        <v>0.7864189900362526</v>
      </c>
      <c r="F155" s="71">
        <f t="shared" si="6"/>
        <v>78.641899003625255</v>
      </c>
      <c r="G155" s="84">
        <f t="shared" si="7"/>
        <v>804.50662680708638</v>
      </c>
      <c r="H155" s="43"/>
      <c r="I155" s="185">
        <f t="shared" si="10"/>
        <v>51537.968512025815</v>
      </c>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43">
        <f t="shared" si="9"/>
        <v>0.79730857814482003</v>
      </c>
      <c r="F156" s="71">
        <f t="shared" si="6"/>
        <v>79.730857814482007</v>
      </c>
      <c r="G156" s="84">
        <f t="shared" si="7"/>
        <v>815.64667544215092</v>
      </c>
      <c r="H156" s="43"/>
      <c r="I156" s="185">
        <f t="shared" si="10"/>
        <v>52251.617668720784</v>
      </c>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43">
        <f t="shared" si="9"/>
        <v>0.80820914595385251</v>
      </c>
      <c r="F157" s="71">
        <f t="shared" si="6"/>
        <v>80.820914595385247</v>
      </c>
      <c r="G157" s="84">
        <f t="shared" si="7"/>
        <v>826.79795631079116</v>
      </c>
      <c r="H157" s="43"/>
      <c r="I157" s="185">
        <f t="shared" si="10"/>
        <v>52965.986380085727</v>
      </c>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43">
        <f t="shared" si="9"/>
        <v>0.81911997817892723</v>
      </c>
      <c r="F158" s="71">
        <f t="shared" si="6"/>
        <v>81.911997817892725</v>
      </c>
      <c r="G158" s="84">
        <f t="shared" si="7"/>
        <v>837.95973767704254</v>
      </c>
      <c r="H158" s="43"/>
      <c r="I158" s="185">
        <f t="shared" si="10"/>
        <v>53681.027769955996</v>
      </c>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43">
        <f t="shared" si="9"/>
        <v>0.83004040489729058</v>
      </c>
      <c r="F159" s="71">
        <f t="shared" si="6"/>
        <v>83.004040489729064</v>
      </c>
      <c r="G159" s="84">
        <f t="shared" si="7"/>
        <v>849.13133420992824</v>
      </c>
      <c r="H159" s="43"/>
      <c r="I159" s="185">
        <f t="shared" ref="I159:I176" si="11">E159*(2^16-1)</f>
        <v>54396.697934943935</v>
      </c>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43">
        <f t="shared" si="9"/>
        <v>0.84096979882965284</v>
      </c>
      <c r="F160" s="71">
        <f t="shared" si="6"/>
        <v>84.096979882965286</v>
      </c>
      <c r="G160" s="84">
        <f t="shared" si="7"/>
        <v>860.31210420273487</v>
      </c>
      <c r="H160" s="43"/>
      <c r="I160" s="185">
        <f t="shared" si="11"/>
        <v>55112.955766301297</v>
      </c>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43">
        <f t="shared" si="9"/>
        <v>0.8519075727643256</v>
      </c>
      <c r="F161" s="71">
        <f t="shared" si="6"/>
        <v>85.190757276432564</v>
      </c>
      <c r="G161" s="84">
        <f t="shared" si="7"/>
        <v>871.50144693790514</v>
      </c>
      <c r="H161" s="43"/>
      <c r="I161" s="185">
        <f t="shared" si="11"/>
        <v>55829.762781110076</v>
      </c>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43">
        <f t="shared" si="9"/>
        <v>0.86285317711900322</v>
      </c>
      <c r="F162" s="71">
        <f t="shared" si="6"/>
        <v>86.285317711900319</v>
      </c>
      <c r="G162" s="84">
        <f t="shared" si="7"/>
        <v>882.69880019274035</v>
      </c>
      <c r="H162" s="43"/>
      <c r="I162" s="185">
        <f t="shared" si="11"/>
        <v>56547.082962493878</v>
      </c>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43">
        <f t="shared" si="9"/>
        <v>0.87380609763522876</v>
      </c>
      <c r="F163" s="71">
        <f t="shared" si="6"/>
        <v>87.38060976352287</v>
      </c>
      <c r="G163" s="84">
        <f t="shared" si="7"/>
        <v>893.90363788083903</v>
      </c>
      <c r="H163" s="43"/>
      <c r="I163" s="185">
        <f t="shared" si="11"/>
        <v>57264.88260852472</v>
      </c>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43">
        <f t="shared" si="9"/>
        <v>0.8847658532004139</v>
      </c>
      <c r="F164" s="71">
        <f t="shared" si="6"/>
        <v>88.476585320041394</v>
      </c>
      <c r="G164" s="84">
        <f t="shared" si="7"/>
        <v>905.11546782402343</v>
      </c>
      <c r="H164" s="43"/>
      <c r="I164" s="185">
        <f t="shared" si="11"/>
        <v>57983.130189489122</v>
      </c>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43">
        <f t="shared" si="9"/>
        <v>0.89573199379218205</v>
      </c>
      <c r="F165" s="71">
        <f t="shared" si="6"/>
        <v>89.57319937921821</v>
      </c>
      <c r="G165" s="84">
        <f t="shared" si="7"/>
        <v>916.33382964940222</v>
      </c>
      <c r="H165" s="43"/>
      <c r="I165" s="185">
        <f t="shared" si="11"/>
        <v>58701.796213170652</v>
      </c>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43">
        <f t="shared" si="9"/>
        <v>0.90670409853974643</v>
      </c>
      <c r="F166" s="71">
        <f t="shared" si="6"/>
        <v>90.670409853974647</v>
      </c>
      <c r="G166" s="84">
        <f t="shared" si="7"/>
        <v>927.55829280616058</v>
      </c>
      <c r="H166" s="43"/>
      <c r="I166" s="185">
        <f t="shared" si="11"/>
        <v>59420.853097802283</v>
      </c>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43">
        <f t="shared" si="9"/>
        <v>0.91768177389704664</v>
      </c>
      <c r="F167" s="71">
        <f t="shared" si="6"/>
        <v>91.768177389704661</v>
      </c>
      <c r="G167" s="84">
        <f t="shared" si="7"/>
        <v>938.78845469667874</v>
      </c>
      <c r="H167" s="43"/>
      <c r="I167" s="185">
        <f t="shared" si="11"/>
        <v>60140.275052342949</v>
      </c>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43">
        <f t="shared" si="9"/>
        <v>0.92866465192240544</v>
      </c>
      <c r="F168" s="71">
        <f t="shared" si="6"/>
        <v>92.86646519224054</v>
      </c>
      <c r="G168" s="84">
        <f t="shared" si="7"/>
        <v>950.02393891662075</v>
      </c>
      <c r="H168" s="43"/>
      <c r="I168" s="185">
        <f t="shared" si="11"/>
        <v>60860.037963734838</v>
      </c>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43">
        <f t="shared" si="9"/>
        <v>0.93965238865954548</v>
      </c>
      <c r="F169" s="71">
        <f t="shared" si="6"/>
        <v>93.965238865954547</v>
      </c>
      <c r="G169" s="84">
        <f t="shared" si="7"/>
        <v>961.26439359871506</v>
      </c>
      <c r="H169" s="43"/>
      <c r="I169" s="185">
        <f t="shared" si="11"/>
        <v>61580.119290803312</v>
      </c>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43">
        <f t="shared" si="9"/>
        <v>0.95064466261491298</v>
      </c>
      <c r="F170" s="71">
        <f t="shared" si="6"/>
        <v>95.064466261491305</v>
      </c>
      <c r="G170" s="84">
        <f t="shared" si="7"/>
        <v>972.50948985505602</v>
      </c>
      <c r="H170" s="43"/>
      <c r="I170" s="185">
        <f t="shared" si="11"/>
        <v>62300.497964468319</v>
      </c>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43">
        <f t="shared" si="9"/>
        <v>0.96164117332636567</v>
      </c>
      <c r="F171" s="71">
        <f t="shared" si="6"/>
        <v>96.164117332636565</v>
      </c>
      <c r="G171" s="84">
        <f t="shared" si="7"/>
        <v>983.75892031287208</v>
      </c>
      <c r="H171" s="43"/>
      <c r="I171" s="185">
        <f t="shared" si="11"/>
        <v>63021.154293943371</v>
      </c>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43">
        <f t="shared" si="9"/>
        <v>0.97264164001845443</v>
      </c>
      <c r="F172" s="71">
        <f t="shared" si="6"/>
        <v>97.264164001845444</v>
      </c>
      <c r="G172" s="84">
        <f t="shared" si="7"/>
        <v>995.01239773887892</v>
      </c>
      <c r="H172" s="43"/>
      <c r="I172" s="185">
        <f t="shared" si="11"/>
        <v>63742.069878609414</v>
      </c>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43">
        <f t="shared" si="9"/>
        <v>0.98364580033966054</v>
      </c>
      <c r="F173" s="71">
        <f t="shared" si="6"/>
        <v>98.36458003396605</v>
      </c>
      <c r="G173" s="84">
        <f t="shared" si="7"/>
        <v>1006.2696537474727</v>
      </c>
      <c r="H173" s="43"/>
      <c r="I173" s="185">
        <f t="shared" si="11"/>
        <v>64463.227525259652</v>
      </c>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43">
        <f t="shared" si="9"/>
        <v>0.99465340917710143</v>
      </c>
      <c r="F174" s="71">
        <f t="shared" si="6"/>
        <v>99.465340917710137</v>
      </c>
      <c r="G174" s="84">
        <f t="shared" si="7"/>
        <v>1017.5304375881748</v>
      </c>
      <c r="H174" s="43"/>
      <c r="I174" s="185">
        <f t="shared" si="11"/>
        <v>65184.61117042134</v>
      </c>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43">
        <f t="shared" si="9"/>
        <v>1.00566423754445</v>
      </c>
      <c r="F175" s="71">
        <f t="shared" si="6"/>
        <v>100.566423754445</v>
      </c>
      <c r="G175" s="84">
        <f t="shared" si="7"/>
        <v>1028.7945150079724</v>
      </c>
      <c r="H175" s="43"/>
      <c r="I175" s="185">
        <f t="shared" si="11"/>
        <v>65906.205807475533</v>
      </c>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133" t="s">
        <v>815</v>
      </c>
      <c r="D176" s="69">
        <f>0.18*2^6.34856111</f>
        <v>14.668301514224005</v>
      </c>
      <c r="E176" s="43">
        <f t="shared" si="9"/>
        <v>1.000000001115749</v>
      </c>
      <c r="F176" s="71">
        <f t="shared" si="6"/>
        <v>100.00000011157491</v>
      </c>
      <c r="G176" s="84">
        <f t="shared" si="7"/>
        <v>1023.0000011414113</v>
      </c>
      <c r="H176" s="43"/>
      <c r="I176" s="185">
        <f t="shared" si="11"/>
        <v>65535.000073120616</v>
      </c>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c r="D177" s="69"/>
      <c r="E177" s="43"/>
      <c r="F177" s="71"/>
      <c r="G177" s="84"/>
      <c r="H177" s="43"/>
      <c r="I177" s="185"/>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c r="D178" s="69"/>
      <c r="E178" s="43"/>
      <c r="F178" s="71"/>
      <c r="G178" s="84"/>
      <c r="H178" s="43"/>
      <c r="I178" s="185"/>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c r="D179" s="69"/>
      <c r="E179" s="43"/>
      <c r="F179" s="71"/>
      <c r="G179" s="84"/>
      <c r="H179" s="43"/>
      <c r="I179" s="185"/>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c r="D180" s="69"/>
      <c r="E180" s="43"/>
      <c r="F180" s="71"/>
      <c r="G180" s="84"/>
      <c r="H180" s="43"/>
      <c r="I180" s="185"/>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c r="D181" s="69"/>
      <c r="E181" s="43"/>
      <c r="F181" s="71"/>
      <c r="G181" s="84"/>
      <c r="H181" s="43"/>
      <c r="I181" s="185"/>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c r="D182" s="69"/>
      <c r="E182" s="43"/>
      <c r="F182" s="71"/>
      <c r="G182" s="84"/>
      <c r="H182" s="43"/>
      <c r="I182" s="185"/>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c r="D183" s="69"/>
      <c r="E183" s="43"/>
      <c r="F183" s="71"/>
      <c r="G183" s="84"/>
      <c r="H183" s="43"/>
      <c r="I183" s="185"/>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c r="D184" s="69"/>
      <c r="E184" s="43"/>
      <c r="F184" s="71"/>
      <c r="G184" s="84"/>
      <c r="H184" s="43"/>
      <c r="I184" s="185"/>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c r="D185" s="69"/>
      <c r="E185" s="43"/>
      <c r="F185" s="71"/>
      <c r="G185" s="84"/>
      <c r="H185" s="43"/>
      <c r="I185" s="185"/>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c r="D186" s="69"/>
      <c r="E186" s="43"/>
      <c r="F186" s="71"/>
      <c r="G186" s="84"/>
      <c r="H186" s="43"/>
      <c r="I186" s="185"/>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c r="D187" s="69"/>
      <c r="E187" s="43"/>
      <c r="F187" s="71"/>
      <c r="G187" s="84"/>
      <c r="H187" s="43"/>
      <c r="I187" s="185"/>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c r="D188" s="69"/>
      <c r="E188" s="43"/>
      <c r="F188" s="71"/>
      <c r="G188" s="84"/>
      <c r="H188" s="43"/>
      <c r="I188" s="185"/>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c r="D189" s="69"/>
      <c r="E189" s="43"/>
      <c r="F189" s="71"/>
      <c r="G189" s="84"/>
      <c r="H189" s="43"/>
      <c r="I189" s="185"/>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43"/>
      <c r="D190" s="69"/>
      <c r="E190" s="43"/>
      <c r="F190" s="71"/>
      <c r="G190" s="84"/>
      <c r="H190" s="43"/>
      <c r="I190" s="185"/>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43"/>
      <c r="D191" s="69"/>
      <c r="E191" s="43"/>
      <c r="F191" s="71"/>
      <c r="G191" s="84"/>
      <c r="H191" s="43"/>
      <c r="I191" s="185"/>
      <c r="J191" s="8"/>
      <c r="K191" s="8"/>
      <c r="L191" s="8"/>
      <c r="M191" s="8"/>
      <c r="N191" s="8"/>
      <c r="O191" s="8"/>
      <c r="P191" s="8"/>
      <c r="Q191" s="8"/>
      <c r="R191" s="8"/>
      <c r="S191" s="8"/>
      <c r="T191" s="8"/>
      <c r="U191" s="8"/>
      <c r="V191" s="8"/>
      <c r="W191" s="8"/>
      <c r="X191" s="8"/>
      <c r="Y191" s="8"/>
      <c r="Z191" s="8"/>
      <c r="AA191" s="8"/>
      <c r="AB191" s="8"/>
      <c r="AC191" s="8"/>
      <c r="AD191" s="8"/>
    </row>
    <row r="192" spans="1:30"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row>
    <row r="193" spans="1:30"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spans="1:30"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spans="1:30"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spans="1:30"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spans="1:30"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spans="1:30"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spans="1:30"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spans="1:30"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c r="AD1004" s="8"/>
    </row>
  </sheetData>
  <mergeCells count="2">
    <mergeCell ref="D2:G2"/>
    <mergeCell ref="D29:G29"/>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AC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3" t="s">
        <v>636</v>
      </c>
      <c r="D2" s="174" t="s">
        <v>142</v>
      </c>
      <c r="E2" s="170"/>
      <c r="F2" s="170"/>
      <c r="G2" s="171"/>
      <c r="H2" s="102" t="s">
        <v>637</v>
      </c>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43">
        <v>0.15048405319310901</v>
      </c>
      <c r="F4" s="18">
        <f t="shared" ref="F4:F26" si="0">E4*100</f>
        <v>15.0484053193109</v>
      </c>
      <c r="G4" s="33">
        <f t="shared" ref="G4:G26" si="1">E4*1023</f>
        <v>153.94518641655051</v>
      </c>
      <c r="H4" s="16" t="s">
        <v>161</v>
      </c>
      <c r="I4" s="8"/>
      <c r="J4" s="64" t="s">
        <v>162</v>
      </c>
      <c r="K4" s="8"/>
      <c r="L4" s="8"/>
      <c r="M4" s="8"/>
      <c r="N4" s="8"/>
      <c r="O4" s="8"/>
      <c r="P4" s="8"/>
      <c r="Q4" s="8"/>
      <c r="R4" s="8"/>
      <c r="S4" s="8"/>
      <c r="T4" s="8"/>
      <c r="U4" s="8"/>
      <c r="V4" s="8"/>
      <c r="W4" s="8"/>
      <c r="X4" s="8"/>
      <c r="Y4" s="8"/>
      <c r="Z4" s="8"/>
      <c r="AA4" s="8"/>
      <c r="AB4" s="8"/>
      <c r="AC4" s="8"/>
    </row>
    <row r="5" spans="1:29" ht="13">
      <c r="A5" s="58"/>
      <c r="B5" s="50">
        <v>2</v>
      </c>
      <c r="C5" s="16" t="s">
        <v>76</v>
      </c>
      <c r="D5" s="17">
        <v>7.0312499999999997E-4</v>
      </c>
      <c r="E5" s="43">
        <v>0.154251012920745</v>
      </c>
      <c r="F5" s="18">
        <f t="shared" si="0"/>
        <v>15.425101292074499</v>
      </c>
      <c r="G5" s="33">
        <f t="shared" si="1"/>
        <v>157.79878621792213</v>
      </c>
      <c r="H5" s="16" t="s">
        <v>638</v>
      </c>
      <c r="I5" s="8"/>
      <c r="J5" s="56" t="s">
        <v>165</v>
      </c>
      <c r="K5" s="8"/>
      <c r="L5" s="8"/>
      <c r="M5" s="8"/>
      <c r="N5" s="8"/>
      <c r="O5" s="8"/>
      <c r="P5" s="8"/>
      <c r="Q5" s="8"/>
      <c r="R5" s="8"/>
      <c r="S5" s="8"/>
      <c r="T5" s="8"/>
      <c r="U5" s="8"/>
      <c r="V5" s="8"/>
      <c r="W5" s="8"/>
      <c r="X5" s="8"/>
      <c r="Y5" s="8"/>
      <c r="Z5" s="8"/>
      <c r="AA5" s="8"/>
      <c r="AB5" s="8"/>
      <c r="AC5" s="8"/>
    </row>
    <row r="6" spans="1:29" ht="56">
      <c r="A6" s="58"/>
      <c r="B6" s="50">
        <v>3</v>
      </c>
      <c r="C6" s="16" t="s">
        <v>77</v>
      </c>
      <c r="D6" s="17">
        <v>1.4062499999999999E-3</v>
      </c>
      <c r="E6" s="43">
        <v>0.1580723295965</v>
      </c>
      <c r="F6" s="18">
        <f t="shared" si="0"/>
        <v>15.807232959649999</v>
      </c>
      <c r="G6" s="33">
        <f t="shared" si="1"/>
        <v>161.70799317721949</v>
      </c>
      <c r="H6" s="102" t="s">
        <v>639</v>
      </c>
      <c r="I6" s="8"/>
      <c r="J6" s="8"/>
      <c r="K6" s="8"/>
      <c r="L6" s="8"/>
      <c r="M6" s="8"/>
      <c r="N6" s="8"/>
      <c r="O6" s="8"/>
      <c r="P6" s="8"/>
      <c r="Q6" s="8"/>
      <c r="R6" s="8"/>
      <c r="S6" s="8"/>
      <c r="T6" s="8"/>
      <c r="U6" s="8"/>
      <c r="V6" s="8"/>
      <c r="W6" s="8"/>
      <c r="X6" s="8"/>
      <c r="Y6" s="8"/>
      <c r="Z6" s="8"/>
      <c r="AA6" s="8"/>
      <c r="AB6" s="8"/>
      <c r="AC6" s="8"/>
    </row>
    <row r="7" spans="1:29" ht="13">
      <c r="A7" s="58"/>
      <c r="B7" s="50">
        <v>4</v>
      </c>
      <c r="C7" s="16" t="s">
        <v>78</v>
      </c>
      <c r="D7" s="17">
        <v>2.8124999999999999E-3</v>
      </c>
      <c r="E7" s="43">
        <v>0.16585523111577699</v>
      </c>
      <c r="F7" s="18">
        <f t="shared" si="0"/>
        <v>16.5855231115777</v>
      </c>
      <c r="G7" s="33">
        <f t="shared" si="1"/>
        <v>169.66990143143985</v>
      </c>
      <c r="H7" s="16" t="s">
        <v>640</v>
      </c>
      <c r="I7" s="8"/>
      <c r="J7" s="2" t="s">
        <v>641</v>
      </c>
      <c r="K7" s="8"/>
      <c r="L7" s="8"/>
      <c r="M7" s="8" t="s">
        <v>642</v>
      </c>
      <c r="N7" s="8"/>
      <c r="O7" s="8"/>
      <c r="P7" s="8"/>
      <c r="Q7" s="8"/>
      <c r="R7" s="8"/>
      <c r="S7" s="8"/>
      <c r="T7" s="8"/>
      <c r="U7" s="8"/>
      <c r="V7" s="8"/>
      <c r="W7" s="8"/>
      <c r="X7" s="8"/>
      <c r="Y7" s="8"/>
      <c r="Z7" s="8"/>
      <c r="AA7" s="8"/>
      <c r="AB7" s="8"/>
      <c r="AC7" s="8"/>
    </row>
    <row r="8" spans="1:29" ht="13">
      <c r="A8" s="58"/>
      <c r="B8" s="50">
        <v>5</v>
      </c>
      <c r="C8" s="16" t="s">
        <v>79</v>
      </c>
      <c r="D8" s="17">
        <v>5.6249999999999998E-3</v>
      </c>
      <c r="E8" s="43">
        <v>0.181982106825401</v>
      </c>
      <c r="F8" s="18">
        <f t="shared" si="0"/>
        <v>18.1982106825401</v>
      </c>
      <c r="G8" s="33">
        <f t="shared" si="1"/>
        <v>186.16769528238524</v>
      </c>
      <c r="H8" s="16"/>
      <c r="I8" s="8"/>
      <c r="J8" s="8" t="s">
        <v>643</v>
      </c>
      <c r="K8" s="8"/>
      <c r="L8" s="8"/>
      <c r="M8" s="8" t="s">
        <v>644</v>
      </c>
      <c r="N8" s="8"/>
      <c r="O8" s="8"/>
      <c r="P8" s="8"/>
      <c r="Q8" s="8"/>
      <c r="R8" s="8"/>
      <c r="S8" s="8"/>
      <c r="T8" s="8"/>
      <c r="U8" s="8"/>
      <c r="V8" s="8"/>
      <c r="W8" s="8"/>
      <c r="X8" s="8"/>
      <c r="Y8" s="8"/>
      <c r="Z8" s="8"/>
      <c r="AA8" s="8"/>
      <c r="AB8" s="8"/>
      <c r="AC8" s="8"/>
    </row>
    <row r="9" spans="1:29" ht="15">
      <c r="A9" s="58"/>
      <c r="B9" s="50">
        <v>6</v>
      </c>
      <c r="C9" s="16" t="s">
        <v>80</v>
      </c>
      <c r="D9" s="17">
        <v>1.125E-2</v>
      </c>
      <c r="E9" s="43">
        <v>0.21616655128432199</v>
      </c>
      <c r="F9" s="18">
        <f t="shared" si="0"/>
        <v>21.6166551284322</v>
      </c>
      <c r="G9" s="33">
        <f t="shared" si="1"/>
        <v>221.13838196386141</v>
      </c>
      <c r="H9" s="16"/>
      <c r="I9" s="8"/>
      <c r="J9" s="108" t="s">
        <v>645</v>
      </c>
      <c r="K9" s="8"/>
      <c r="L9" s="8"/>
      <c r="M9" s="8" t="s">
        <v>646</v>
      </c>
      <c r="N9" s="8"/>
      <c r="O9" s="8"/>
      <c r="P9" s="8"/>
      <c r="Q9" s="8"/>
      <c r="R9" s="8"/>
      <c r="S9" s="8"/>
      <c r="T9" s="8"/>
      <c r="U9" s="8"/>
      <c r="V9" s="8"/>
      <c r="W9" s="8"/>
      <c r="X9" s="8"/>
      <c r="Y9" s="8"/>
      <c r="Z9" s="8"/>
      <c r="AA9" s="8"/>
      <c r="AB9" s="8"/>
      <c r="AC9" s="8"/>
    </row>
    <row r="10" spans="1:29" ht="15">
      <c r="A10" s="58"/>
      <c r="B10" s="50">
        <v>7</v>
      </c>
      <c r="C10" s="16" t="s">
        <v>81</v>
      </c>
      <c r="D10" s="17">
        <v>2.2499999999999999E-2</v>
      </c>
      <c r="E10" s="43">
        <v>0.26931161457452202</v>
      </c>
      <c r="F10" s="18">
        <f t="shared" si="0"/>
        <v>26.931161457452202</v>
      </c>
      <c r="G10" s="33">
        <f t="shared" si="1"/>
        <v>275.50578170973603</v>
      </c>
      <c r="H10" s="16"/>
      <c r="I10" s="8"/>
      <c r="J10" s="109" t="s">
        <v>647</v>
      </c>
      <c r="K10" s="8"/>
      <c r="L10" s="8"/>
      <c r="M10" s="8" t="s">
        <v>648</v>
      </c>
      <c r="N10" s="8"/>
      <c r="O10" s="8"/>
      <c r="P10" s="8"/>
      <c r="Q10" s="8"/>
      <c r="R10" s="8"/>
      <c r="S10" s="8"/>
      <c r="T10" s="8"/>
      <c r="U10" s="8"/>
      <c r="V10" s="8"/>
      <c r="W10" s="8"/>
      <c r="X10" s="8"/>
      <c r="Y10" s="8"/>
      <c r="Z10" s="8"/>
      <c r="AA10" s="8"/>
      <c r="AB10" s="8"/>
      <c r="AC10" s="8"/>
    </row>
    <row r="11" spans="1:29" ht="15">
      <c r="A11" s="58"/>
      <c r="B11" s="50">
        <v>8</v>
      </c>
      <c r="C11" s="16" t="s">
        <v>82</v>
      </c>
      <c r="D11" s="17">
        <v>4.4999999999999998E-2</v>
      </c>
      <c r="E11" s="5">
        <v>0.33477219581578999</v>
      </c>
      <c r="F11" s="18">
        <f t="shared" si="0"/>
        <v>33.477219581579</v>
      </c>
      <c r="G11" s="33">
        <f t="shared" si="1"/>
        <v>342.47195631955316</v>
      </c>
      <c r="H11" s="16"/>
      <c r="I11" s="8"/>
      <c r="J11" s="109" t="s">
        <v>649</v>
      </c>
      <c r="K11" s="8"/>
      <c r="L11" s="8"/>
      <c r="M11" s="2" t="s">
        <v>650</v>
      </c>
      <c r="N11" s="8"/>
      <c r="R11" s="8"/>
      <c r="S11" s="8"/>
      <c r="T11" s="8"/>
      <c r="U11" s="8"/>
      <c r="V11" s="8"/>
      <c r="W11" s="8"/>
      <c r="X11" s="8"/>
      <c r="Y11" s="8"/>
      <c r="Z11" s="8"/>
      <c r="AA11" s="8"/>
      <c r="AB11" s="8"/>
      <c r="AC11" s="8"/>
    </row>
    <row r="12" spans="1:29" ht="14">
      <c r="A12" s="58"/>
      <c r="B12" s="50">
        <v>9</v>
      </c>
      <c r="C12" s="16" t="s">
        <v>83</v>
      </c>
      <c r="D12" s="17">
        <v>0.09</v>
      </c>
      <c r="E12" s="43">
        <v>0.408884441935011</v>
      </c>
      <c r="F12" s="18">
        <f t="shared" si="0"/>
        <v>40.888444193501101</v>
      </c>
      <c r="G12" s="33">
        <f t="shared" si="1"/>
        <v>418.28878409951625</v>
      </c>
      <c r="H12" s="16"/>
      <c r="I12" s="8"/>
      <c r="J12" s="110" t="s">
        <v>651</v>
      </c>
      <c r="K12" s="8"/>
      <c r="L12" s="8"/>
      <c r="M12" s="8" t="s">
        <v>652</v>
      </c>
      <c r="N12" s="8"/>
      <c r="O12" s="8"/>
      <c r="P12" s="8"/>
      <c r="Q12" s="8"/>
      <c r="R12" s="8"/>
      <c r="S12" s="8"/>
      <c r="T12" s="8"/>
      <c r="U12" s="8"/>
      <c r="V12" s="8"/>
      <c r="W12" s="8"/>
      <c r="X12" s="8"/>
      <c r="Y12" s="8"/>
      <c r="Z12" s="8"/>
      <c r="AA12" s="8"/>
      <c r="AB12" s="8"/>
      <c r="AC12" s="8"/>
    </row>
    <row r="13" spans="1:29" ht="15">
      <c r="A13" s="58"/>
      <c r="B13" s="50">
        <v>10</v>
      </c>
      <c r="C13" s="16" t="s">
        <v>84</v>
      </c>
      <c r="D13" s="17">
        <v>0.12727922061357799</v>
      </c>
      <c r="E13" s="43">
        <v>0.44809061199518002</v>
      </c>
      <c r="F13" s="18">
        <f t="shared" si="0"/>
        <v>44.809061199518005</v>
      </c>
      <c r="G13" s="33">
        <f t="shared" si="1"/>
        <v>458.39669607106919</v>
      </c>
      <c r="H13" s="16" t="s">
        <v>653</v>
      </c>
      <c r="I13" s="8"/>
      <c r="J13" s="111" t="s">
        <v>654</v>
      </c>
      <c r="K13" s="8"/>
      <c r="L13" s="8"/>
      <c r="M13" s="8"/>
      <c r="N13" s="8"/>
      <c r="O13" s="8"/>
      <c r="P13" s="8"/>
      <c r="Q13" s="8"/>
      <c r="R13" s="8"/>
      <c r="S13" s="8"/>
      <c r="T13" s="8"/>
      <c r="U13" s="8"/>
      <c r="V13" s="8"/>
      <c r="W13" s="8"/>
      <c r="X13" s="8"/>
      <c r="Y13" s="8"/>
      <c r="Z13" s="8"/>
      <c r="AA13" s="8"/>
      <c r="AB13" s="8"/>
      <c r="AC13" s="8"/>
    </row>
    <row r="14" spans="1:29" ht="15">
      <c r="A14" s="58"/>
      <c r="B14" s="50">
        <v>11</v>
      </c>
      <c r="C14" s="43" t="s">
        <v>85</v>
      </c>
      <c r="D14" s="69">
        <f>0.18*2^-0.1</f>
        <v>0.16794593847662534</v>
      </c>
      <c r="E14" s="43">
        <v>0.48017124922294302</v>
      </c>
      <c r="F14" s="18">
        <f t="shared" si="0"/>
        <v>48.0171249222943</v>
      </c>
      <c r="G14" s="33">
        <f t="shared" si="1"/>
        <v>491.21518795507069</v>
      </c>
      <c r="H14" s="16"/>
      <c r="I14" s="8"/>
      <c r="J14" s="108" t="s">
        <v>655</v>
      </c>
      <c r="K14" s="8"/>
      <c r="L14" s="8"/>
      <c r="M14" s="8"/>
      <c r="N14" s="8"/>
      <c r="O14" s="8"/>
      <c r="P14" s="8"/>
      <c r="Q14" s="8"/>
      <c r="R14" s="8"/>
      <c r="S14" s="8"/>
      <c r="T14" s="8"/>
      <c r="U14" s="8"/>
      <c r="V14" s="8"/>
      <c r="W14" s="8"/>
      <c r="X14" s="8"/>
      <c r="Y14" s="8"/>
      <c r="Z14" s="8"/>
      <c r="AA14" s="8"/>
      <c r="AB14" s="8"/>
      <c r="AC14" s="8"/>
    </row>
    <row r="15" spans="1:29" ht="15">
      <c r="A15" s="58"/>
      <c r="B15" s="50">
        <v>12</v>
      </c>
      <c r="C15" s="16" t="s">
        <v>86</v>
      </c>
      <c r="D15" s="17">
        <v>0.18</v>
      </c>
      <c r="E15" s="43">
        <v>0.48827245852686701</v>
      </c>
      <c r="F15" s="18">
        <f t="shared" si="0"/>
        <v>48.827245852686701</v>
      </c>
      <c r="G15" s="33">
        <f t="shared" si="1"/>
        <v>499.50272507298496</v>
      </c>
      <c r="H15" s="16"/>
      <c r="I15" s="8"/>
      <c r="J15" s="108" t="s">
        <v>656</v>
      </c>
      <c r="K15" s="8"/>
      <c r="L15" s="8"/>
      <c r="M15" s="8"/>
      <c r="N15" s="8"/>
      <c r="O15" s="8"/>
      <c r="P15" s="8"/>
      <c r="Q15" s="8"/>
      <c r="R15" s="8"/>
      <c r="S15" s="8"/>
      <c r="T15" s="8"/>
      <c r="U15" s="8"/>
      <c r="V15" s="8"/>
      <c r="W15" s="8"/>
      <c r="X15" s="8"/>
      <c r="Y15" s="8"/>
      <c r="Z15" s="8"/>
      <c r="AA15" s="8"/>
      <c r="AB15" s="8"/>
      <c r="AC15" s="8"/>
    </row>
    <row r="16" spans="1:29" ht="15">
      <c r="A16" s="58"/>
      <c r="B16" s="50">
        <v>13</v>
      </c>
      <c r="C16" s="43" t="s">
        <v>87</v>
      </c>
      <c r="D16" s="69">
        <f>0.18*2^0.2</f>
        <v>0.2067657038994663</v>
      </c>
      <c r="E16" s="43">
        <v>0.50455896099603903</v>
      </c>
      <c r="F16" s="18">
        <f t="shared" si="0"/>
        <v>50.455896099603905</v>
      </c>
      <c r="G16" s="33">
        <f t="shared" si="1"/>
        <v>516.1638170989479</v>
      </c>
      <c r="H16" s="16"/>
      <c r="I16" s="8"/>
      <c r="J16" s="109" t="s">
        <v>657</v>
      </c>
      <c r="K16" s="8"/>
      <c r="L16" s="8"/>
      <c r="M16" s="8"/>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43">
        <v>0.52917431952854699</v>
      </c>
      <c r="F17" s="18">
        <f t="shared" si="0"/>
        <v>52.917431952854699</v>
      </c>
      <c r="G17" s="33">
        <f t="shared" si="1"/>
        <v>541.34532887770354</v>
      </c>
      <c r="H17" s="16"/>
      <c r="I17" s="8"/>
      <c r="J17" s="8" t="s">
        <v>658</v>
      </c>
      <c r="K17" s="8"/>
      <c r="L17" s="8"/>
      <c r="M17" s="8"/>
      <c r="N17" s="8"/>
      <c r="O17" s="8"/>
      <c r="P17" s="8"/>
      <c r="Q17" s="8"/>
      <c r="R17" s="8"/>
      <c r="S17" s="8"/>
      <c r="T17" s="8"/>
      <c r="U17" s="8"/>
      <c r="V17" s="8"/>
      <c r="W17" s="8"/>
      <c r="X17" s="8"/>
      <c r="Y17" s="8"/>
      <c r="Z17" s="8"/>
      <c r="AA17" s="8"/>
      <c r="AB17" s="8"/>
      <c r="AC17" s="8"/>
    </row>
    <row r="18" spans="1:29" ht="13">
      <c r="A18" s="58"/>
      <c r="B18" s="50">
        <v>15</v>
      </c>
      <c r="C18" s="16" t="s">
        <v>89</v>
      </c>
      <c r="D18" s="17">
        <v>0.36</v>
      </c>
      <c r="E18" s="43">
        <v>0.57060122949972003</v>
      </c>
      <c r="F18" s="18">
        <f t="shared" si="0"/>
        <v>57.060122949972005</v>
      </c>
      <c r="G18" s="33">
        <f t="shared" si="1"/>
        <v>583.72505777821357</v>
      </c>
      <c r="H18" s="16"/>
      <c r="I18" s="8"/>
      <c r="J18" s="8"/>
      <c r="K18" s="8"/>
      <c r="L18" s="8"/>
      <c r="M18" s="8"/>
      <c r="N18" s="8"/>
      <c r="O18" s="8"/>
      <c r="P18" s="8"/>
      <c r="Q18" s="8"/>
      <c r="R18" s="8"/>
      <c r="S18" s="8"/>
      <c r="T18" s="8"/>
      <c r="U18" s="8"/>
      <c r="V18" s="8"/>
      <c r="W18" s="8"/>
      <c r="X18" s="8"/>
      <c r="Y18" s="8"/>
      <c r="Z18" s="8"/>
      <c r="AA18" s="8"/>
      <c r="AB18" s="8"/>
      <c r="AC18" s="8"/>
    </row>
    <row r="19" spans="1:29" ht="13">
      <c r="A19" s="58"/>
      <c r="B19" s="50">
        <v>16</v>
      </c>
      <c r="C19" s="16" t="s">
        <v>90</v>
      </c>
      <c r="D19" s="17">
        <v>0.72</v>
      </c>
      <c r="E19" s="43">
        <v>0.65448680990126695</v>
      </c>
      <c r="F19" s="18">
        <f t="shared" si="0"/>
        <v>65.448680990126689</v>
      </c>
      <c r="G19" s="33">
        <f t="shared" si="1"/>
        <v>669.54000652899606</v>
      </c>
      <c r="H19" s="16"/>
      <c r="I19" s="8"/>
      <c r="J19" s="8"/>
      <c r="K19" s="8"/>
      <c r="L19" s="8"/>
      <c r="M19" s="8"/>
      <c r="N19" s="8"/>
      <c r="O19" s="8"/>
      <c r="P19" s="8"/>
      <c r="Q19" s="8"/>
      <c r="R19" s="8"/>
      <c r="S19" s="8"/>
      <c r="T19" s="8"/>
      <c r="U19" s="8"/>
      <c r="V19" s="8"/>
      <c r="W19" s="8"/>
      <c r="X19" s="8"/>
      <c r="Y19" s="8"/>
      <c r="Z19" s="8"/>
      <c r="AA19" s="8"/>
      <c r="AB19" s="8"/>
      <c r="AC19" s="8"/>
    </row>
    <row r="20" spans="1:29" ht="13">
      <c r="A20" s="58"/>
      <c r="B20" s="82">
        <v>17</v>
      </c>
      <c r="C20" s="73" t="s">
        <v>91</v>
      </c>
      <c r="D20" s="74">
        <v>0.9</v>
      </c>
      <c r="E20" s="43">
        <v>0.68168679593422599</v>
      </c>
      <c r="F20" s="76">
        <f t="shared" si="0"/>
        <v>68.168679593422596</v>
      </c>
      <c r="G20" s="77">
        <f t="shared" si="1"/>
        <v>697.36559224071323</v>
      </c>
      <c r="H20" s="73" t="s">
        <v>205</v>
      </c>
      <c r="I20" s="8"/>
      <c r="J20" s="2" t="s">
        <v>659</v>
      </c>
      <c r="K20" s="8"/>
      <c r="L20" s="8"/>
      <c r="M20" s="8"/>
      <c r="N20" s="8"/>
      <c r="O20" s="8"/>
      <c r="P20" s="8"/>
      <c r="Q20" s="8"/>
      <c r="R20" s="8"/>
      <c r="S20" s="8"/>
      <c r="T20" s="8"/>
      <c r="U20" s="8"/>
      <c r="V20" s="8"/>
      <c r="W20" s="8"/>
      <c r="X20" s="8"/>
      <c r="Y20" s="8"/>
      <c r="Z20" s="8"/>
      <c r="AA20" s="8"/>
      <c r="AB20" s="8"/>
      <c r="AC20" s="8"/>
    </row>
    <row r="21" spans="1:29" ht="15">
      <c r="A21" s="58"/>
      <c r="B21" s="50">
        <v>18</v>
      </c>
      <c r="C21" s="16" t="s">
        <v>92</v>
      </c>
      <c r="D21" s="17">
        <v>1.44</v>
      </c>
      <c r="E21" s="43">
        <v>0.73917395446177903</v>
      </c>
      <c r="F21" s="18">
        <f t="shared" si="0"/>
        <v>73.917395446177906</v>
      </c>
      <c r="G21" s="33">
        <f t="shared" si="1"/>
        <v>756.17495541439996</v>
      </c>
      <c r="H21" s="16"/>
      <c r="I21" s="8"/>
      <c r="J21" s="109" t="s">
        <v>660</v>
      </c>
      <c r="K21" s="8"/>
      <c r="L21" s="8"/>
      <c r="M21" s="8"/>
      <c r="N21" s="8"/>
      <c r="O21" s="8"/>
      <c r="P21" s="8"/>
      <c r="Q21" s="8"/>
      <c r="R21" s="8"/>
      <c r="S21" s="8"/>
      <c r="T21" s="8"/>
      <c r="U21" s="8"/>
      <c r="V21" s="8"/>
      <c r="W21" s="8"/>
      <c r="X21" s="8"/>
      <c r="Y21" s="8"/>
      <c r="Z21" s="8"/>
      <c r="AA21" s="8"/>
      <c r="AB21" s="8"/>
      <c r="AC21" s="8"/>
    </row>
    <row r="22" spans="1:29" ht="15">
      <c r="A22" s="58"/>
      <c r="B22" s="50">
        <v>19</v>
      </c>
      <c r="C22" s="16" t="s">
        <v>93</v>
      </c>
      <c r="D22" s="17">
        <v>2.88</v>
      </c>
      <c r="E22" s="43">
        <v>0.82426788038052101</v>
      </c>
      <c r="F22" s="18">
        <f t="shared" si="0"/>
        <v>82.426788038052095</v>
      </c>
      <c r="G22" s="33">
        <f t="shared" si="1"/>
        <v>843.22604162927303</v>
      </c>
      <c r="H22" s="16" t="s">
        <v>661</v>
      </c>
      <c r="I22" s="8"/>
      <c r="J22" s="108" t="s">
        <v>662</v>
      </c>
      <c r="K22" s="8"/>
      <c r="L22" s="8"/>
      <c r="M22" s="8"/>
      <c r="N22" s="8"/>
      <c r="O22" s="8"/>
      <c r="P22" s="8"/>
      <c r="Q22" s="8"/>
      <c r="R22" s="8"/>
      <c r="S22" s="8"/>
      <c r="T22" s="8"/>
      <c r="U22" s="8"/>
      <c r="V22" s="8"/>
      <c r="W22" s="8"/>
      <c r="X22" s="8"/>
      <c r="Y22" s="8"/>
      <c r="Z22" s="8"/>
      <c r="AA22" s="8"/>
      <c r="AB22" s="8"/>
      <c r="AC22" s="8"/>
    </row>
    <row r="23" spans="1:29" ht="15">
      <c r="A23" s="58"/>
      <c r="B23" s="50">
        <v>20</v>
      </c>
      <c r="C23" s="16" t="s">
        <v>94</v>
      </c>
      <c r="D23" s="17">
        <v>5.76</v>
      </c>
      <c r="E23" s="43">
        <v>0.909566724026176</v>
      </c>
      <c r="F23" s="18">
        <f t="shared" si="0"/>
        <v>90.956672402617599</v>
      </c>
      <c r="G23" s="33">
        <f t="shared" si="1"/>
        <v>930.48675867877807</v>
      </c>
      <c r="H23" s="16" t="s">
        <v>663</v>
      </c>
      <c r="I23" s="8"/>
      <c r="J23" s="109" t="s">
        <v>664</v>
      </c>
      <c r="K23" s="8"/>
      <c r="L23" s="8"/>
      <c r="M23" s="8"/>
      <c r="N23" s="8"/>
      <c r="O23" s="8"/>
      <c r="P23" s="8"/>
      <c r="Q23" s="8"/>
      <c r="R23" s="8"/>
      <c r="S23" s="8"/>
      <c r="T23" s="8"/>
      <c r="U23" s="8"/>
      <c r="V23" s="8"/>
      <c r="W23" s="8"/>
      <c r="X23" s="8"/>
      <c r="Y23" s="8"/>
      <c r="Z23" s="8"/>
      <c r="AA23" s="8"/>
      <c r="AB23" s="8"/>
      <c r="AC23" s="8"/>
    </row>
    <row r="24" spans="1:29" ht="14">
      <c r="A24" s="58"/>
      <c r="B24" s="50">
        <v>21</v>
      </c>
      <c r="C24" s="16" t="s">
        <v>95</v>
      </c>
      <c r="D24" s="17">
        <v>11.52</v>
      </c>
      <c r="E24" s="43">
        <v>0.99496841176924</v>
      </c>
      <c r="F24" s="18">
        <f t="shared" si="0"/>
        <v>99.496841176923994</v>
      </c>
      <c r="G24" s="33">
        <f t="shared" si="1"/>
        <v>1017.8526852399325</v>
      </c>
      <c r="H24" s="16"/>
      <c r="I24" s="8"/>
      <c r="J24" s="110" t="s">
        <v>665</v>
      </c>
      <c r="K24" s="8"/>
      <c r="L24" s="8"/>
      <c r="M24" s="8"/>
      <c r="N24" s="8"/>
      <c r="O24" s="8"/>
      <c r="P24" s="8"/>
      <c r="Q24" s="8"/>
      <c r="R24" s="8"/>
      <c r="S24" s="8"/>
      <c r="T24" s="8"/>
      <c r="U24" s="8"/>
      <c r="V24" s="8"/>
      <c r="W24" s="8"/>
      <c r="X24" s="8"/>
      <c r="Y24" s="8"/>
      <c r="Z24" s="8"/>
      <c r="AA24" s="8"/>
      <c r="AB24" s="8"/>
      <c r="AC24" s="8"/>
    </row>
    <row r="25" spans="1:29" ht="13">
      <c r="A25" s="58"/>
      <c r="B25" s="50">
        <v>22</v>
      </c>
      <c r="C25" s="16" t="s">
        <v>96</v>
      </c>
      <c r="D25" s="17">
        <v>23.04</v>
      </c>
      <c r="E25" s="43">
        <v>1.0804216183078701</v>
      </c>
      <c r="F25" s="18">
        <f t="shared" si="0"/>
        <v>108.04216183078701</v>
      </c>
      <c r="G25" s="33">
        <f t="shared" si="1"/>
        <v>1105.2713155289512</v>
      </c>
      <c r="H25" s="16"/>
      <c r="I25" s="8"/>
      <c r="J25" s="8"/>
      <c r="K25" s="8"/>
      <c r="L25" s="8"/>
      <c r="M25" s="8"/>
      <c r="N25" s="8"/>
      <c r="O25" s="8"/>
      <c r="P25" s="8"/>
      <c r="Q25" s="8"/>
      <c r="R25" s="8"/>
      <c r="S25" s="8"/>
      <c r="T25" s="8"/>
      <c r="U25" s="8"/>
      <c r="V25" s="8"/>
      <c r="W25" s="8"/>
      <c r="X25" s="8"/>
      <c r="Y25" s="8"/>
      <c r="Z25" s="8"/>
      <c r="AA25" s="8"/>
      <c r="AB25" s="8"/>
      <c r="AC25" s="8"/>
    </row>
    <row r="26" spans="1:29" ht="13">
      <c r="A26" s="58"/>
      <c r="B26" s="50">
        <v>23</v>
      </c>
      <c r="C26" s="16" t="s">
        <v>97</v>
      </c>
      <c r="D26" s="17">
        <v>46.08</v>
      </c>
      <c r="E26" s="43">
        <v>1.1659006084860699</v>
      </c>
      <c r="F26" s="18">
        <f t="shared" si="0"/>
        <v>116.590060848607</v>
      </c>
      <c r="G26" s="33">
        <f t="shared" si="1"/>
        <v>1192.7163224812496</v>
      </c>
      <c r="H26" s="16"/>
      <c r="I26" s="8"/>
      <c r="J26" s="8"/>
      <c r="K26" s="8"/>
      <c r="L26" s="8"/>
      <c r="M26" s="8"/>
      <c r="N26" s="8"/>
      <c r="O26" s="8"/>
      <c r="P26" s="8"/>
      <c r="Q26" s="8"/>
      <c r="R26" s="8"/>
      <c r="S26" s="8"/>
      <c r="T26" s="8"/>
      <c r="U26" s="8"/>
      <c r="V26" s="8"/>
      <c r="W26" s="8"/>
      <c r="X26" s="8"/>
      <c r="Y26" s="8"/>
      <c r="Z26" s="8"/>
      <c r="AA26" s="8"/>
      <c r="AB26" s="8"/>
      <c r="AC26" s="8"/>
    </row>
    <row r="27" spans="1:29" ht="13">
      <c r="A27" s="58"/>
      <c r="B27" s="50">
        <v>24</v>
      </c>
      <c r="C27" s="5"/>
      <c r="D27" s="5"/>
      <c r="E27" s="5"/>
      <c r="F27" s="5"/>
      <c r="G27" s="5"/>
      <c r="H27" s="43"/>
      <c r="I27" s="8"/>
      <c r="J27" s="8"/>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row>
    <row r="29" spans="1:29" ht="28">
      <c r="A29" s="8"/>
      <c r="B29" s="43"/>
      <c r="C29" s="13" t="s">
        <v>636</v>
      </c>
      <c r="D29" s="173" t="s">
        <v>142</v>
      </c>
      <c r="E29" s="166"/>
      <c r="F29" s="166"/>
      <c r="G29" s="167"/>
      <c r="H29" s="41" t="s">
        <v>228</v>
      </c>
      <c r="I29" s="8"/>
      <c r="J29" s="8"/>
      <c r="K29" s="8"/>
      <c r="L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J30" s="8"/>
      <c r="K30" s="8"/>
      <c r="L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43">
        <v>0.154251012920745</v>
      </c>
      <c r="F31" s="71">
        <f t="shared" ref="F31:F191" si="2">E31*100</f>
        <v>15.425101292074499</v>
      </c>
      <c r="G31" s="84">
        <f t="shared" ref="G31:G191" si="3">E31*1023</f>
        <v>157.79878621792213</v>
      </c>
      <c r="H31" s="43"/>
      <c r="I31" s="8"/>
      <c r="J31" s="8"/>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43">
        <v>0.15452372455802199</v>
      </c>
      <c r="F32" s="71">
        <f t="shared" si="2"/>
        <v>15.452372455802198</v>
      </c>
      <c r="G32" s="84">
        <f t="shared" si="3"/>
        <v>158.07777022285649</v>
      </c>
      <c r="H32" s="43"/>
      <c r="I32" s="8"/>
      <c r="J32" s="8"/>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43">
        <v>0.15481627706655299</v>
      </c>
      <c r="F33" s="71">
        <f t="shared" si="2"/>
        <v>15.481627706655299</v>
      </c>
      <c r="G33" s="84">
        <f t="shared" si="3"/>
        <v>158.37705143908371</v>
      </c>
      <c r="H33" s="43"/>
      <c r="I33" s="8"/>
      <c r="J33" s="8"/>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43">
        <v>0.155130134256425</v>
      </c>
      <c r="F34" s="71">
        <f t="shared" si="2"/>
        <v>15.5130134256425</v>
      </c>
      <c r="G34" s="84">
        <f t="shared" si="3"/>
        <v>158.69812734432276</v>
      </c>
      <c r="H34" s="43"/>
      <c r="I34" s="8"/>
      <c r="J34" s="8"/>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43">
        <v>0.155466870916666</v>
      </c>
      <c r="F35" s="71">
        <f t="shared" si="2"/>
        <v>15.5466870916666</v>
      </c>
      <c r="G35" s="84">
        <f t="shared" si="3"/>
        <v>159.04260894774933</v>
      </c>
      <c r="H35" s="43"/>
      <c r="I35" s="8"/>
      <c r="J35" s="8"/>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43">
        <v>0.15582818165296</v>
      </c>
      <c r="F36" s="71">
        <f t="shared" si="2"/>
        <v>15.582818165296001</v>
      </c>
      <c r="G36" s="84">
        <f t="shared" si="3"/>
        <v>159.41222983097808</v>
      </c>
      <c r="H36" s="43"/>
      <c r="I36" s="8"/>
      <c r="J36" s="8"/>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43">
        <v>0.156215890504878</v>
      </c>
      <c r="F37" s="71">
        <f t="shared" si="2"/>
        <v>15.621589050487799</v>
      </c>
      <c r="G37" s="84">
        <f t="shared" si="3"/>
        <v>159.80885598649019</v>
      </c>
      <c r="H37" s="43"/>
      <c r="I37" s="8"/>
      <c r="J37" s="8"/>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43">
        <v>0.15663196138336699</v>
      </c>
      <c r="F38" s="71">
        <f t="shared" si="2"/>
        <v>15.6631961383367</v>
      </c>
      <c r="G38" s="84">
        <f t="shared" si="3"/>
        <v>160.23449649518443</v>
      </c>
      <c r="H38" s="43"/>
      <c r="I38" s="8"/>
      <c r="J38" s="8"/>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43">
        <v>0.15707850946820801</v>
      </c>
      <c r="F39" s="71">
        <f t="shared" si="2"/>
        <v>15.7078509468208</v>
      </c>
      <c r="G39" s="84">
        <f t="shared" si="3"/>
        <v>160.69131518597678</v>
      </c>
      <c r="H39" s="43"/>
      <c r="I39" s="8"/>
      <c r="J39" s="8"/>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43">
        <v>0.15755781355164</v>
      </c>
      <c r="F40" s="71">
        <f t="shared" si="2"/>
        <v>15.755781355164</v>
      </c>
      <c r="G40" s="84">
        <f t="shared" si="3"/>
        <v>161.18164326332771</v>
      </c>
      <c r="H40" s="43"/>
      <c r="I40" s="8"/>
      <c r="J40" s="8"/>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43">
        <v>0.1580723295965</v>
      </c>
      <c r="F41" s="71">
        <f t="shared" si="2"/>
        <v>15.807232959649999</v>
      </c>
      <c r="G41" s="84">
        <f t="shared" si="3"/>
        <v>161.70799317721949</v>
      </c>
      <c r="H41" s="43"/>
      <c r="I41" s="8"/>
      <c r="J41" s="8"/>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43">
        <v>0.15862470542184101</v>
      </c>
      <c r="F42" s="71">
        <f t="shared" si="2"/>
        <v>15.8624705421841</v>
      </c>
      <c r="G42" s="84">
        <f t="shared" si="3"/>
        <v>162.27307364654337</v>
      </c>
      <c r="H42" s="43"/>
      <c r="I42" s="8"/>
      <c r="J42" s="8"/>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43">
        <v>0.159217796818963</v>
      </c>
      <c r="F43" s="71">
        <f t="shared" si="2"/>
        <v>15.9217796818963</v>
      </c>
      <c r="G43" s="84">
        <f t="shared" si="3"/>
        <v>162.87980614579917</v>
      </c>
      <c r="H43" s="43"/>
      <c r="I43" s="8"/>
      <c r="J43" s="8"/>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43">
        <v>0.159854685139379</v>
      </c>
      <c r="F44" s="71">
        <f t="shared" si="2"/>
        <v>15.985468513937901</v>
      </c>
      <c r="G44" s="84">
        <f t="shared" si="3"/>
        <v>163.53134289758472</v>
      </c>
      <c r="H44" s="43"/>
      <c r="I44" s="8"/>
      <c r="J44" s="8"/>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43">
        <v>0.16053869655627201</v>
      </c>
      <c r="F45" s="71">
        <f t="shared" si="2"/>
        <v>16.053869655627199</v>
      </c>
      <c r="G45" s="84">
        <f t="shared" si="3"/>
        <v>164.23108657706626</v>
      </c>
      <c r="H45" s="43"/>
      <c r="I45" s="8"/>
      <c r="J45" s="8"/>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43">
        <v>0.161273423116845</v>
      </c>
      <c r="F46" s="71">
        <f t="shared" si="2"/>
        <v>16.127342311684501</v>
      </c>
      <c r="G46" s="84">
        <f t="shared" si="3"/>
        <v>164.98271184853243</v>
      </c>
      <c r="H46" s="43"/>
      <c r="I46" s="8"/>
      <c r="J46" s="8"/>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43">
        <v>0.16206274591792799</v>
      </c>
      <c r="F47" s="71">
        <f t="shared" si="2"/>
        <v>16.206274591792798</v>
      </c>
      <c r="G47" s="84">
        <f t="shared" si="3"/>
        <v>165.79018907404034</v>
      </c>
      <c r="H47" s="43"/>
      <c r="I47" s="8"/>
      <c r="J47" s="8"/>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43">
        <v>0.16291086044262401</v>
      </c>
      <c r="F48" s="71">
        <f t="shared" si="2"/>
        <v>16.2910860442624</v>
      </c>
      <c r="G48" s="84">
        <f t="shared" si="3"/>
        <v>166.65781023280437</v>
      </c>
      <c r="H48" s="43"/>
      <c r="I48" s="8"/>
      <c r="J48" s="8"/>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43">
        <v>0.16382230448711399</v>
      </c>
      <c r="F49" s="71">
        <f t="shared" si="2"/>
        <v>16.3822304487114</v>
      </c>
      <c r="G49" s="84">
        <f t="shared" si="3"/>
        <v>167.5902174903176</v>
      </c>
      <c r="H49" s="43"/>
      <c r="I49" s="8"/>
      <c r="J49" s="8"/>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43">
        <v>0.164801988851147</v>
      </c>
      <c r="F50" s="71">
        <f t="shared" si="2"/>
        <v>16.480198885114699</v>
      </c>
      <c r="G50" s="84">
        <f t="shared" si="3"/>
        <v>168.59243459472339</v>
      </c>
      <c r="H50" s="43"/>
      <c r="I50" s="8"/>
      <c r="J50" s="8"/>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43">
        <v>0.16585523111577699</v>
      </c>
      <c r="F51" s="71">
        <f t="shared" si="2"/>
        <v>16.5855231115777</v>
      </c>
      <c r="G51" s="84">
        <f t="shared" si="3"/>
        <v>169.66990143143985</v>
      </c>
      <c r="H51" s="43"/>
      <c r="I51" s="8"/>
      <c r="J51" s="8"/>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43">
        <v>0.166987792955335</v>
      </c>
      <c r="F52" s="71">
        <f t="shared" si="2"/>
        <v>16.698779295533502</v>
      </c>
      <c r="G52" s="84">
        <f t="shared" si="3"/>
        <v>170.82851219330772</v>
      </c>
      <c r="H52" s="43"/>
      <c r="I52" s="8"/>
      <c r="J52" s="8"/>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43">
        <v>0.16820592127412601</v>
      </c>
      <c r="F53" s="71">
        <f t="shared" si="2"/>
        <v>16.820592127412599</v>
      </c>
      <c r="G53" s="84">
        <f t="shared" si="3"/>
        <v>172.0746574634309</v>
      </c>
      <c r="H53" s="43"/>
      <c r="I53" s="8"/>
      <c r="J53" s="8"/>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43">
        <v>0.16951639369760599</v>
      </c>
      <c r="F54" s="71">
        <f t="shared" si="2"/>
        <v>16.951639369760599</v>
      </c>
      <c r="G54" s="84">
        <f t="shared" si="3"/>
        <v>173.41527075265091</v>
      </c>
      <c r="H54" s="43"/>
      <c r="I54" s="8"/>
      <c r="J54" s="8"/>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43">
        <v>0.17092656889267899</v>
      </c>
      <c r="F55" s="71">
        <f t="shared" si="2"/>
        <v>17.0926568892679</v>
      </c>
      <c r="G55" s="84">
        <f t="shared" si="3"/>
        <v>174.85787997721062</v>
      </c>
      <c r="H55" s="43"/>
      <c r="I55" s="8"/>
      <c r="J55" s="8"/>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43">
        <v>0.17244444238012499</v>
      </c>
      <c r="F56" s="71">
        <f t="shared" si="2"/>
        <v>17.244444238012498</v>
      </c>
      <c r="G56" s="84">
        <f t="shared" si="3"/>
        <v>176.41066455486788</v>
      </c>
      <c r="H56" s="43"/>
      <c r="I56" s="8"/>
      <c r="J56" s="8"/>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43">
        <v>0.17407870836553799</v>
      </c>
      <c r="F57" s="71">
        <f t="shared" si="2"/>
        <v>17.407870836553798</v>
      </c>
      <c r="G57" s="84">
        <f t="shared" si="3"/>
        <v>178.08251865794537</v>
      </c>
      <c r="H57" s="43"/>
      <c r="I57" s="8"/>
      <c r="J57" s="8"/>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43">
        <v>0.175838828469771</v>
      </c>
      <c r="F58" s="71">
        <f t="shared" si="2"/>
        <v>17.583882846977101</v>
      </c>
      <c r="G58" s="84">
        <f t="shared" si="3"/>
        <v>179.88312152457573</v>
      </c>
      <c r="H58" s="43"/>
      <c r="I58" s="8"/>
      <c r="J58" s="8"/>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43">
        <v>0.17773510810735799</v>
      </c>
      <c r="F59" s="71">
        <f t="shared" si="2"/>
        <v>17.7735108107358</v>
      </c>
      <c r="G59" s="84">
        <f t="shared" si="3"/>
        <v>181.82301559382722</v>
      </c>
      <c r="H59" s="43"/>
      <c r="I59" s="8"/>
      <c r="J59" s="8"/>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43">
        <v>0.17977878156883201</v>
      </c>
      <c r="F60" s="71">
        <f t="shared" si="2"/>
        <v>17.9778781568832</v>
      </c>
      <c r="G60" s="84">
        <f t="shared" si="3"/>
        <v>183.91369354491513</v>
      </c>
      <c r="H60" s="43"/>
      <c r="I60" s="8"/>
      <c r="J60" s="8"/>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43">
        <v>0.181982106825401</v>
      </c>
      <c r="F61" s="71">
        <f t="shared" si="2"/>
        <v>18.1982106825401</v>
      </c>
      <c r="G61" s="84">
        <f t="shared" si="3"/>
        <v>186.16769528238524</v>
      </c>
      <c r="H61" s="43"/>
      <c r="I61" s="8"/>
      <c r="J61" s="8"/>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43">
        <v>0.184358471287832</v>
      </c>
      <c r="F62" s="71">
        <f t="shared" si="2"/>
        <v>18.435847128783202</v>
      </c>
      <c r="G62" s="84">
        <f t="shared" si="3"/>
        <v>188.59871612745215</v>
      </c>
      <c r="H62" s="43"/>
      <c r="I62" s="8"/>
      <c r="J62" s="8"/>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43">
        <v>0.18692251002368099</v>
      </c>
      <c r="F63" s="71">
        <f t="shared" si="2"/>
        <v>18.692251002368099</v>
      </c>
      <c r="G63" s="84">
        <f t="shared" si="3"/>
        <v>191.22172775422564</v>
      </c>
      <c r="H63" s="43"/>
      <c r="I63" s="8"/>
      <c r="J63" s="8"/>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43">
        <v>0.189690237945356</v>
      </c>
      <c r="F64" s="71">
        <f t="shared" si="2"/>
        <v>18.969023794535602</v>
      </c>
      <c r="G64" s="84">
        <f t="shared" si="3"/>
        <v>194.0531134180992</v>
      </c>
      <c r="H64" s="43"/>
      <c r="I64" s="8"/>
      <c r="J64" s="8"/>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43">
        <v>0.192679197830675</v>
      </c>
      <c r="F65" s="71">
        <f t="shared" si="2"/>
        <v>19.267919783067498</v>
      </c>
      <c r="G65" s="84">
        <f t="shared" si="3"/>
        <v>197.11081938078053</v>
      </c>
      <c r="H65" s="43"/>
      <c r="I65" s="8"/>
      <c r="J65" s="8"/>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43">
        <v>0.19590862624872199</v>
      </c>
      <c r="F66" s="71">
        <f t="shared" si="2"/>
        <v>19.590862624872198</v>
      </c>
      <c r="G66" s="84">
        <f t="shared" si="3"/>
        <v>200.41452465244259</v>
      </c>
      <c r="H66" s="43"/>
      <c r="I66" s="8"/>
      <c r="J66" s="8"/>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43">
        <v>0.199399639780828</v>
      </c>
      <c r="F67" s="71">
        <f t="shared" si="2"/>
        <v>19.939963978082801</v>
      </c>
      <c r="G67" s="84">
        <f t="shared" si="3"/>
        <v>203.98583149578704</v>
      </c>
      <c r="H67" s="43"/>
      <c r="I67" s="8"/>
      <c r="J67" s="8"/>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43">
        <v>0.20317544417417499</v>
      </c>
      <c r="F68" s="71">
        <f t="shared" si="2"/>
        <v>20.317544417417498</v>
      </c>
      <c r="G68" s="84">
        <f t="shared" si="3"/>
        <v>207.84847939018101</v>
      </c>
      <c r="H68" s="43"/>
      <c r="I68" s="8"/>
      <c r="J68" s="8"/>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43">
        <v>0.20726156962144701</v>
      </c>
      <c r="F69" s="71">
        <f t="shared" si="2"/>
        <v>20.726156962144699</v>
      </c>
      <c r="G69" s="84">
        <f t="shared" si="3"/>
        <v>212.0285857227403</v>
      </c>
      <c r="H69" s="43"/>
      <c r="I69" s="8"/>
      <c r="J69" s="8"/>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43">
        <v>0.21163569315817399</v>
      </c>
      <c r="F70" s="71">
        <f t="shared" si="2"/>
        <v>21.163569315817398</v>
      </c>
      <c r="G70" s="84">
        <f t="shared" si="3"/>
        <v>216.50331410081199</v>
      </c>
      <c r="H70" s="43" t="s">
        <v>666</v>
      </c>
      <c r="I70" s="8"/>
      <c r="J70" s="8"/>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43">
        <v>0.21616655128432199</v>
      </c>
      <c r="F71" s="71">
        <f t="shared" si="2"/>
        <v>21.6166551284322</v>
      </c>
      <c r="G71" s="84">
        <f t="shared" si="3"/>
        <v>221.13838196386141</v>
      </c>
      <c r="H71" s="43"/>
      <c r="I71" s="8"/>
      <c r="J71" s="8"/>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43">
        <v>0.22084466943450301</v>
      </c>
      <c r="F72" s="71">
        <f t="shared" si="2"/>
        <v>22.084466943450302</v>
      </c>
      <c r="G72" s="84">
        <f t="shared" si="3"/>
        <v>225.92409683149657</v>
      </c>
      <c r="H72" s="43"/>
      <c r="I72" s="8"/>
      <c r="J72" s="8"/>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43">
        <v>0.22566908949341799</v>
      </c>
      <c r="F73" s="71">
        <f t="shared" si="2"/>
        <v>22.566908949341798</v>
      </c>
      <c r="G73" s="84">
        <f t="shared" si="3"/>
        <v>230.85947855176661</v>
      </c>
      <c r="H73" s="43"/>
      <c r="I73" s="8"/>
      <c r="J73" s="8"/>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43">
        <v>0.23063851534813301</v>
      </c>
      <c r="F74" s="71">
        <f t="shared" si="2"/>
        <v>23.063851534813303</v>
      </c>
      <c r="G74" s="84">
        <f t="shared" si="3"/>
        <v>235.94320120114006</v>
      </c>
      <c r="H74" s="43"/>
      <c r="I74" s="8"/>
      <c r="J74" s="8"/>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43">
        <v>0.23575132504818999</v>
      </c>
      <c r="F75" s="71">
        <f t="shared" si="2"/>
        <v>23.575132504818999</v>
      </c>
      <c r="G75" s="84">
        <f t="shared" si="3"/>
        <v>241.17360552429835</v>
      </c>
      <c r="H75" s="43"/>
      <c r="I75" s="8"/>
      <c r="J75" s="8"/>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43">
        <v>0.2410055857475</v>
      </c>
      <c r="F76" s="71">
        <f t="shared" si="2"/>
        <v>24.10055857475</v>
      </c>
      <c r="G76" s="84">
        <f t="shared" si="3"/>
        <v>246.5487142196925</v>
      </c>
      <c r="H76" s="43"/>
      <c r="I76" s="8"/>
      <c r="J76" s="8"/>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43">
        <v>0.24639907118114401</v>
      </c>
      <c r="F77" s="71">
        <f t="shared" si="2"/>
        <v>24.639907118114401</v>
      </c>
      <c r="G77" s="84">
        <f t="shared" si="3"/>
        <v>252.06624981831033</v>
      </c>
      <c r="H77" s="43"/>
      <c r="I77" s="8"/>
      <c r="J77" s="8"/>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43">
        <v>0.25192928139005899</v>
      </c>
      <c r="F78" s="71">
        <f t="shared" si="2"/>
        <v>25.1929281390059</v>
      </c>
      <c r="G78" s="84">
        <f t="shared" si="3"/>
        <v>257.72365486203034</v>
      </c>
      <c r="H78" s="43"/>
      <c r="I78" s="8"/>
      <c r="J78" s="8"/>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43">
        <v>0.257593463948741</v>
      </c>
      <c r="F79" s="71">
        <f t="shared" si="2"/>
        <v>25.7593463948741</v>
      </c>
      <c r="G79" s="84">
        <f t="shared" si="3"/>
        <v>263.51811361956203</v>
      </c>
      <c r="H79" s="43"/>
      <c r="I79" s="8"/>
      <c r="J79" s="8"/>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43">
        <v>0.26338863732480899</v>
      </c>
      <c r="F80" s="71">
        <f t="shared" si="2"/>
        <v>26.338863732480899</v>
      </c>
      <c r="G80" s="84">
        <f t="shared" si="3"/>
        <v>269.44657598327962</v>
      </c>
      <c r="H80" s="43"/>
      <c r="I80" s="8"/>
      <c r="J80" s="8"/>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43">
        <v>0.26931161457452202</v>
      </c>
      <c r="F81" s="71">
        <f t="shared" si="2"/>
        <v>26.931161457452202</v>
      </c>
      <c r="G81" s="84">
        <f t="shared" si="3"/>
        <v>275.50578170973603</v>
      </c>
      <c r="H81" s="43"/>
      <c r="I81" s="8"/>
      <c r="J81" s="8"/>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43">
        <v>0.27535902836762199</v>
      </c>
      <c r="F82" s="71">
        <f t="shared" si="2"/>
        <v>27.535902836762201</v>
      </c>
      <c r="G82" s="84">
        <f t="shared" si="3"/>
        <v>281.69228602007729</v>
      </c>
      <c r="H82" s="43"/>
      <c r="I82" s="8"/>
      <c r="J82" s="8"/>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43">
        <v>0.28152735592535899</v>
      </c>
      <c r="F83" s="71">
        <f t="shared" si="2"/>
        <v>28.152735592535898</v>
      </c>
      <c r="G83" s="84">
        <f t="shared" si="3"/>
        <v>288.00248511164227</v>
      </c>
      <c r="H83" s="43"/>
      <c r="I83" s="8"/>
      <c r="J83" s="8"/>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43">
        <v>0.28781294418710601</v>
      </c>
      <c r="F84" s="71">
        <f t="shared" si="2"/>
        <v>28.781294418710601</v>
      </c>
      <c r="G84" s="84">
        <f t="shared" si="3"/>
        <v>294.43264190340943</v>
      </c>
      <c r="H84" s="43"/>
      <c r="I84" s="8"/>
      <c r="J84" s="8"/>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43">
        <v>0.294212034524161</v>
      </c>
      <c r="F85" s="71">
        <f t="shared" si="2"/>
        <v>29.421203452416101</v>
      </c>
      <c r="G85" s="84">
        <f t="shared" si="3"/>
        <v>300.97891131821672</v>
      </c>
      <c r="H85" s="43"/>
      <c r="I85" s="8"/>
      <c r="J85" s="8"/>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43">
        <v>0.300720786824685</v>
      </c>
      <c r="F86" s="71">
        <f t="shared" si="2"/>
        <v>30.072078682468501</v>
      </c>
      <c r="G86" s="84">
        <f t="shared" si="3"/>
        <v>307.63736492165276</v>
      </c>
      <c r="H86" s="43"/>
      <c r="I86" s="8"/>
      <c r="J86" s="8"/>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43">
        <v>0.30733530273172799</v>
      </c>
      <c r="F87" s="71">
        <f t="shared" si="2"/>
        <v>30.7335302731728</v>
      </c>
      <c r="G87" s="84">
        <f t="shared" si="3"/>
        <v>314.40401469455776</v>
      </c>
      <c r="H87" s="43"/>
      <c r="I87" s="8"/>
      <c r="J87" s="8"/>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43">
        <v>0.31405164766489702</v>
      </c>
      <c r="F88" s="71">
        <f t="shared" si="2"/>
        <v>31.405164766489701</v>
      </c>
      <c r="G88" s="84">
        <f t="shared" si="3"/>
        <v>321.27483556118966</v>
      </c>
      <c r="H88" s="43"/>
      <c r="I88" s="8"/>
      <c r="J88" s="8"/>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43">
        <v>0.32086587174581399</v>
      </c>
      <c r="F89" s="71">
        <f t="shared" si="2"/>
        <v>32.086587174581396</v>
      </c>
      <c r="G89" s="84">
        <f t="shared" si="3"/>
        <v>328.24578679596772</v>
      </c>
      <c r="H89" s="43"/>
      <c r="I89" s="8"/>
      <c r="J89" s="8"/>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43">
        <v>0.32777402912447001</v>
      </c>
      <c r="F90" s="71">
        <f t="shared" si="2"/>
        <v>32.777402912447002</v>
      </c>
      <c r="G90" s="84">
        <f t="shared" si="3"/>
        <v>335.31283179433279</v>
      </c>
      <c r="H90" s="43"/>
      <c r="I90" s="8"/>
      <c r="J90" s="8"/>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43">
        <v>0.33477219581578999</v>
      </c>
      <c r="F91" s="71">
        <f t="shared" si="2"/>
        <v>33.477219581579</v>
      </c>
      <c r="G91" s="84">
        <f t="shared" si="3"/>
        <v>342.47195631955316</v>
      </c>
      <c r="H91" s="43"/>
      <c r="I91" s="8"/>
      <c r="J91" s="8"/>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43">
        <v>0.34185648596519502</v>
      </c>
      <c r="F92" s="71">
        <f t="shared" si="2"/>
        <v>34.185648596519499</v>
      </c>
      <c r="G92" s="84">
        <f t="shared" si="3"/>
        <v>349.71918514239451</v>
      </c>
      <c r="H92" s="43"/>
      <c r="I92" s="8"/>
      <c r="J92" s="8"/>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43">
        <v>0.34902306649605902</v>
      </c>
      <c r="F93" s="71">
        <f t="shared" si="2"/>
        <v>34.902306649605904</v>
      </c>
      <c r="G93" s="84">
        <f t="shared" si="3"/>
        <v>357.05059702546839</v>
      </c>
      <c r="H93" s="43"/>
      <c r="I93" s="8"/>
      <c r="J93" s="8"/>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43">
        <v>0.35626817006356798</v>
      </c>
      <c r="F94" s="71">
        <f t="shared" si="2"/>
        <v>35.626817006356795</v>
      </c>
      <c r="G94" s="84">
        <f t="shared" si="3"/>
        <v>364.46233797503004</v>
      </c>
      <c r="H94" s="43"/>
      <c r="I94" s="8"/>
      <c r="J94" s="8"/>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43">
        <v>0.36358810641460998</v>
      </c>
      <c r="F95" s="71">
        <f t="shared" si="2"/>
        <v>36.358810641460998</v>
      </c>
      <c r="G95" s="84">
        <f t="shared" si="3"/>
        <v>371.95063286214599</v>
      </c>
      <c r="H95" s="43"/>
      <c r="I95" s="8"/>
      <c r="J95" s="8"/>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43">
        <v>0.37097927228593303</v>
      </c>
      <c r="F96" s="71">
        <f t="shared" si="2"/>
        <v>37.097927228593299</v>
      </c>
      <c r="G96" s="84">
        <f t="shared" si="3"/>
        <v>379.5117955485095</v>
      </c>
      <c r="H96" s="43"/>
      <c r="I96" s="8"/>
      <c r="J96" s="8"/>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43">
        <v>0.378438159555397</v>
      </c>
      <c r="F97" s="71">
        <f t="shared" si="2"/>
        <v>37.843815955539704</v>
      </c>
      <c r="G97" s="84">
        <f t="shared" si="3"/>
        <v>387.14223722517113</v>
      </c>
      <c r="H97" s="43"/>
      <c r="I97" s="8"/>
      <c r="J97" s="8"/>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43">
        <v>0.38596136227421202</v>
      </c>
      <c r="F98" s="71">
        <f t="shared" si="2"/>
        <v>38.596136227421205</v>
      </c>
      <c r="G98" s="84">
        <f t="shared" si="3"/>
        <v>394.8384736065189</v>
      </c>
      <c r="H98" s="43"/>
      <c r="I98" s="8"/>
      <c r="J98" s="8"/>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43">
        <v>0.39354558206756002</v>
      </c>
      <c r="F99" s="71">
        <f t="shared" si="2"/>
        <v>39.354558206756003</v>
      </c>
      <c r="G99" s="84">
        <f t="shared" si="3"/>
        <v>402.59713045511387</v>
      </c>
      <c r="H99" s="43"/>
      <c r="I99" s="8"/>
      <c r="J99" s="8"/>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43">
        <v>0.40118763243942002</v>
      </c>
      <c r="F100" s="71">
        <f t="shared" si="2"/>
        <v>40.118763243941999</v>
      </c>
      <c r="G100" s="84">
        <f t="shared" si="3"/>
        <v>410.41494798552668</v>
      </c>
      <c r="H100" s="43"/>
      <c r="I100" s="8"/>
      <c r="J100" s="8"/>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43">
        <v>0.408884441935011</v>
      </c>
      <c r="F101" s="71">
        <f t="shared" si="2"/>
        <v>40.888444193501101</v>
      </c>
      <c r="G101" s="84">
        <f t="shared" si="3"/>
        <v>418.28878409951625</v>
      </c>
      <c r="H101" s="43"/>
      <c r="I101" s="8"/>
      <c r="J101" s="8"/>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43">
        <v>0.41663305618500002</v>
      </c>
      <c r="F102" s="71">
        <f t="shared" si="2"/>
        <v>41.663305618500004</v>
      </c>
      <c r="G102" s="84">
        <f t="shared" si="3"/>
        <v>426.21561647725503</v>
      </c>
      <c r="H102" s="43"/>
      <c r="I102" s="8"/>
      <c r="J102" s="8"/>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43">
        <v>0.42443063897819699</v>
      </c>
      <c r="F103" s="71">
        <f t="shared" si="2"/>
        <v>42.443063897819698</v>
      </c>
      <c r="G103" s="84">
        <f t="shared" si="3"/>
        <v>434.19254367469551</v>
      </c>
      <c r="H103" s="43"/>
      <c r="I103" s="8"/>
      <c r="J103" s="8"/>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43">
        <v>0.43227447284718801</v>
      </c>
      <c r="F104" s="71">
        <f t="shared" si="2"/>
        <v>43.227447284718799</v>
      </c>
      <c r="G104" s="84">
        <f t="shared" si="3"/>
        <v>442.21678572267331</v>
      </c>
      <c r="H104" s="43"/>
      <c r="I104" s="8"/>
      <c r="J104" s="8"/>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43">
        <v>0.44016195808027297</v>
      </c>
      <c r="F105" s="71">
        <f t="shared" si="2"/>
        <v>44.016195808027298</v>
      </c>
      <c r="G105" s="84">
        <f t="shared" si="3"/>
        <v>450.28568311611923</v>
      </c>
      <c r="H105" s="43"/>
      <c r="I105" s="8"/>
      <c r="J105" s="8"/>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43">
        <v>0.44809061199518002</v>
      </c>
      <c r="F106" s="71">
        <f t="shared" si="2"/>
        <v>44.809061199518005</v>
      </c>
      <c r="G106" s="84">
        <f t="shared" si="3"/>
        <v>458.39669607106919</v>
      </c>
      <c r="H106" s="43"/>
      <c r="I106" s="8"/>
      <c r="J106" s="8"/>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43">
        <v>0.45605806736784099</v>
      </c>
      <c r="F107" s="71">
        <f t="shared" si="2"/>
        <v>45.605806736784096</v>
      </c>
      <c r="G107" s="84">
        <f t="shared" si="3"/>
        <v>466.54740291730133</v>
      </c>
      <c r="H107" s="43"/>
      <c r="I107" s="8"/>
      <c r="J107" s="8"/>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43">
        <v>0.46406206981724901</v>
      </c>
      <c r="F108" s="71">
        <f t="shared" si="2"/>
        <v>46.4062069817249</v>
      </c>
      <c r="G108" s="84">
        <f t="shared" si="3"/>
        <v>474.73549742304573</v>
      </c>
      <c r="H108" s="43"/>
      <c r="I108" s="8"/>
      <c r="J108" s="8"/>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43">
        <v>0.47210047581442399</v>
      </c>
      <c r="F109" s="71">
        <f t="shared" si="2"/>
        <v>47.210047581442396</v>
      </c>
      <c r="G109" s="84">
        <f t="shared" si="3"/>
        <v>482.95878675815572</v>
      </c>
      <c r="H109" s="43"/>
      <c r="I109" s="8"/>
      <c r="J109" s="8"/>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43">
        <v>0.48017124922294302</v>
      </c>
      <c r="F110" s="71">
        <f t="shared" si="2"/>
        <v>48.0171249222943</v>
      </c>
      <c r="G110" s="84">
        <f t="shared" si="3"/>
        <v>491.21518795507069</v>
      </c>
      <c r="H110" s="43"/>
      <c r="I110" s="8"/>
      <c r="J110" s="8"/>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43">
        <v>0.48827245852686701</v>
      </c>
      <c r="F111" s="71">
        <f t="shared" si="2"/>
        <v>48.827245852686701</v>
      </c>
      <c r="G111" s="84">
        <f t="shared" si="3"/>
        <v>499.50272507298496</v>
      </c>
      <c r="H111" s="43"/>
      <c r="I111" s="8"/>
      <c r="J111" s="8"/>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43">
        <v>0.496402273411155</v>
      </c>
      <c r="F112" s="71">
        <f t="shared" si="2"/>
        <v>49.640227341115498</v>
      </c>
      <c r="G112" s="84">
        <f t="shared" si="3"/>
        <v>507.81952569961157</v>
      </c>
      <c r="H112" s="43"/>
      <c r="I112" s="8"/>
      <c r="J112" s="8"/>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43">
        <v>0.50455896099603903</v>
      </c>
      <c r="F113" s="71">
        <f t="shared" si="2"/>
        <v>50.455896099603905</v>
      </c>
      <c r="G113" s="84">
        <f t="shared" si="3"/>
        <v>516.1638170989479</v>
      </c>
      <c r="H113" s="43"/>
      <c r="I113" s="8"/>
      <c r="J113" s="8"/>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43">
        <v>0.51274088253197603</v>
      </c>
      <c r="F114" s="71">
        <f t="shared" si="2"/>
        <v>51.274088253197604</v>
      </c>
      <c r="G114" s="84">
        <f t="shared" si="3"/>
        <v>524.53392283021151</v>
      </c>
      <c r="H114" s="43"/>
      <c r="I114" s="8"/>
      <c r="J114" s="8"/>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43">
        <v>0.52094648939288302</v>
      </c>
      <c r="F115" s="71">
        <f t="shared" si="2"/>
        <v>52.094648939288305</v>
      </c>
      <c r="G115" s="84">
        <f t="shared" si="3"/>
        <v>532.92825864891938</v>
      </c>
      <c r="H115" s="43"/>
      <c r="I115" s="8"/>
      <c r="J115" s="8"/>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43">
        <v>0.52917431952854699</v>
      </c>
      <c r="F116" s="71">
        <f t="shared" si="2"/>
        <v>52.917431952854699</v>
      </c>
      <c r="G116" s="84">
        <f t="shared" si="3"/>
        <v>541.34532887770354</v>
      </c>
      <c r="H116" s="43"/>
      <c r="I116" s="8"/>
      <c r="J116" s="8"/>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43">
        <v>0.53742299357554901</v>
      </c>
      <c r="F117" s="71">
        <f t="shared" si="2"/>
        <v>53.742299357554899</v>
      </c>
      <c r="G117" s="84">
        <f t="shared" si="3"/>
        <v>549.78372242778664</v>
      </c>
      <c r="H117" s="43"/>
      <c r="I117" s="8"/>
      <c r="J117" s="8"/>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43">
        <v>0.54569121112917596</v>
      </c>
      <c r="F118" s="71">
        <f t="shared" si="2"/>
        <v>54.569121112917593</v>
      </c>
      <c r="G118" s="84">
        <f t="shared" si="3"/>
        <v>558.24210898514696</v>
      </c>
      <c r="H118" s="43"/>
      <c r="I118" s="8"/>
      <c r="J118" s="8"/>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43">
        <v>0.553977747187681</v>
      </c>
      <c r="F119" s="71">
        <f t="shared" si="2"/>
        <v>55.397774718768098</v>
      </c>
      <c r="G119" s="84">
        <f t="shared" si="3"/>
        <v>566.71923537299767</v>
      </c>
      <c r="H119" s="43"/>
      <c r="I119" s="8"/>
      <c r="J119" s="8"/>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43">
        <v>0.56228144839771699</v>
      </c>
      <c r="F120" s="71">
        <f t="shared" si="2"/>
        <v>56.228144839771701</v>
      </c>
      <c r="G120" s="84">
        <f t="shared" si="3"/>
        <v>575.2139217108645</v>
      </c>
      <c r="H120" s="43"/>
      <c r="I120" s="8"/>
      <c r="J120" s="8"/>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43">
        <v>0.57060122949972003</v>
      </c>
      <c r="F121" s="71">
        <f t="shared" si="2"/>
        <v>57.060122949972005</v>
      </c>
      <c r="G121" s="84">
        <f t="shared" si="3"/>
        <v>583.72505777821357</v>
      </c>
      <c r="H121" s="43"/>
      <c r="I121" s="8"/>
      <c r="J121" s="8"/>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43">
        <v>0.57893606999414804</v>
      </c>
      <c r="F122" s="71">
        <f t="shared" si="2"/>
        <v>57.893606999414807</v>
      </c>
      <c r="G122" s="84">
        <f t="shared" si="3"/>
        <v>592.25159960401345</v>
      </c>
      <c r="H122" s="43"/>
      <c r="I122" s="8"/>
      <c r="J122" s="8"/>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43">
        <v>0.58728501066021899</v>
      </c>
      <c r="F123" s="71">
        <f t="shared" si="2"/>
        <v>58.728501066021899</v>
      </c>
      <c r="G123" s="84">
        <f t="shared" si="3"/>
        <v>600.79256590540399</v>
      </c>
      <c r="H123" s="43"/>
      <c r="I123" s="8"/>
      <c r="J123" s="8"/>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43">
        <v>0.59564715034407201</v>
      </c>
      <c r="F124" s="71">
        <f t="shared" si="2"/>
        <v>59.5647150344072</v>
      </c>
      <c r="G124" s="84">
        <f t="shared" si="3"/>
        <v>609.34703480198561</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43">
        <v>0.60402164286531002</v>
      </c>
      <c r="F125" s="71">
        <f t="shared" si="2"/>
        <v>60.402164286531004</v>
      </c>
      <c r="G125" s="84">
        <f t="shared" si="3"/>
        <v>617.91414065121216</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43">
        <v>0.61240769395236405</v>
      </c>
      <c r="F126" s="71">
        <f t="shared" si="2"/>
        <v>61.240769395236406</v>
      </c>
      <c r="G126" s="84">
        <f t="shared" si="3"/>
        <v>626.49307091326841</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43">
        <v>0.62080455835927695</v>
      </c>
      <c r="F127" s="71">
        <f t="shared" si="2"/>
        <v>62.080455835927694</v>
      </c>
      <c r="G127" s="84">
        <f t="shared" si="3"/>
        <v>635.08306320154031</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43">
        <v>0.62921153719749101</v>
      </c>
      <c r="F128" s="71">
        <f t="shared" si="2"/>
        <v>62.9211537197491</v>
      </c>
      <c r="G128" s="84">
        <f t="shared" si="3"/>
        <v>643.68340255303326</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43">
        <v>0.63762797509344205</v>
      </c>
      <c r="F129" s="71">
        <f t="shared" si="2"/>
        <v>63.762797509344203</v>
      </c>
      <c r="G129" s="84">
        <f t="shared" si="3"/>
        <v>652.29341852059122</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43">
        <v>0.64605325783184597</v>
      </c>
      <c r="F130" s="71">
        <f t="shared" si="2"/>
        <v>64.605325783184597</v>
      </c>
      <c r="G130" s="84">
        <f t="shared" si="3"/>
        <v>660.91248276197848</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43">
        <v>0.65448680990126695</v>
      </c>
      <c r="F131" s="71">
        <f t="shared" si="2"/>
        <v>65.448680990126689</v>
      </c>
      <c r="G131" s="84">
        <f t="shared" si="3"/>
        <v>669.54000652899606</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43">
        <v>0.66292809217447202</v>
      </c>
      <c r="F132" s="71">
        <f t="shared" si="2"/>
        <v>66.2928092174472</v>
      </c>
      <c r="G132" s="84">
        <f t="shared" si="3"/>
        <v>678.17543829448482</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43">
        <v>0.67137659979162501</v>
      </c>
      <c r="F133" s="71">
        <f t="shared" si="2"/>
        <v>67.137659979162507</v>
      </c>
      <c r="G133" s="84">
        <f t="shared" si="3"/>
        <v>686.81826158683236</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43">
        <v>0.67983186004678497</v>
      </c>
      <c r="F134" s="71">
        <f t="shared" si="2"/>
        <v>67.983186004678501</v>
      </c>
      <c r="G134" s="84">
        <f t="shared" si="3"/>
        <v>695.46799282786105</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43">
        <v>0.68829343049506497</v>
      </c>
      <c r="F135" s="71">
        <f t="shared" si="2"/>
        <v>68.829343049506491</v>
      </c>
      <c r="G135" s="84">
        <f t="shared" si="3"/>
        <v>704.1241793964515</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43">
        <v>0.69676089705557298</v>
      </c>
      <c r="F136" s="71">
        <f t="shared" si="2"/>
        <v>69.676089705557303</v>
      </c>
      <c r="G136" s="84">
        <f t="shared" si="3"/>
        <v>712.78639768785115</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43">
        <v>0.70523387229857204</v>
      </c>
      <c r="F137" s="71">
        <f t="shared" si="2"/>
        <v>70.523387229857207</v>
      </c>
      <c r="G137" s="84">
        <f t="shared" si="3"/>
        <v>721.45425136143922</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43">
        <v>0.71371199380928396</v>
      </c>
      <c r="F138" s="71">
        <f t="shared" si="2"/>
        <v>71.371199380928402</v>
      </c>
      <c r="G138" s="84">
        <f t="shared" si="3"/>
        <v>730.12736966689749</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43">
        <v>0.72219492253624595</v>
      </c>
      <c r="F139" s="71">
        <f t="shared" si="2"/>
        <v>72.219492253624594</v>
      </c>
      <c r="G139" s="84">
        <f t="shared" si="3"/>
        <v>738.80540575457962</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43">
        <v>0.73068234159663303</v>
      </c>
      <c r="F140" s="71">
        <f t="shared" si="2"/>
        <v>73.068234159663305</v>
      </c>
      <c r="G140" s="84">
        <f t="shared" si="3"/>
        <v>747.48803545335556</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43">
        <v>0.73917395446177903</v>
      </c>
      <c r="F141" s="71">
        <f t="shared" si="2"/>
        <v>73.917395446177906</v>
      </c>
      <c r="G141" s="84">
        <f t="shared" si="3"/>
        <v>756.17495541439996</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43">
        <v>0.74766948408392397</v>
      </c>
      <c r="F142" s="71">
        <f t="shared" si="2"/>
        <v>74.766948408392395</v>
      </c>
      <c r="G142" s="84">
        <f t="shared" si="3"/>
        <v>764.86588221785428</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43">
        <v>0.75616867141235999</v>
      </c>
      <c r="F143" s="71">
        <f t="shared" si="2"/>
        <v>75.616867141236</v>
      </c>
      <c r="G143" s="84">
        <f t="shared" si="3"/>
        <v>773.56055085484422</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43">
        <v>0.76467127435968096</v>
      </c>
      <c r="F144" s="71">
        <f t="shared" si="2"/>
        <v>76.467127435968095</v>
      </c>
      <c r="G144" s="84">
        <f t="shared" si="3"/>
        <v>782.25871366995364</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43">
        <v>0.77317706670742403</v>
      </c>
      <c r="F145" s="71">
        <f t="shared" si="2"/>
        <v>77.31770667074241</v>
      </c>
      <c r="G145" s="84">
        <f t="shared" si="3"/>
        <v>790.96013924169483</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43">
        <v>0.78168583691959703</v>
      </c>
      <c r="F146" s="71">
        <f t="shared" si="2"/>
        <v>78.168583691959697</v>
      </c>
      <c r="G146" s="84">
        <f t="shared" si="3"/>
        <v>799.6646111687478</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43">
        <v>0.79019738754379398</v>
      </c>
      <c r="F147" s="71">
        <f t="shared" si="2"/>
        <v>79.019738754379404</v>
      </c>
      <c r="G147" s="84">
        <f t="shared" si="3"/>
        <v>808.37192745730124</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43">
        <v>0.79871153401495099</v>
      </c>
      <c r="F148" s="71">
        <f t="shared" si="2"/>
        <v>79.871153401495093</v>
      </c>
      <c r="G148" s="84">
        <f t="shared" si="3"/>
        <v>817.08189929729485</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43">
        <v>0.80722810386134303</v>
      </c>
      <c r="F149" s="71">
        <f t="shared" si="2"/>
        <v>80.722810386134299</v>
      </c>
      <c r="G149" s="84">
        <f t="shared" si="3"/>
        <v>825.79435025015391</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43">
        <v>0.81574693616345795</v>
      </c>
      <c r="F150" s="71">
        <f t="shared" si="2"/>
        <v>81.574693616345797</v>
      </c>
      <c r="G150" s="84">
        <f t="shared" si="3"/>
        <v>834.50911569521747</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43">
        <v>0.82426788038052101</v>
      </c>
      <c r="F151" s="71">
        <f t="shared" si="2"/>
        <v>82.426788038052095</v>
      </c>
      <c r="G151" s="84">
        <f t="shared" si="3"/>
        <v>843.22604162927303</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43">
        <v>0.83279079608710005</v>
      </c>
      <c r="F152" s="71">
        <f t="shared" si="2"/>
        <v>83.279079608710006</v>
      </c>
      <c r="G152" s="84">
        <f t="shared" si="3"/>
        <v>851.94498439710333</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43">
        <v>0.84131555206332498</v>
      </c>
      <c r="F153" s="71">
        <f t="shared" si="2"/>
        <v>84.131555206332493</v>
      </c>
      <c r="G153" s="84">
        <f t="shared" si="3"/>
        <v>860.66580976078149</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43">
        <v>0.84984202580464996</v>
      </c>
      <c r="F154" s="71">
        <f t="shared" si="2"/>
        <v>84.984202580464995</v>
      </c>
      <c r="G154" s="84">
        <f t="shared" si="3"/>
        <v>869.38839239815695</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43">
        <v>0.85837010290756099</v>
      </c>
      <c r="F155" s="71">
        <f t="shared" si="2"/>
        <v>85.837010290756098</v>
      </c>
      <c r="G155" s="84">
        <f t="shared" si="3"/>
        <v>878.11261527443492</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43">
        <v>0.86689967652781097</v>
      </c>
      <c r="F156" s="71">
        <f t="shared" si="2"/>
        <v>86.689967652781093</v>
      </c>
      <c r="G156" s="84">
        <f t="shared" si="3"/>
        <v>886.83836908795058</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43">
        <v>0.87543064691394201</v>
      </c>
      <c r="F157" s="71">
        <f t="shared" si="2"/>
        <v>87.543064691394207</v>
      </c>
      <c r="G157" s="84">
        <f t="shared" si="3"/>
        <v>895.56555179296265</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43">
        <v>0.88396292093638396</v>
      </c>
      <c r="F158" s="71">
        <f t="shared" si="2"/>
        <v>88.396292093638394</v>
      </c>
      <c r="G158" s="84">
        <f t="shared" si="3"/>
        <v>904.2940681179208</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43">
        <v>0.892496411691172</v>
      </c>
      <c r="F159" s="71">
        <f t="shared" si="2"/>
        <v>89.249641169117197</v>
      </c>
      <c r="G159" s="84">
        <f t="shared" si="3"/>
        <v>913.023829160069</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43">
        <v>0.90103103796212303</v>
      </c>
      <c r="F160" s="71">
        <f t="shared" si="2"/>
        <v>90.103103796212309</v>
      </c>
      <c r="G160" s="84">
        <f t="shared" si="3"/>
        <v>921.75475183525191</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43">
        <v>0.909566724026176</v>
      </c>
      <c r="F161" s="71">
        <f t="shared" si="2"/>
        <v>90.956672402617599</v>
      </c>
      <c r="G161" s="84">
        <f t="shared" si="3"/>
        <v>930.48675867877807</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43">
        <v>0.91810339911941097</v>
      </c>
      <c r="F162" s="71">
        <f t="shared" si="2"/>
        <v>91.810339911941099</v>
      </c>
      <c r="G162" s="84">
        <f t="shared" si="3"/>
        <v>939.21977729915739</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43">
        <v>0.92664099723796001</v>
      </c>
      <c r="F163" s="71">
        <f t="shared" si="2"/>
        <v>92.664099723795999</v>
      </c>
      <c r="G163" s="84">
        <f t="shared" si="3"/>
        <v>947.95374017443305</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43">
        <v>0.93517945672817604</v>
      </c>
      <c r="F164" s="71">
        <f t="shared" si="2"/>
        <v>93.517945672817604</v>
      </c>
      <c r="G164" s="84">
        <f t="shared" si="3"/>
        <v>956.68858423292409</v>
      </c>
      <c r="H164" s="43"/>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43">
        <v>0.94371872007123703</v>
      </c>
      <c r="F165" s="71">
        <f t="shared" si="2"/>
        <v>94.371872007123699</v>
      </c>
      <c r="G165" s="84">
        <f t="shared" si="3"/>
        <v>965.42425063287544</v>
      </c>
      <c r="H165" s="43"/>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43">
        <v>0.95225873357334601</v>
      </c>
      <c r="F166" s="71">
        <f t="shared" si="2"/>
        <v>95.225873357334606</v>
      </c>
      <c r="G166" s="84">
        <f t="shared" si="3"/>
        <v>974.16068444553298</v>
      </c>
      <c r="H166" s="43"/>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43">
        <v>0.96079944712346399</v>
      </c>
      <c r="F167" s="71">
        <f t="shared" si="2"/>
        <v>96.079944712346403</v>
      </c>
      <c r="G167" s="84">
        <f t="shared" si="3"/>
        <v>982.89783440730366</v>
      </c>
      <c r="H167" s="43"/>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43">
        <v>0.96934081393795901</v>
      </c>
      <c r="F168" s="71">
        <f t="shared" si="2"/>
        <v>96.934081393795907</v>
      </c>
      <c r="G168" s="84">
        <f t="shared" si="3"/>
        <v>991.63565265853208</v>
      </c>
      <c r="H168" s="43"/>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43">
        <v>0.97788279037069303</v>
      </c>
      <c r="F169" s="71">
        <f t="shared" si="2"/>
        <v>97.788279037069302</v>
      </c>
      <c r="G169" s="84">
        <f t="shared" si="3"/>
        <v>1000.374094549219</v>
      </c>
      <c r="H169" s="43"/>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43">
        <v>0.98642533561769996</v>
      </c>
      <c r="F170" s="71">
        <f t="shared" si="2"/>
        <v>98.642533561769994</v>
      </c>
      <c r="G170" s="84">
        <f t="shared" si="3"/>
        <v>1009.1131183369071</v>
      </c>
      <c r="H170" s="43"/>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43">
        <v>0.99496841176924</v>
      </c>
      <c r="F171" s="71">
        <f t="shared" si="2"/>
        <v>99.496841176923994</v>
      </c>
      <c r="G171" s="84">
        <f t="shared" si="3"/>
        <v>1017.8526852399325</v>
      </c>
      <c r="H171" s="43" t="s">
        <v>635</v>
      </c>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43">
        <v>1.00351198325574</v>
      </c>
      <c r="F172" s="71">
        <f t="shared" si="2"/>
        <v>100.351198325574</v>
      </c>
      <c r="G172" s="84">
        <f t="shared" si="3"/>
        <v>1026.592758870622</v>
      </c>
      <c r="H172" s="43"/>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43">
        <v>1.01205601694245</v>
      </c>
      <c r="F173" s="71">
        <f t="shared" si="2"/>
        <v>101.20560169424499</v>
      </c>
      <c r="G173" s="84">
        <f t="shared" si="3"/>
        <v>1035.3333053321262</v>
      </c>
      <c r="H173" s="43"/>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43">
        <v>1.02060048194066</v>
      </c>
      <c r="F174" s="71">
        <f t="shared" si="2"/>
        <v>102.060048194066</v>
      </c>
      <c r="G174" s="84">
        <f t="shared" si="3"/>
        <v>1044.0742930252952</v>
      </c>
      <c r="H174" s="43"/>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43">
        <v>1.02914534943</v>
      </c>
      <c r="F175" s="71">
        <f t="shared" si="2"/>
        <v>102.91453494300001</v>
      </c>
      <c r="G175" s="84">
        <f t="shared" si="3"/>
        <v>1052.8156924668899</v>
      </c>
      <c r="H175" s="43"/>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43">
        <v>1.0376905925052</v>
      </c>
      <c r="F176" s="71">
        <f t="shared" si="2"/>
        <v>103.76905925052</v>
      </c>
      <c r="G176" s="84">
        <f t="shared" si="3"/>
        <v>1061.5574761328196</v>
      </c>
      <c r="H176" s="43"/>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43">
        <v>1.0462361860037199</v>
      </c>
      <c r="F177" s="71">
        <f t="shared" si="2"/>
        <v>104.623618600372</v>
      </c>
      <c r="G177" s="84">
        <f t="shared" si="3"/>
        <v>1070.2996182818056</v>
      </c>
      <c r="H177" s="43"/>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43">
        <v>1.0547821064401399</v>
      </c>
      <c r="F178" s="71">
        <f t="shared" si="2"/>
        <v>105.478210644014</v>
      </c>
      <c r="G178" s="84">
        <f t="shared" si="3"/>
        <v>1079.0420948882631</v>
      </c>
      <c r="H178" s="43"/>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43">
        <v>1.0633283320593001</v>
      </c>
      <c r="F179" s="71">
        <f t="shared" si="2"/>
        <v>106.33283320593002</v>
      </c>
      <c r="G179" s="84">
        <f t="shared" si="3"/>
        <v>1087.7848836966641</v>
      </c>
      <c r="H179" s="43"/>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43">
        <v>1.0718748423787401</v>
      </c>
      <c r="F180" s="71">
        <f t="shared" si="2"/>
        <v>107.187484237874</v>
      </c>
      <c r="G180" s="84">
        <f t="shared" si="3"/>
        <v>1096.5279637534511</v>
      </c>
      <c r="H180" s="43"/>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43">
        <v>1.0804216183078701</v>
      </c>
      <c r="F181" s="71">
        <f t="shared" si="2"/>
        <v>108.04216183078701</v>
      </c>
      <c r="G181" s="84">
        <f t="shared" si="3"/>
        <v>1105.2713155289512</v>
      </c>
      <c r="H181" s="43"/>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43">
        <v>1.08896864216283</v>
      </c>
      <c r="F182" s="71">
        <f t="shared" si="2"/>
        <v>108.89686421628299</v>
      </c>
      <c r="G182" s="84">
        <f t="shared" si="3"/>
        <v>1114.014920932575</v>
      </c>
      <c r="H182" s="43"/>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43">
        <v>1.0975158972847601</v>
      </c>
      <c r="F183" s="71">
        <f t="shared" si="2"/>
        <v>109.75158972847601</v>
      </c>
      <c r="G183" s="84">
        <f t="shared" si="3"/>
        <v>1122.7587629223096</v>
      </c>
      <c r="H183" s="43"/>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43">
        <v>1.1060633682160199</v>
      </c>
      <c r="F184" s="71">
        <f t="shared" si="2"/>
        <v>110.60633682160199</v>
      </c>
      <c r="G184" s="84">
        <f t="shared" si="3"/>
        <v>1131.5028256849885</v>
      </c>
      <c r="H184" s="43"/>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43">
        <v>1.11461104053834</v>
      </c>
      <c r="F185" s="71">
        <f t="shared" si="2"/>
        <v>111.46110405383401</v>
      </c>
      <c r="G185" s="84">
        <f t="shared" si="3"/>
        <v>1140.2470944707218</v>
      </c>
      <c r="H185" s="43"/>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43">
        <v>1.1231589007878799</v>
      </c>
      <c r="F186" s="71">
        <f t="shared" si="2"/>
        <v>112.31589007878799</v>
      </c>
      <c r="G186" s="84">
        <f t="shared" si="3"/>
        <v>1148.9915555060011</v>
      </c>
      <c r="H186" s="43"/>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43">
        <v>1.1317069363113701</v>
      </c>
      <c r="F187" s="71">
        <f t="shared" si="2"/>
        <v>113.17069363113701</v>
      </c>
      <c r="G187" s="84">
        <f t="shared" si="3"/>
        <v>1157.7361958465317</v>
      </c>
      <c r="H187" s="43"/>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43">
        <v>1.1402551354367401</v>
      </c>
      <c r="F188" s="71">
        <f t="shared" si="2"/>
        <v>114.02551354367401</v>
      </c>
      <c r="G188" s="84">
        <f t="shared" si="3"/>
        <v>1166.4810035517851</v>
      </c>
      <c r="H188" s="43"/>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43">
        <v>1.1488034872288599</v>
      </c>
      <c r="F189" s="71">
        <f t="shared" si="2"/>
        <v>114.880348722886</v>
      </c>
      <c r="G189" s="84">
        <f t="shared" si="3"/>
        <v>1175.2259674351237</v>
      </c>
      <c r="H189" s="43"/>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43">
        <v>1.15735198140832</v>
      </c>
      <c r="F190" s="71">
        <f t="shared" si="2"/>
        <v>115.735198140832</v>
      </c>
      <c r="G190" s="84">
        <f t="shared" si="3"/>
        <v>1183.9710769807114</v>
      </c>
      <c r="H190" s="43"/>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43">
        <v>1.1659006084860699</v>
      </c>
      <c r="F191" s="71">
        <f t="shared" si="2"/>
        <v>116.590060848607</v>
      </c>
      <c r="G191" s="84">
        <f t="shared" si="3"/>
        <v>1192.7163224812496</v>
      </c>
      <c r="H191" s="43"/>
      <c r="I191" s="8"/>
      <c r="J191" s="8"/>
      <c r="K191" s="8"/>
      <c r="L191" s="8"/>
      <c r="M191" s="8"/>
      <c r="N191" s="8"/>
      <c r="O191" s="8"/>
      <c r="P191" s="8"/>
      <c r="Q191" s="8"/>
      <c r="R191" s="8"/>
      <c r="S191" s="8"/>
      <c r="T191" s="8"/>
      <c r="U191" s="8"/>
      <c r="V191" s="8"/>
      <c r="W191" s="8"/>
      <c r="X191" s="8"/>
      <c r="Y191" s="8"/>
      <c r="Z191" s="8"/>
      <c r="AA191" s="8"/>
      <c r="AB191" s="8"/>
      <c r="AC191" s="8"/>
    </row>
    <row r="192" spans="1:29"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DB23A-FF7A-4943-87A9-32FE33143204}">
  <dimension ref="B1:K210"/>
  <sheetViews>
    <sheetView zoomScale="115" workbookViewId="0">
      <selection activeCell="N19" sqref="N19"/>
    </sheetView>
  </sheetViews>
  <sheetFormatPr baseColWidth="10" defaultRowHeight="16"/>
  <cols>
    <col min="1" max="1" width="10.1640625" style="197" customWidth="1"/>
    <col min="2" max="2" width="2.83203125" style="197" customWidth="1"/>
    <col min="3" max="3" width="13.33203125" style="197" customWidth="1"/>
    <col min="4" max="4" width="12.33203125" style="197" bestFit="1" customWidth="1"/>
    <col min="5" max="5" width="10.83203125" style="197"/>
    <col min="6" max="7" width="11" style="197" bestFit="1" customWidth="1"/>
    <col min="8" max="8" width="43" style="197" customWidth="1"/>
    <col min="9" max="9" width="13.33203125" style="197" bestFit="1" customWidth="1"/>
    <col min="10" max="10" width="10.83203125" style="197"/>
    <col min="11" max="11" width="27" style="197" customWidth="1"/>
    <col min="12" max="16384" width="10.83203125" style="197"/>
  </cols>
  <sheetData>
    <row r="1" spans="2:11">
      <c r="B1" s="198"/>
      <c r="C1" s="199" t="s">
        <v>1020</v>
      </c>
      <c r="D1" s="200" t="s">
        <v>142</v>
      </c>
      <c r="E1" s="201"/>
      <c r="F1" s="201"/>
      <c r="G1" s="201"/>
      <c r="H1" s="198"/>
      <c r="I1" s="202"/>
    </row>
    <row r="2" spans="2:11" ht="68">
      <c r="B2" s="199" t="s">
        <v>58</v>
      </c>
      <c r="C2" s="199" t="s">
        <v>59</v>
      </c>
      <c r="D2" s="199" t="s">
        <v>143</v>
      </c>
      <c r="E2" s="203" t="s">
        <v>144</v>
      </c>
      <c r="F2" s="203" t="s">
        <v>145</v>
      </c>
      <c r="G2" s="203" t="s">
        <v>146</v>
      </c>
      <c r="H2" s="209" t="s">
        <v>1021</v>
      </c>
      <c r="I2" s="204" t="s">
        <v>813</v>
      </c>
    </row>
    <row r="3" spans="2:11">
      <c r="B3" s="202"/>
      <c r="C3" s="202" t="s">
        <v>816</v>
      </c>
      <c r="D3" s="202">
        <f>0.18*2^-16.94699</f>
        <v>1.4246893534756729E-6</v>
      </c>
      <c r="E3" s="202">
        <f>8.799461*D3+0.092864</f>
        <v>9.2876536498403023E-2</v>
      </c>
      <c r="F3" s="205">
        <f t="shared" ref="F3:F4" si="0">E3*100</f>
        <v>9.2876536498403031</v>
      </c>
      <c r="G3" s="205">
        <f t="shared" ref="G3:G4" si="1">E3*1023</f>
        <v>95.012696837866287</v>
      </c>
      <c r="H3" s="205"/>
      <c r="I3" s="207">
        <f t="shared" ref="I3:I4" si="2">E3*(2^16-1)</f>
        <v>6086.6638194228417</v>
      </c>
    </row>
    <row r="4" spans="2:11">
      <c r="B4" s="202"/>
      <c r="C4" s="202" t="s">
        <v>817</v>
      </c>
      <c r="D4" s="202">
        <f>0.18*2^-8</f>
        <v>7.0312499999999997E-4</v>
      </c>
      <c r="E4" s="202">
        <f>8.799461*D4+0.092864</f>
        <v>9.9051121015625007E-2</v>
      </c>
      <c r="F4" s="205">
        <f t="shared" si="0"/>
        <v>9.9051121015625014</v>
      </c>
      <c r="G4" s="205">
        <f t="shared" si="1"/>
        <v>101.32929679898439</v>
      </c>
      <c r="H4" s="205"/>
      <c r="I4" s="207">
        <f t="shared" si="2"/>
        <v>6491.3152157589848</v>
      </c>
      <c r="K4" s="206" t="s">
        <v>999</v>
      </c>
    </row>
    <row r="5" spans="2:11">
      <c r="B5" s="202"/>
      <c r="C5" s="202" t="s">
        <v>818</v>
      </c>
      <c r="D5" s="202">
        <f>0.18*2^-7</f>
        <v>1.4062499999999999E-3</v>
      </c>
      <c r="E5" s="202">
        <f>0.245281*LOG10(5.555556*D5+0.064829)+0.384316</f>
        <v>0.10498627070523592</v>
      </c>
      <c r="F5" s="205">
        <f>E5*100</f>
        <v>10.498627070523591</v>
      </c>
      <c r="G5" s="205">
        <f>E5*1023</f>
        <v>107.40095493145634</v>
      </c>
      <c r="H5" s="205"/>
      <c r="I5" s="207">
        <f>E5*(2^16-1)</f>
        <v>6880.2752506676361</v>
      </c>
      <c r="K5" s="197" t="s">
        <v>1000</v>
      </c>
    </row>
    <row r="6" spans="2:11">
      <c r="B6" s="202"/>
      <c r="C6" s="202" t="s">
        <v>819</v>
      </c>
      <c r="D6" s="202">
        <f>0.18*2^-6</f>
        <v>2.8124999999999999E-3</v>
      </c>
      <c r="E6" s="202">
        <f t="shared" ref="E6:E26" si="3">0.245281*LOG10(5.555556*D6+0.064829)+0.384316</f>
        <v>0.11586763262647537</v>
      </c>
      <c r="F6" s="205">
        <f t="shared" ref="F6:F26" si="4">E6*100</f>
        <v>11.586763262647537</v>
      </c>
      <c r="G6" s="205">
        <f t="shared" ref="G6:G26" si="5">E6*1023</f>
        <v>118.5325881768843</v>
      </c>
      <c r="H6" s="205"/>
      <c r="I6" s="207">
        <f t="shared" ref="I6:I26" si="6">E6*(2^16-1)</f>
        <v>7593.3853041760631</v>
      </c>
      <c r="K6" s="197" t="s">
        <v>1001</v>
      </c>
    </row>
    <row r="7" spans="2:11">
      <c r="B7" s="202"/>
      <c r="C7" s="202" t="s">
        <v>820</v>
      </c>
      <c r="D7" s="202">
        <f>0.18*2^-5</f>
        <v>5.6249999999999998E-3</v>
      </c>
      <c r="E7" s="202">
        <f t="shared" si="3"/>
        <v>0.1347740975611737</v>
      </c>
      <c r="F7" s="205">
        <f t="shared" si="4"/>
        <v>13.477409756117369</v>
      </c>
      <c r="G7" s="205">
        <f t="shared" si="5"/>
        <v>137.87390180508069</v>
      </c>
      <c r="H7" s="205"/>
      <c r="I7" s="207">
        <f t="shared" si="6"/>
        <v>8832.420483671518</v>
      </c>
      <c r="K7" s="197" t="s">
        <v>1002</v>
      </c>
    </row>
    <row r="8" spans="2:11">
      <c r="B8" s="202"/>
      <c r="C8" s="202" t="s">
        <v>821</v>
      </c>
      <c r="D8" s="202">
        <f>0.18*2^-4</f>
        <v>1.125E-2</v>
      </c>
      <c r="E8" s="202">
        <f t="shared" si="3"/>
        <v>0.16477168419220301</v>
      </c>
      <c r="F8" s="205">
        <f t="shared" si="4"/>
        <v>16.477168419220302</v>
      </c>
      <c r="G8" s="205">
        <f t="shared" si="5"/>
        <v>168.56143292862367</v>
      </c>
      <c r="H8" s="205"/>
      <c r="I8" s="207">
        <f t="shared" si="6"/>
        <v>10798.312323536024</v>
      </c>
      <c r="K8" s="197" t="s">
        <v>1003</v>
      </c>
    </row>
    <row r="9" spans="2:11">
      <c r="B9" s="202"/>
      <c r="C9" s="202" t="s">
        <v>822</v>
      </c>
      <c r="D9" s="202">
        <f>0.18*2^-3</f>
        <v>2.2499999999999999E-2</v>
      </c>
      <c r="E9" s="202">
        <f t="shared" si="3"/>
        <v>0.2073120526723653</v>
      </c>
      <c r="F9" s="205">
        <f t="shared" si="4"/>
        <v>20.731205267236529</v>
      </c>
      <c r="G9" s="205">
        <f t="shared" si="5"/>
        <v>212.0802298838297</v>
      </c>
      <c r="H9" s="205"/>
      <c r="I9" s="207">
        <f t="shared" si="6"/>
        <v>13586.195371883459</v>
      </c>
      <c r="K9" s="197" t="s">
        <v>1004</v>
      </c>
    </row>
    <row r="10" spans="2:11">
      <c r="B10" s="202"/>
      <c r="C10" s="202" t="s">
        <v>823</v>
      </c>
      <c r="D10" s="202">
        <f>0.18*2^-2</f>
        <v>4.4999999999999998E-2</v>
      </c>
      <c r="E10" s="202">
        <f t="shared" si="3"/>
        <v>0.26120327459487108</v>
      </c>
      <c r="F10" s="205">
        <f t="shared" si="4"/>
        <v>26.120327459487108</v>
      </c>
      <c r="G10" s="205">
        <f t="shared" si="5"/>
        <v>267.2109499105531</v>
      </c>
      <c r="H10" s="205"/>
      <c r="I10" s="207">
        <f t="shared" si="6"/>
        <v>17117.956600574875</v>
      </c>
      <c r="K10" s="197" t="s">
        <v>1005</v>
      </c>
    </row>
    <row r="11" spans="2:11">
      <c r="B11" s="202"/>
      <c r="C11" s="202" t="s">
        <v>824</v>
      </c>
      <c r="D11" s="202">
        <f>0.18*2^-1</f>
        <v>0.09</v>
      </c>
      <c r="E11" s="202">
        <f t="shared" si="3"/>
        <v>0.32346595793061217</v>
      </c>
      <c r="F11" s="205">
        <f t="shared" si="4"/>
        <v>32.346595793061219</v>
      </c>
      <c r="G11" s="205">
        <f t="shared" si="5"/>
        <v>330.90567496301622</v>
      </c>
      <c r="H11" s="205"/>
      <c r="I11" s="207">
        <f t="shared" si="6"/>
        <v>21198.341552982667</v>
      </c>
      <c r="K11" s="197" t="s">
        <v>1006</v>
      </c>
    </row>
    <row r="12" spans="2:11">
      <c r="B12" s="202"/>
      <c r="C12" s="202" t="s">
        <v>825</v>
      </c>
      <c r="D12" s="202">
        <f>0.18*2^-0.5</f>
        <v>0.12727922061357855</v>
      </c>
      <c r="E12" s="202">
        <f t="shared" si="3"/>
        <v>0.356741805267901</v>
      </c>
      <c r="F12" s="205">
        <f t="shared" si="4"/>
        <v>35.674180526790103</v>
      </c>
      <c r="G12" s="205">
        <f t="shared" si="5"/>
        <v>364.94686678906271</v>
      </c>
      <c r="H12" s="205"/>
      <c r="I12" s="207">
        <f t="shared" si="6"/>
        <v>23379.074208231894</v>
      </c>
      <c r="K12" s="197" t="s">
        <v>1007</v>
      </c>
    </row>
    <row r="13" spans="2:11">
      <c r="B13" s="202"/>
      <c r="C13" s="202" t="s">
        <v>826</v>
      </c>
      <c r="D13" s="202">
        <f>0.18*2^-0.1</f>
        <v>0.16794593847662534</v>
      </c>
      <c r="E13" s="202">
        <f t="shared" si="3"/>
        <v>0.38408801454673819</v>
      </c>
      <c r="F13" s="205">
        <f t="shared" si="4"/>
        <v>38.408801454673821</v>
      </c>
      <c r="G13" s="205">
        <f t="shared" si="5"/>
        <v>392.92203888131314</v>
      </c>
      <c r="H13" s="205"/>
      <c r="I13" s="207"/>
    </row>
    <row r="14" spans="2:11">
      <c r="B14" s="210"/>
      <c r="C14" s="210" t="s">
        <v>827</v>
      </c>
      <c r="D14" s="210">
        <f>0.18*2^0</f>
        <v>0.18</v>
      </c>
      <c r="E14" s="210">
        <f t="shared" si="3"/>
        <v>0.39100724189123004</v>
      </c>
      <c r="F14" s="211">
        <f t="shared" si="4"/>
        <v>39.100724189123007</v>
      </c>
      <c r="G14" s="211">
        <f t="shared" si="5"/>
        <v>400.00040845472836</v>
      </c>
      <c r="H14" s="211"/>
      <c r="I14" s="212">
        <f t="shared" si="6"/>
        <v>25624.659597341761</v>
      </c>
      <c r="K14" s="206" t="s">
        <v>1012</v>
      </c>
    </row>
    <row r="15" spans="2:11">
      <c r="B15" s="202"/>
      <c r="C15" s="202" t="s">
        <v>828</v>
      </c>
      <c r="D15" s="202">
        <f>0.18*2^0.2</f>
        <v>0.2067657038994663</v>
      </c>
      <c r="E15" s="202">
        <f t="shared" si="3"/>
        <v>0.40493177077438386</v>
      </c>
      <c r="F15" s="205">
        <f t="shared" si="4"/>
        <v>40.493177077438389</v>
      </c>
      <c r="G15" s="205">
        <f t="shared" si="5"/>
        <v>414.24520150219467</v>
      </c>
      <c r="H15" s="205"/>
      <c r="I15" s="207"/>
      <c r="K15" s="197" t="s">
        <v>1015</v>
      </c>
    </row>
    <row r="16" spans="2:11">
      <c r="B16" s="202"/>
      <c r="C16" s="202" t="s">
        <v>829</v>
      </c>
      <c r="D16" s="202">
        <f>0.18*2^0.5</f>
        <v>0.2545584412271571</v>
      </c>
      <c r="E16" s="202">
        <f t="shared" si="3"/>
        <v>0.42600903732260864</v>
      </c>
      <c r="F16" s="205">
        <f t="shared" si="4"/>
        <v>42.600903732260861</v>
      </c>
      <c r="G16" s="205">
        <f t="shared" si="5"/>
        <v>435.80724518102863</v>
      </c>
      <c r="H16" s="205"/>
      <c r="I16" s="207">
        <f t="shared" si="6"/>
        <v>27918.502260937159</v>
      </c>
      <c r="K16" s="197" t="s">
        <v>1008</v>
      </c>
    </row>
    <row r="17" spans="2:11">
      <c r="B17" s="202"/>
      <c r="C17" s="202" t="s">
        <v>830</v>
      </c>
      <c r="D17" s="202">
        <f>0.18*2^1</f>
        <v>0.36</v>
      </c>
      <c r="E17" s="202">
        <f t="shared" si="3"/>
        <v>0.46155109301195352</v>
      </c>
      <c r="F17" s="205">
        <f t="shared" si="4"/>
        <v>46.155109301195353</v>
      </c>
      <c r="G17" s="205">
        <f t="shared" si="5"/>
        <v>472.16676815122844</v>
      </c>
      <c r="H17" s="205"/>
      <c r="I17" s="207">
        <f t="shared" si="6"/>
        <v>30247.750880538373</v>
      </c>
      <c r="K17" s="197" t="s">
        <v>176</v>
      </c>
    </row>
    <row r="18" spans="2:11">
      <c r="B18" s="202"/>
      <c r="C18" s="202" t="s">
        <v>831</v>
      </c>
      <c r="D18" s="202">
        <f>0.18*2^2</f>
        <v>0.72</v>
      </c>
      <c r="E18" s="202">
        <f t="shared" si="3"/>
        <v>0.53370250794799801</v>
      </c>
      <c r="F18" s="205">
        <f t="shared" si="4"/>
        <v>53.370250794799801</v>
      </c>
      <c r="G18" s="205">
        <f t="shared" si="5"/>
        <v>545.97766563080199</v>
      </c>
      <c r="H18" s="205"/>
      <c r="I18" s="207">
        <f t="shared" si="6"/>
        <v>34976.193858372048</v>
      </c>
      <c r="K18" s="197" t="s">
        <v>1009</v>
      </c>
    </row>
    <row r="19" spans="2:11">
      <c r="B19" s="213"/>
      <c r="C19" s="213" t="s">
        <v>832</v>
      </c>
      <c r="D19" s="213">
        <f>0.18*2^2.322</f>
        <v>0.90004485786135058</v>
      </c>
      <c r="E19" s="213">
        <f t="shared" si="3"/>
        <v>0.55713760527630196</v>
      </c>
      <c r="F19" s="214">
        <f t="shared" si="4"/>
        <v>55.7137605276302</v>
      </c>
      <c r="G19" s="214">
        <f t="shared" si="5"/>
        <v>569.95177019765686</v>
      </c>
      <c r="H19" s="214"/>
      <c r="I19" s="215"/>
      <c r="K19" s="197" t="s">
        <v>1010</v>
      </c>
    </row>
    <row r="20" spans="2:11">
      <c r="B20" s="202"/>
      <c r="C20" s="202" t="s">
        <v>833</v>
      </c>
      <c r="D20" s="202">
        <f>0.18*2^3</f>
        <v>1.44</v>
      </c>
      <c r="E20" s="202">
        <f t="shared" si="3"/>
        <v>0.60668657672726267</v>
      </c>
      <c r="F20" s="205">
        <f t="shared" si="4"/>
        <v>60.668657672726269</v>
      </c>
      <c r="G20" s="205">
        <f t="shared" si="5"/>
        <v>620.64036799198971</v>
      </c>
      <c r="H20" s="205"/>
      <c r="I20" s="207">
        <f t="shared" si="6"/>
        <v>39759.204805821159</v>
      </c>
      <c r="K20" s="197" t="s">
        <v>1011</v>
      </c>
    </row>
    <row r="21" spans="2:11">
      <c r="B21" s="202"/>
      <c r="C21" s="202" t="s">
        <v>834</v>
      </c>
      <c r="D21" s="202">
        <f>0.18*2^4</f>
        <v>2.88</v>
      </c>
      <c r="E21" s="202">
        <f t="shared" si="3"/>
        <v>0.68009450591817999</v>
      </c>
      <c r="F21" s="205">
        <f t="shared" si="4"/>
        <v>68.009450591817995</v>
      </c>
      <c r="G21" s="205">
        <f t="shared" si="5"/>
        <v>695.73667955429812</v>
      </c>
      <c r="H21" s="205"/>
      <c r="I21" s="207">
        <f t="shared" si="6"/>
        <v>44569.993445347929</v>
      </c>
    </row>
    <row r="22" spans="2:11">
      <c r="B22" s="202"/>
      <c r="C22" s="202" t="s">
        <v>835</v>
      </c>
      <c r="D22" s="202">
        <f>0.18*2^5</f>
        <v>5.76</v>
      </c>
      <c r="E22" s="202">
        <f t="shared" si="3"/>
        <v>0.7537162900401827</v>
      </c>
      <c r="F22" s="205">
        <f t="shared" si="4"/>
        <v>75.371629004018274</v>
      </c>
      <c r="G22" s="205">
        <f t="shared" si="5"/>
        <v>771.0517647111069</v>
      </c>
      <c r="H22" s="205"/>
      <c r="I22" s="207">
        <f t="shared" si="6"/>
        <v>49394.797067783373</v>
      </c>
      <c r="K22" s="206" t="s">
        <v>1013</v>
      </c>
    </row>
    <row r="23" spans="2:11">
      <c r="B23" s="202"/>
      <c r="C23" s="202" t="s">
        <v>836</v>
      </c>
      <c r="D23" s="202">
        <f>0.18*2^6</f>
        <v>11.52</v>
      </c>
      <c r="E23" s="202">
        <f t="shared" si="3"/>
        <v>0.82744548810397767</v>
      </c>
      <c r="F23" s="205">
        <f t="shared" si="4"/>
        <v>82.74454881039776</v>
      </c>
      <c r="G23" s="205">
        <f t="shared" si="5"/>
        <v>846.47673433036914</v>
      </c>
      <c r="H23" s="205"/>
      <c r="I23" s="207">
        <f t="shared" si="6"/>
        <v>54226.640062894177</v>
      </c>
      <c r="K23" s="197" t="s">
        <v>1014</v>
      </c>
    </row>
    <row r="24" spans="2:11">
      <c r="B24" s="202"/>
      <c r="C24" s="202" t="s">
        <v>837</v>
      </c>
      <c r="D24" s="202">
        <f>0.18*2^7</f>
        <v>23.04</v>
      </c>
      <c r="E24" s="202">
        <f t="shared" si="3"/>
        <v>0.9012285154276668</v>
      </c>
      <c r="F24" s="205">
        <f t="shared" si="4"/>
        <v>90.122851542766682</v>
      </c>
      <c r="G24" s="205">
        <f t="shared" si="5"/>
        <v>921.95677128250315</v>
      </c>
      <c r="H24" s="205"/>
      <c r="I24" s="207">
        <f t="shared" si="6"/>
        <v>59062.01075855214</v>
      </c>
      <c r="K24" s="197" t="s">
        <v>1016</v>
      </c>
    </row>
    <row r="25" spans="2:11">
      <c r="B25" s="202"/>
      <c r="C25" s="202" t="s">
        <v>838</v>
      </c>
      <c r="D25" s="202">
        <f>0.18*2^8</f>
        <v>46.08</v>
      </c>
      <c r="E25" s="202">
        <f t="shared" si="3"/>
        <v>0.97503848803780535</v>
      </c>
      <c r="F25" s="205">
        <f t="shared" si="4"/>
        <v>97.503848803780528</v>
      </c>
      <c r="G25" s="205">
        <f t="shared" si="5"/>
        <v>997.46437326267483</v>
      </c>
      <c r="H25" s="205"/>
      <c r="I25" s="207">
        <f t="shared" si="6"/>
        <v>63899.147313557572</v>
      </c>
      <c r="K25" s="197" t="s">
        <v>490</v>
      </c>
    </row>
    <row r="26" spans="2:11">
      <c r="B26" s="202"/>
      <c r="C26" s="202" t="s">
        <v>1022</v>
      </c>
      <c r="D26" s="202">
        <f>0.18*2^8.338135</f>
        <v>58.250713324574562</v>
      </c>
      <c r="E26" s="202">
        <f t="shared" si="3"/>
        <v>0.9999997061932917</v>
      </c>
      <c r="F26" s="205">
        <f t="shared" si="4"/>
        <v>99.999970619329176</v>
      </c>
      <c r="G26" s="205">
        <f t="shared" si="5"/>
        <v>1022.9996994357374</v>
      </c>
      <c r="H26" s="205"/>
      <c r="I26" s="207">
        <f t="shared" si="6"/>
        <v>65534.980745377368</v>
      </c>
      <c r="K26" s="197" t="s">
        <v>1017</v>
      </c>
    </row>
    <row r="27" spans="2:11">
      <c r="K27" s="197" t="s">
        <v>1018</v>
      </c>
    </row>
    <row r="28" spans="2:11">
      <c r="K28" s="197" t="s">
        <v>1019</v>
      </c>
    </row>
    <row r="30" spans="2:11">
      <c r="C30" s="197" t="s">
        <v>840</v>
      </c>
      <c r="D30" s="197">
        <f>0.18*2^-9</f>
        <v>3.5156249999999999E-4</v>
      </c>
      <c r="E30" s="202">
        <f t="shared" ref="E30:E42" si="7">8.799461*D30+0.092864</f>
        <v>9.5957560507812498E-2</v>
      </c>
      <c r="F30" s="205">
        <f t="shared" ref="F30:F42" si="8">E30*100</f>
        <v>9.5957560507812492</v>
      </c>
      <c r="G30" s="205">
        <f t="shared" ref="G30:G42" si="9">E30*1023</f>
        <v>98.164584399492185</v>
      </c>
      <c r="H30" s="205"/>
      <c r="I30" s="208">
        <f t="shared" ref="I30:I42" si="10">E30*(2^16-1)</f>
        <v>6288.5787278794924</v>
      </c>
    </row>
    <row r="31" spans="2:11">
      <c r="C31" s="197" t="s">
        <v>841</v>
      </c>
      <c r="D31" s="197">
        <f>0.18*2^-8.9</f>
        <v>3.7679535792291562E-4</v>
      </c>
      <c r="E31" s="202">
        <f t="shared" si="7"/>
        <v>9.6179596057023739E-2</v>
      </c>
      <c r="F31" s="205">
        <f t="shared" si="8"/>
        <v>9.6179596057023744</v>
      </c>
      <c r="G31" s="205">
        <f t="shared" si="9"/>
        <v>98.391726766335282</v>
      </c>
      <c r="H31" s="205"/>
      <c r="I31" s="208">
        <f t="shared" si="10"/>
        <v>6303.1298275970512</v>
      </c>
    </row>
    <row r="32" spans="2:11">
      <c r="C32" s="197" t="s">
        <v>842</v>
      </c>
      <c r="D32" s="197">
        <f>0.18*2^-8.8</f>
        <v>4.0383926542864512E-4</v>
      </c>
      <c r="E32" s="202">
        <f t="shared" si="7"/>
        <v>9.641756786640801E-2</v>
      </c>
      <c r="F32" s="205">
        <f t="shared" si="8"/>
        <v>9.6417567866408014</v>
      </c>
      <c r="G32" s="205">
        <f t="shared" si="9"/>
        <v>98.635171927335392</v>
      </c>
      <c r="H32" s="205"/>
      <c r="I32" s="208">
        <f t="shared" si="10"/>
        <v>6318.725310125049</v>
      </c>
    </row>
    <row r="33" spans="3:9">
      <c r="C33" s="197" t="s">
        <v>843</v>
      </c>
      <c r="D33" s="197">
        <f>0.18*2^-8.7</f>
        <v>4.328242078165726E-4</v>
      </c>
      <c r="E33" s="202">
        <f t="shared" si="7"/>
        <v>9.6672619736537832E-2</v>
      </c>
      <c r="F33" s="205">
        <f t="shared" si="8"/>
        <v>9.6672619736537833</v>
      </c>
      <c r="G33" s="205">
        <f t="shared" si="9"/>
        <v>98.896089990478202</v>
      </c>
      <c r="H33" s="205"/>
      <c r="I33" s="208">
        <f t="shared" si="10"/>
        <v>6335.4401344340067</v>
      </c>
    </row>
    <row r="34" spans="3:9">
      <c r="C34" s="197" t="s">
        <v>844</v>
      </c>
      <c r="D34" s="197">
        <f>0.18*2^-8.6</f>
        <v>4.6388949988109565E-4</v>
      </c>
      <c r="E34" s="202">
        <f t="shared" si="7"/>
        <v>9.6945977562513205E-2</v>
      </c>
      <c r="F34" s="205">
        <f t="shared" si="8"/>
        <v>9.694597756251321</v>
      </c>
      <c r="G34" s="205">
        <f t="shared" si="9"/>
        <v>99.17573504645101</v>
      </c>
      <c r="H34" s="205"/>
      <c r="I34" s="208">
        <f t="shared" si="10"/>
        <v>6353.354639559303</v>
      </c>
    </row>
    <row r="35" spans="3:9">
      <c r="C35" s="197" t="s">
        <v>845</v>
      </c>
      <c r="D35" s="197">
        <f>0.18*2^-8.5</f>
        <v>4.971844555217912E-4</v>
      </c>
      <c r="E35" s="202">
        <f t="shared" si="7"/>
        <v>9.7238955226170237E-2</v>
      </c>
      <c r="F35" s="205">
        <f t="shared" si="8"/>
        <v>9.7238955226170241</v>
      </c>
      <c r="G35" s="205">
        <f t="shared" si="9"/>
        <v>99.475451196372148</v>
      </c>
      <c r="H35" s="205"/>
      <c r="I35" s="208">
        <f t="shared" si="10"/>
        <v>6372.5549307470665</v>
      </c>
    </row>
    <row r="36" spans="3:9">
      <c r="C36" s="197" t="s">
        <v>846</v>
      </c>
      <c r="D36" s="197">
        <f>0.18*2^-8.4</f>
        <v>5.3286910541381195E-4</v>
      </c>
      <c r="E36" s="202">
        <f t="shared" si="7"/>
        <v>9.7552960911193726E-2</v>
      </c>
      <c r="F36" s="205">
        <f t="shared" si="8"/>
        <v>9.7552960911193729</v>
      </c>
      <c r="G36" s="205">
        <f t="shared" si="9"/>
        <v>99.796679012151188</v>
      </c>
      <c r="H36" s="205"/>
      <c r="I36" s="208">
        <f t="shared" si="10"/>
        <v>6393.1332933150807</v>
      </c>
    </row>
    <row r="37" spans="3:9">
      <c r="C37" s="197" t="s">
        <v>847</v>
      </c>
      <c r="D37" s="197">
        <f>0.18*2^-8.3</f>
        <v>5.7111496618797767E-4</v>
      </c>
      <c r="E37" s="202">
        <f t="shared" si="7"/>
        <v>9.7889503871487427E-2</v>
      </c>
      <c r="F37" s="205">
        <f t="shared" si="8"/>
        <v>9.7889503871487431</v>
      </c>
      <c r="G37" s="205">
        <f t="shared" si="9"/>
        <v>100.14096246053164</v>
      </c>
      <c r="H37" s="205"/>
      <c r="I37" s="208">
        <f t="shared" si="10"/>
        <v>6415.1886362179284</v>
      </c>
    </row>
    <row r="38" spans="3:9">
      <c r="C38" s="197" t="s">
        <v>848</v>
      </c>
      <c r="D38" s="197">
        <f>0.18*2^-8.2</f>
        <v>6.1210586481758793E-4</v>
      </c>
      <c r="E38" s="202">
        <f t="shared" si="7"/>
        <v>9.8250201685333632E-2</v>
      </c>
      <c r="F38" s="205">
        <f t="shared" si="8"/>
        <v>9.8250201685333636</v>
      </c>
      <c r="G38" s="205">
        <f t="shared" si="9"/>
        <v>100.50995632409631</v>
      </c>
      <c r="H38" s="205"/>
      <c r="I38" s="208">
        <f t="shared" si="10"/>
        <v>6438.8269674483399</v>
      </c>
    </row>
    <row r="39" spans="3:9">
      <c r="C39" s="197" t="s">
        <v>849</v>
      </c>
      <c r="D39" s="197">
        <f>0.18*2^-8.1</f>
        <v>6.5603882217431784E-4</v>
      </c>
      <c r="E39" s="202">
        <f t="shared" si="7"/>
        <v>9.8636788030208852E-2</v>
      </c>
      <c r="F39" s="205">
        <f t="shared" si="8"/>
        <v>9.8636788030208855</v>
      </c>
      <c r="G39" s="205">
        <f t="shared" si="9"/>
        <v>100.90543415490366</v>
      </c>
      <c r="H39" s="205"/>
      <c r="I39" s="208">
        <f t="shared" si="10"/>
        <v>6464.1619035597369</v>
      </c>
    </row>
    <row r="40" spans="3:9">
      <c r="C40" s="197" t="s">
        <v>817</v>
      </c>
      <c r="D40" s="197">
        <f>0.18*2^-8</f>
        <v>7.0312499999999997E-4</v>
      </c>
      <c r="E40" s="202">
        <f t="shared" si="7"/>
        <v>9.9051121015625007E-2</v>
      </c>
      <c r="F40" s="205">
        <f t="shared" si="8"/>
        <v>9.9051121015625014</v>
      </c>
      <c r="G40" s="205">
        <f t="shared" si="9"/>
        <v>101.32929679898439</v>
      </c>
      <c r="H40" s="205"/>
      <c r="I40" s="208">
        <f t="shared" si="10"/>
        <v>6491.3152157589848</v>
      </c>
    </row>
    <row r="41" spans="3:9">
      <c r="C41" s="197" t="s">
        <v>850</v>
      </c>
      <c r="D41" s="197">
        <f>0.18*2^-7.9</f>
        <v>7.5359071584583123E-4</v>
      </c>
      <c r="E41" s="202">
        <f t="shared" si="7"/>
        <v>9.9495192114047476E-2</v>
      </c>
      <c r="F41" s="205">
        <f t="shared" si="8"/>
        <v>9.9495192114047484</v>
      </c>
      <c r="G41" s="205">
        <f t="shared" si="9"/>
        <v>101.78358153267057</v>
      </c>
      <c r="H41" s="205"/>
      <c r="I41" s="208">
        <f t="shared" si="10"/>
        <v>6520.4174151941015</v>
      </c>
    </row>
    <row r="42" spans="3:9">
      <c r="C42" s="197" t="s">
        <v>851</v>
      </c>
      <c r="D42" s="197">
        <f>0.18*2^-7.8</f>
        <v>8.0767853085729024E-4</v>
      </c>
      <c r="E42" s="202">
        <f t="shared" si="7"/>
        <v>9.9971135732816019E-2</v>
      </c>
      <c r="F42" s="205">
        <f t="shared" si="8"/>
        <v>9.9971135732816023</v>
      </c>
      <c r="G42" s="205">
        <f t="shared" si="9"/>
        <v>102.27047185467079</v>
      </c>
      <c r="H42" s="205"/>
      <c r="I42" s="208">
        <f t="shared" si="10"/>
        <v>6551.608380250098</v>
      </c>
    </row>
    <row r="43" spans="3:9">
      <c r="C43" s="197" t="s">
        <v>852</v>
      </c>
      <c r="D43" s="197">
        <f>0.18*2^-7.7</f>
        <v>8.6564841563314444E-4</v>
      </c>
      <c r="E43" s="202">
        <f>8.799461*D43+0.092864</f>
        <v>0.10048123947307565</v>
      </c>
      <c r="F43" s="205">
        <f t="shared" ref="F43" si="11">E43*100</f>
        <v>10.048123947307564</v>
      </c>
      <c r="G43" s="205">
        <f t="shared" ref="G43" si="12">E43*1023</f>
        <v>102.79230798095639</v>
      </c>
      <c r="H43" s="205"/>
      <c r="I43" s="208">
        <f t="shared" ref="I43" si="13">E43*(2^16-1)</f>
        <v>6585.0380288680126</v>
      </c>
    </row>
    <row r="44" spans="3:9">
      <c r="C44" s="197" t="s">
        <v>853</v>
      </c>
      <c r="D44" s="197">
        <f>0.18*2^-7.6</f>
        <v>9.2777899976219152E-4</v>
      </c>
      <c r="E44" s="202">
        <f t="shared" ref="E44:E107" si="14">0.245281*LOG10(5.555556*D44+0.064829)+0.384316</f>
        <v>0.10101511860104018</v>
      </c>
      <c r="F44" s="202">
        <f t="shared" ref="F44:F107" si="15">E44*100</f>
        <v>10.101511860104019</v>
      </c>
      <c r="G44" s="202">
        <f t="shared" ref="G44" si="16">E44*1023</f>
        <v>103.3384663288641</v>
      </c>
      <c r="H44" s="202"/>
      <c r="I44" s="202">
        <f t="shared" ref="I44" si="17">E44*(2^16-1)</f>
        <v>6620.025797519168</v>
      </c>
    </row>
    <row r="45" spans="3:9">
      <c r="C45" s="197" t="s">
        <v>854</v>
      </c>
      <c r="D45" s="197">
        <f>0.18*2^-7.5</f>
        <v>9.9436891104358262E-4</v>
      </c>
      <c r="E45" s="202">
        <f t="shared" si="14"/>
        <v>0.10157674076095702</v>
      </c>
      <c r="F45" s="202">
        <f t="shared" si="15"/>
        <v>10.157674076095702</v>
      </c>
      <c r="G45" s="202">
        <f t="shared" ref="G45:G108" si="18">E45*1023</f>
        <v>103.91300579845903</v>
      </c>
      <c r="H45" s="202"/>
      <c r="I45" s="202">
        <f t="shared" ref="I45:I108" si="19">E45*(2^16-1)</f>
        <v>6656.8317057693184</v>
      </c>
    </row>
    <row r="46" spans="3:9">
      <c r="C46" s="197" t="s">
        <v>855</v>
      </c>
      <c r="D46" s="197">
        <f>0.18*2^-7.4</f>
        <v>1.0657382108276239E-3</v>
      </c>
      <c r="E46" s="202">
        <f t="shared" si="14"/>
        <v>0.1021754031185077</v>
      </c>
      <c r="F46" s="202">
        <f t="shared" si="15"/>
        <v>10.217540311850771</v>
      </c>
      <c r="G46" s="202">
        <f t="shared" si="18"/>
        <v>104.52543739023338</v>
      </c>
      <c r="H46" s="202"/>
      <c r="I46" s="202">
        <f t="shared" si="19"/>
        <v>6696.0650433714027</v>
      </c>
    </row>
    <row r="47" spans="3:9">
      <c r="C47" s="197" t="s">
        <v>856</v>
      </c>
      <c r="D47" s="197">
        <f>0.18*2^-7.3</f>
        <v>1.1422299323759564E-3</v>
      </c>
      <c r="E47" s="202">
        <f t="shared" si="14"/>
        <v>0.10281332005647531</v>
      </c>
      <c r="F47" s="202">
        <f t="shared" si="15"/>
        <v>10.281332005647531</v>
      </c>
      <c r="G47" s="202">
        <f t="shared" si="18"/>
        <v>105.17802641777425</v>
      </c>
      <c r="H47" s="202"/>
      <c r="I47" s="202">
        <f t="shared" si="19"/>
        <v>6737.8709299011098</v>
      </c>
    </row>
    <row r="48" spans="3:9">
      <c r="C48" s="197" t="s">
        <v>857</v>
      </c>
      <c r="D48" s="197">
        <f>0.18*2^-7.2</f>
        <v>1.224211729635175E-3</v>
      </c>
      <c r="E48" s="202">
        <f t="shared" si="14"/>
        <v>0.10349280767153335</v>
      </c>
      <c r="F48" s="202">
        <f t="shared" si="15"/>
        <v>10.349280767153335</v>
      </c>
      <c r="G48" s="202">
        <f t="shared" si="18"/>
        <v>105.87314224797862</v>
      </c>
      <c r="H48" s="202"/>
      <c r="I48" s="202">
        <f t="shared" si="19"/>
        <v>6782.4011507539381</v>
      </c>
    </row>
    <row r="49" spans="3:9">
      <c r="C49" s="197" t="s">
        <v>858</v>
      </c>
      <c r="D49" s="197">
        <f>0.18*2^-7.1</f>
        <v>1.3120776443486357E-3</v>
      </c>
      <c r="E49" s="202">
        <f t="shared" si="14"/>
        <v>0.10421628434688479</v>
      </c>
      <c r="F49" s="202">
        <f t="shared" si="15"/>
        <v>10.421628434688479</v>
      </c>
      <c r="G49" s="202">
        <f t="shared" si="18"/>
        <v>106.61325888686314</v>
      </c>
      <c r="H49" s="202"/>
      <c r="I49" s="202">
        <f t="shared" si="19"/>
        <v>6829.8141946730948</v>
      </c>
    </row>
    <row r="50" spans="3:9">
      <c r="C50" s="197" t="s">
        <v>819</v>
      </c>
      <c r="D50" s="197">
        <f>0.18*2^-6</f>
        <v>2.8124999999999999E-3</v>
      </c>
      <c r="E50" s="202">
        <f t="shared" si="14"/>
        <v>0.11586763262647537</v>
      </c>
      <c r="F50" s="202">
        <f t="shared" si="15"/>
        <v>11.586763262647537</v>
      </c>
      <c r="G50" s="202">
        <f t="shared" si="18"/>
        <v>118.5325881768843</v>
      </c>
      <c r="H50" s="202"/>
      <c r="I50" s="202">
        <f t="shared" si="19"/>
        <v>7593.3853041760631</v>
      </c>
    </row>
    <row r="51" spans="3:9">
      <c r="C51" s="197" t="s">
        <v>859</v>
      </c>
      <c r="D51" s="197">
        <f>0.18*2^-5.9</f>
        <v>3.0143628633833232E-3</v>
      </c>
      <c r="E51" s="202">
        <f t="shared" si="14"/>
        <v>0.1173422356384477</v>
      </c>
      <c r="F51" s="202">
        <f t="shared" si="15"/>
        <v>11.73422356384477</v>
      </c>
      <c r="G51" s="202">
        <f t="shared" si="18"/>
        <v>120.041107058132</v>
      </c>
      <c r="H51" s="202"/>
      <c r="I51" s="202">
        <f t="shared" si="19"/>
        <v>7690.0234125656698</v>
      </c>
    </row>
    <row r="52" spans="3:9">
      <c r="C52" s="197" t="s">
        <v>860</v>
      </c>
      <c r="D52" s="197">
        <f>0.18*2^-5.8</f>
        <v>3.2307141234291623E-3</v>
      </c>
      <c r="E52" s="202">
        <f t="shared" si="14"/>
        <v>0.11890033665526994</v>
      </c>
      <c r="F52" s="202">
        <f t="shared" si="15"/>
        <v>11.890033665526994</v>
      </c>
      <c r="G52" s="202">
        <f t="shared" si="18"/>
        <v>121.63504439834115</v>
      </c>
      <c r="H52" s="202"/>
      <c r="I52" s="202">
        <f t="shared" si="19"/>
        <v>7792.1335627031158</v>
      </c>
    </row>
    <row r="53" spans="3:9">
      <c r="C53" s="197" t="s">
        <v>861</v>
      </c>
      <c r="D53" s="197">
        <f>0.18*2^-5.7</f>
        <v>3.4625936625325765E-3</v>
      </c>
      <c r="E53" s="202">
        <f t="shared" si="14"/>
        <v>0.12054534722625448</v>
      </c>
      <c r="F53" s="202">
        <f t="shared" si="15"/>
        <v>12.054534722625448</v>
      </c>
      <c r="G53" s="202">
        <f t="shared" si="18"/>
        <v>123.31789021245834</v>
      </c>
      <c r="H53" s="202"/>
      <c r="I53" s="202">
        <f t="shared" si="19"/>
        <v>7899.9393304725872</v>
      </c>
    </row>
    <row r="54" spans="3:9">
      <c r="C54" s="197" t="s">
        <v>862</v>
      </c>
      <c r="D54" s="197">
        <f>0.18*2^-5.6</f>
        <v>3.7111159990487661E-3</v>
      </c>
      <c r="E54" s="202">
        <f t="shared" si="14"/>
        <v>0.12228067080564636</v>
      </c>
      <c r="F54" s="202">
        <f t="shared" si="15"/>
        <v>12.228067080564637</v>
      </c>
      <c r="G54" s="202">
        <f t="shared" si="18"/>
        <v>125.09312623417622</v>
      </c>
      <c r="H54" s="202"/>
      <c r="I54" s="202">
        <f t="shared" si="19"/>
        <v>8013.6637612480345</v>
      </c>
    </row>
    <row r="55" spans="3:9">
      <c r="C55" s="197" t="s">
        <v>863</v>
      </c>
      <c r="D55" s="197">
        <f>0.18*2^-5.5</f>
        <v>3.9774756441743296E-3</v>
      </c>
      <c r="E55" s="202">
        <f t="shared" si="14"/>
        <v>0.12410968514127163</v>
      </c>
      <c r="F55" s="202">
        <f t="shared" si="15"/>
        <v>12.410968514127163</v>
      </c>
      <c r="G55" s="202">
        <f t="shared" si="18"/>
        <v>126.96420789952087</v>
      </c>
      <c r="H55" s="202"/>
      <c r="I55" s="202">
        <f t="shared" si="19"/>
        <v>8133.5282157332367</v>
      </c>
    </row>
    <row r="56" spans="3:9">
      <c r="C56" s="197" t="s">
        <v>864</v>
      </c>
      <c r="D56" s="197">
        <f>0.18*2^-5.4</f>
        <v>4.2629528433104948E-3</v>
      </c>
      <c r="E56" s="202">
        <f t="shared" si="14"/>
        <v>0.12603572351009829</v>
      </c>
      <c r="F56" s="202">
        <f t="shared" si="15"/>
        <v>12.603572351009829</v>
      </c>
      <c r="G56" s="202">
        <f t="shared" si="18"/>
        <v>128.93454515083056</v>
      </c>
      <c r="H56" s="202"/>
      <c r="I56" s="202">
        <f t="shared" si="19"/>
        <v>8259.7511402342916</v>
      </c>
    </row>
    <row r="57" spans="3:9">
      <c r="C57" s="197" t="s">
        <v>865</v>
      </c>
      <c r="D57" s="197">
        <f>0.18*2^-5.3</f>
        <v>4.5689197295038265E-3</v>
      </c>
      <c r="E57" s="202">
        <f t="shared" si="14"/>
        <v>0.12806205494508588</v>
      </c>
      <c r="F57" s="202">
        <f t="shared" si="15"/>
        <v>12.806205494508587</v>
      </c>
      <c r="G57" s="202">
        <f t="shared" si="18"/>
        <v>131.00748220882286</v>
      </c>
      <c r="H57" s="202"/>
      <c r="I57" s="202">
        <f t="shared" si="19"/>
        <v>8392.5467708262022</v>
      </c>
    </row>
    <row r="58" spans="3:9">
      <c r="C58" s="197" t="s">
        <v>866</v>
      </c>
      <c r="D58" s="197">
        <f>0.18*2^-5.2</f>
        <v>4.8968469185406982E-3</v>
      </c>
      <c r="E58" s="202">
        <f t="shared" si="14"/>
        <v>0.13019186363178975</v>
      </c>
      <c r="F58" s="202">
        <f t="shared" si="15"/>
        <v>13.019186363178974</v>
      </c>
      <c r="G58" s="202">
        <f t="shared" si="18"/>
        <v>133.18627649532093</v>
      </c>
      <c r="H58" s="202"/>
      <c r="I58" s="202">
        <f t="shared" si="19"/>
        <v>8532.1237831093422</v>
      </c>
    </row>
    <row r="59" spans="3:9">
      <c r="C59" s="197" t="s">
        <v>867</v>
      </c>
      <c r="D59" s="197">
        <f>0.18*2^-5.1</f>
        <v>5.2483105773945436E-3</v>
      </c>
      <c r="E59" s="202">
        <f t="shared" si="14"/>
        <v>0.13242822768671314</v>
      </c>
      <c r="F59" s="202">
        <f t="shared" si="15"/>
        <v>13.242822768671314</v>
      </c>
      <c r="G59" s="202">
        <f t="shared" si="18"/>
        <v>135.47407692350754</v>
      </c>
      <c r="H59" s="202"/>
      <c r="I59" s="202">
        <f t="shared" si="19"/>
        <v>8678.683901448745</v>
      </c>
    </row>
    <row r="60" spans="3:9">
      <c r="C60" s="197" t="s">
        <v>820</v>
      </c>
      <c r="D60" s="197">
        <f>0.18*2^-5</f>
        <v>5.6249999999999998E-3</v>
      </c>
      <c r="E60" s="202">
        <f t="shared" si="14"/>
        <v>0.1347740975611737</v>
      </c>
      <c r="F60" s="202">
        <f t="shared" si="15"/>
        <v>13.477409756117369</v>
      </c>
      <c r="G60" s="202">
        <f t="shared" si="18"/>
        <v>137.87390180508069</v>
      </c>
      <c r="H60" s="202"/>
      <c r="I60" s="202">
        <f t="shared" si="19"/>
        <v>8832.420483671518</v>
      </c>
    </row>
    <row r="61" spans="3:9">
      <c r="C61" s="197" t="s">
        <v>868</v>
      </c>
      <c r="D61" s="197">
        <f>0.18*2^-4.9</f>
        <v>6.028725726766649E-3</v>
      </c>
      <c r="E61" s="202">
        <f t="shared" si="14"/>
        <v>0.13723227434320981</v>
      </c>
      <c r="F61" s="202">
        <f t="shared" si="15"/>
        <v>13.723227434320981</v>
      </c>
      <c r="G61" s="202">
        <f t="shared" si="18"/>
        <v>140.38861665310364</v>
      </c>
      <c r="H61" s="202"/>
      <c r="I61" s="202">
        <f t="shared" si="19"/>
        <v>8993.5170990822553</v>
      </c>
    </row>
    <row r="62" spans="3:9">
      <c r="C62" s="197" t="s">
        <v>869</v>
      </c>
      <c r="D62" s="197">
        <f>0.18*2^-4.8</f>
        <v>6.4614282468583219E-3</v>
      </c>
      <c r="E62" s="202">
        <f t="shared" si="14"/>
        <v>0.13980538825446956</v>
      </c>
      <c r="F62" s="202">
        <f t="shared" si="15"/>
        <v>13.980538825446956</v>
      </c>
      <c r="G62" s="202">
        <f t="shared" si="18"/>
        <v>143.02091218432236</v>
      </c>
      <c r="H62" s="202"/>
      <c r="I62" s="202">
        <f t="shared" si="19"/>
        <v>9162.1461192566621</v>
      </c>
    </row>
    <row r="63" spans="3:9">
      <c r="C63" s="197" t="s">
        <v>870</v>
      </c>
      <c r="D63" s="197">
        <f>0.18*2^-4.7</f>
        <v>6.9251873250651538E-3</v>
      </c>
      <c r="E63" s="202">
        <f t="shared" si="14"/>
        <v>0.14249587765782307</v>
      </c>
      <c r="F63" s="202">
        <f t="shared" si="15"/>
        <v>14.249587765782307</v>
      </c>
      <c r="G63" s="202">
        <f t="shared" si="18"/>
        <v>145.77328284395298</v>
      </c>
      <c r="H63" s="202"/>
      <c r="I63" s="202">
        <f t="shared" si="19"/>
        <v>9338.4673423054355</v>
      </c>
    </row>
    <row r="64" spans="3:9">
      <c r="C64" s="197" t="s">
        <v>871</v>
      </c>
      <c r="D64" s="197">
        <f>0.18*2^-4.6</f>
        <v>7.4222319980975331E-3</v>
      </c>
      <c r="E64" s="202">
        <f t="shared" si="14"/>
        <v>0.1453059689034101</v>
      </c>
      <c r="F64" s="202">
        <f t="shared" si="15"/>
        <v>14.530596890341011</v>
      </c>
      <c r="G64" s="202">
        <f t="shared" si="18"/>
        <v>148.64800618818853</v>
      </c>
      <c r="H64" s="202"/>
      <c r="I64" s="202">
        <f t="shared" si="19"/>
        <v>9522.6266720849817</v>
      </c>
    </row>
    <row r="65" spans="3:9">
      <c r="C65" s="197" t="s">
        <v>872</v>
      </c>
      <c r="D65" s="197">
        <f>0.18*2^-4.5</f>
        <v>7.9549512883486592E-3</v>
      </c>
      <c r="E65" s="202">
        <f t="shared" si="14"/>
        <v>0.14823765734495697</v>
      </c>
      <c r="F65" s="202">
        <f t="shared" si="15"/>
        <v>14.823765734495698</v>
      </c>
      <c r="G65" s="202">
        <f t="shared" si="18"/>
        <v>151.64712346389098</v>
      </c>
      <c r="H65" s="202"/>
      <c r="I65" s="202">
        <f t="shared" si="19"/>
        <v>9714.7548741017545</v>
      </c>
    </row>
    <row r="66" spans="3:9">
      <c r="C66" s="197" t="s">
        <v>873</v>
      </c>
      <c r="D66" s="197">
        <f>0.18*2^-4.4</f>
        <v>8.5259056866209895E-3</v>
      </c>
      <c r="E66" s="202">
        <f t="shared" si="14"/>
        <v>0.15129268985367519</v>
      </c>
      <c r="F66" s="202">
        <f t="shared" si="15"/>
        <v>15.129268985367519</v>
      </c>
      <c r="G66" s="202">
        <f t="shared" si="18"/>
        <v>154.77242172030972</v>
      </c>
      <c r="H66" s="202"/>
      <c r="I66" s="202">
        <f t="shared" si="19"/>
        <v>9914.9664295606035</v>
      </c>
    </row>
    <row r="67" spans="3:9">
      <c r="C67" s="197" t="s">
        <v>874</v>
      </c>
      <c r="D67" s="197">
        <f>0.18*2^-4.3</f>
        <v>9.1378394590076479E-3</v>
      </c>
      <c r="E67" s="202">
        <f t="shared" si="14"/>
        <v>0.15447254914340713</v>
      </c>
      <c r="F67" s="202">
        <f t="shared" si="15"/>
        <v>15.447254914340714</v>
      </c>
      <c r="G67" s="202">
        <f t="shared" si="18"/>
        <v>158.0254177737055</v>
      </c>
      <c r="H67" s="202"/>
      <c r="I67" s="202">
        <f t="shared" si="19"/>
        <v>10123.358508113186</v>
      </c>
    </row>
    <row r="68" spans="3:9">
      <c r="C68" s="197" t="s">
        <v>875</v>
      </c>
      <c r="D68" s="197">
        <f>0.18*2^-4.2</f>
        <v>9.7936938370813981E-3</v>
      </c>
      <c r="E68" s="202">
        <f t="shared" si="14"/>
        <v>0.15777844019779058</v>
      </c>
      <c r="F68" s="202">
        <f t="shared" si="15"/>
        <v>15.777844019779058</v>
      </c>
      <c r="G68" s="202">
        <f t="shared" si="18"/>
        <v>161.40734432233975</v>
      </c>
      <c r="H68" s="202"/>
      <c r="I68" s="202">
        <f t="shared" si="19"/>
        <v>10340.010078362206</v>
      </c>
    </row>
    <row r="69" spans="3:9">
      <c r="C69" s="197" t="s">
        <v>876</v>
      </c>
      <c r="D69" s="197">
        <f>0.18*2^-4.1</f>
        <v>1.0496621154789087E-2</v>
      </c>
      <c r="E69" s="202">
        <f t="shared" si="14"/>
        <v>0.16121127905834312</v>
      </c>
      <c r="F69" s="202">
        <f t="shared" si="15"/>
        <v>16.121127905834314</v>
      </c>
      <c r="G69" s="202">
        <f t="shared" si="18"/>
        <v>164.91913847668502</v>
      </c>
      <c r="H69" s="202"/>
      <c r="I69" s="202">
        <f t="shared" si="19"/>
        <v>10564.981173088516</v>
      </c>
    </row>
    <row r="70" spans="3:9">
      <c r="C70" s="197" t="s">
        <v>821</v>
      </c>
      <c r="D70" s="197">
        <f>0.18*2^-4</f>
        <v>1.125E-2</v>
      </c>
      <c r="E70" s="202">
        <f t="shared" si="14"/>
        <v>0.16477168419220301</v>
      </c>
      <c r="F70" s="202">
        <f t="shared" si="15"/>
        <v>16.477168419220302</v>
      </c>
      <c r="G70" s="202">
        <f t="shared" si="18"/>
        <v>168.56143292862367</v>
      </c>
      <c r="H70" s="202"/>
      <c r="I70" s="202">
        <f t="shared" si="19"/>
        <v>10798.312323536024</v>
      </c>
    </row>
    <row r="71" spans="3:9">
      <c r="C71" s="197" t="s">
        <v>877</v>
      </c>
      <c r="D71" s="197">
        <f>0.18*2^-3.9</f>
        <v>1.20574514535333E-2</v>
      </c>
      <c r="E71" s="202">
        <f t="shared" si="14"/>
        <v>0.16845997061088316</v>
      </c>
      <c r="F71" s="202">
        <f t="shared" si="15"/>
        <v>16.845997061088315</v>
      </c>
      <c r="G71" s="202">
        <f t="shared" si="18"/>
        <v>172.33454993493348</v>
      </c>
      <c r="H71" s="202"/>
      <c r="I71" s="202">
        <f t="shared" si="19"/>
        <v>11040.024173984228</v>
      </c>
    </row>
    <row r="72" spans="3:9">
      <c r="C72" s="197" t="s">
        <v>878</v>
      </c>
      <c r="D72" s="197">
        <f>0.18*2^-3.8</f>
        <v>1.2922856493716644E-2</v>
      </c>
      <c r="E72" s="202">
        <f t="shared" si="14"/>
        <v>0.17227614685823239</v>
      </c>
      <c r="F72" s="202">
        <f t="shared" si="15"/>
        <v>17.227614685823241</v>
      </c>
      <c r="G72" s="202">
        <f t="shared" si="18"/>
        <v>176.23849823597175</v>
      </c>
      <c r="H72" s="202"/>
      <c r="I72" s="202">
        <f t="shared" si="19"/>
        <v>11290.117284354259</v>
      </c>
    </row>
    <row r="73" spans="3:9">
      <c r="C73" s="197" t="s">
        <v>879</v>
      </c>
      <c r="D73" s="197">
        <f>0.18*2^-3.7</f>
        <v>1.3850374650130308E-2</v>
      </c>
      <c r="E73" s="202">
        <f t="shared" si="14"/>
        <v>0.17621991492858707</v>
      </c>
      <c r="F73" s="202">
        <f t="shared" si="15"/>
        <v>17.621991492858708</v>
      </c>
      <c r="G73" s="202">
        <f t="shared" si="18"/>
        <v>180.27297297194457</v>
      </c>
      <c r="H73" s="202"/>
      <c r="I73" s="202">
        <f t="shared" si="19"/>
        <v>11548.572124844954</v>
      </c>
    </row>
    <row r="74" spans="3:9">
      <c r="C74" s="197" t="s">
        <v>880</v>
      </c>
      <c r="D74" s="197">
        <f>0.18*2^-3.6</f>
        <v>1.4844463996195061E-2</v>
      </c>
      <c r="E74" s="202">
        <f t="shared" si="14"/>
        <v>0.18029067311677452</v>
      </c>
      <c r="F74" s="202">
        <f t="shared" si="15"/>
        <v>18.029067311677451</v>
      </c>
      <c r="G74" s="202">
        <f t="shared" si="18"/>
        <v>184.43735859846032</v>
      </c>
      <c r="H74" s="202"/>
      <c r="I74" s="202">
        <f t="shared" si="19"/>
        <v>11815.349262707818</v>
      </c>
    </row>
    <row r="75" spans="3:9">
      <c r="C75" s="197" t="s">
        <v>881</v>
      </c>
      <c r="D75" s="197">
        <f>0.18*2^-3.5</f>
        <v>1.5909902576697318E-2</v>
      </c>
      <c r="E75" s="202">
        <f t="shared" si="14"/>
        <v>0.18448752174225</v>
      </c>
      <c r="F75" s="202">
        <f t="shared" si="15"/>
        <v>18.448752174225</v>
      </c>
      <c r="G75" s="202">
        <f t="shared" si="18"/>
        <v>188.73073474232174</v>
      </c>
      <c r="H75" s="202"/>
      <c r="I75" s="202">
        <f t="shared" si="19"/>
        <v>12090.389737378353</v>
      </c>
    </row>
    <row r="76" spans="3:9">
      <c r="C76" s="197" t="s">
        <v>882</v>
      </c>
      <c r="D76" s="197">
        <f>0.18*2^-3.4</f>
        <v>1.7051811373241983E-2</v>
      </c>
      <c r="E76" s="202">
        <f t="shared" si="14"/>
        <v>0.18880927163226852</v>
      </c>
      <c r="F76" s="202">
        <f t="shared" si="15"/>
        <v>18.88092716322685</v>
      </c>
      <c r="G76" s="202">
        <f t="shared" si="18"/>
        <v>193.15188487981069</v>
      </c>
      <c r="H76" s="202"/>
      <c r="I76" s="202">
        <f t="shared" si="19"/>
        <v>12373.615616420717</v>
      </c>
    </row>
    <row r="77" spans="3:9">
      <c r="C77" s="197" t="s">
        <v>883</v>
      </c>
      <c r="D77" s="197">
        <f>0.18*2^-3.3</f>
        <v>1.8275678918015303E-2</v>
      </c>
      <c r="E77" s="202">
        <f t="shared" si="14"/>
        <v>0.19325445519555676</v>
      </c>
      <c r="F77" s="202">
        <f t="shared" si="15"/>
        <v>19.325445519555675</v>
      </c>
      <c r="G77" s="202">
        <f t="shared" si="18"/>
        <v>197.69930766505456</v>
      </c>
      <c r="H77" s="202"/>
      <c r="I77" s="202">
        <f t="shared" si="19"/>
        <v>12664.930721240811</v>
      </c>
    </row>
    <row r="78" spans="3:9">
      <c r="C78" s="197" t="s">
        <v>884</v>
      </c>
      <c r="D78" s="197">
        <f>0.18*2^-3.2</f>
        <v>1.9587387674162796E-2</v>
      </c>
      <c r="E78" s="202">
        <f t="shared" si="14"/>
        <v>0.19782133987020736</v>
      </c>
      <c r="F78" s="202">
        <f t="shared" si="15"/>
        <v>19.782133987020735</v>
      </c>
      <c r="G78" s="202">
        <f t="shared" si="18"/>
        <v>202.37123068722212</v>
      </c>
      <c r="H78" s="202"/>
      <c r="I78" s="202">
        <f t="shared" si="19"/>
        <v>12964.221508394039</v>
      </c>
    </row>
    <row r="79" spans="3:9">
      <c r="C79" s="197" t="s">
        <v>885</v>
      </c>
      <c r="D79" s="197">
        <f>0.18*2^-3.1</f>
        <v>2.0993242309578171E-2</v>
      </c>
      <c r="E79" s="202">
        <f t="shared" si="14"/>
        <v>0.20250794368892078</v>
      </c>
      <c r="F79" s="202">
        <f t="shared" si="15"/>
        <v>20.250794368892077</v>
      </c>
      <c r="G79" s="202">
        <f t="shared" si="18"/>
        <v>207.16562639376596</v>
      </c>
      <c r="H79" s="202"/>
      <c r="I79" s="202">
        <f t="shared" si="19"/>
        <v>13271.358089653424</v>
      </c>
    </row>
    <row r="80" spans="3:9">
      <c r="C80" s="197" t="s">
        <v>822</v>
      </c>
      <c r="D80" s="197">
        <f>0.18*2^-3</f>
        <v>2.2499999999999999E-2</v>
      </c>
      <c r="E80" s="202">
        <f t="shared" si="14"/>
        <v>0.2073120526723653</v>
      </c>
      <c r="F80" s="202">
        <f t="shared" si="15"/>
        <v>20.731205267236529</v>
      </c>
      <c r="G80" s="202">
        <f t="shared" si="18"/>
        <v>212.0802298838297</v>
      </c>
      <c r="H80" s="202"/>
      <c r="I80" s="202">
        <f t="shared" si="19"/>
        <v>13586.195371883459</v>
      </c>
    </row>
    <row r="81" spans="3:9">
      <c r="C81" s="197" t="s">
        <v>886</v>
      </c>
      <c r="D81" s="197">
        <f>0.18*2^-2.9</f>
        <v>2.4114902907066599E-2</v>
      </c>
      <c r="E81" s="202">
        <f t="shared" si="14"/>
        <v>0.21223123973802205</v>
      </c>
      <c r="F81" s="202">
        <f t="shared" si="15"/>
        <v>21.223123973802206</v>
      </c>
      <c r="G81" s="202">
        <f t="shared" si="18"/>
        <v>217.11255825199655</v>
      </c>
      <c r="H81" s="202"/>
      <c r="I81" s="202">
        <f t="shared" si="19"/>
        <v>13908.574296231274</v>
      </c>
    </row>
    <row r="82" spans="3:9">
      <c r="C82" s="197" t="s">
        <v>887</v>
      </c>
      <c r="D82" s="197">
        <f>0.18*2^-2.8</f>
        <v>2.5845712987433288E-2</v>
      </c>
      <c r="E82" s="202">
        <f t="shared" si="14"/>
        <v>0.21726288479771869</v>
      </c>
      <c r="F82" s="202">
        <f t="shared" si="15"/>
        <v>21.726288479771867</v>
      </c>
      <c r="G82" s="202">
        <f t="shared" si="18"/>
        <v>222.25993114806622</v>
      </c>
      <c r="H82" s="202"/>
      <c r="I82" s="202">
        <f t="shared" si="19"/>
        <v>14238.323155218493</v>
      </c>
    </row>
    <row r="83" spans="3:9">
      <c r="C83" s="197" t="s">
        <v>888</v>
      </c>
      <c r="D83" s="197">
        <f>0.18*2^-2.7</f>
        <v>2.7700749300260612E-2</v>
      </c>
      <c r="E83" s="202">
        <f t="shared" si="14"/>
        <v>0.22240419571203762</v>
      </c>
      <c r="F83" s="202">
        <f t="shared" si="15"/>
        <v>22.240419571203763</v>
      </c>
      <c r="G83" s="202">
        <f t="shared" si="18"/>
        <v>227.51949221341448</v>
      </c>
      <c r="H83" s="202"/>
      <c r="I83" s="202">
        <f t="shared" si="19"/>
        <v>14575.258965988385</v>
      </c>
    </row>
    <row r="84" spans="3:9">
      <c r="C84" s="197" t="s">
        <v>889</v>
      </c>
      <c r="D84" s="197">
        <f>0.18*2^-2.6</f>
        <v>2.9688927992390122E-2</v>
      </c>
      <c r="E84" s="202">
        <f t="shared" si="14"/>
        <v>0.22765222977344143</v>
      </c>
      <c r="F84" s="202">
        <f t="shared" si="15"/>
        <v>22.765222977344145</v>
      </c>
      <c r="G84" s="202">
        <f t="shared" si="18"/>
        <v>232.88823105823059</v>
      </c>
      <c r="H84" s="202"/>
      <c r="I84" s="202">
        <f t="shared" si="19"/>
        <v>14919.188878202483</v>
      </c>
    </row>
    <row r="85" spans="3:9">
      <c r="C85" s="197" t="s">
        <v>890</v>
      </c>
      <c r="D85" s="197">
        <f>0.18*2^-2.5</f>
        <v>3.1819805153394637E-2</v>
      </c>
      <c r="E85" s="202">
        <f t="shared" si="14"/>
        <v>0.2330039154015191</v>
      </c>
      <c r="F85" s="202">
        <f t="shared" si="15"/>
        <v>23.30039154015191</v>
      </c>
      <c r="G85" s="202">
        <f t="shared" si="18"/>
        <v>238.36300545575403</v>
      </c>
      <c r="H85" s="202"/>
      <c r="I85" s="202">
        <f t="shared" si="19"/>
        <v>15269.911595838554</v>
      </c>
    </row>
    <row r="86" spans="3:9">
      <c r="C86" s="197" t="s">
        <v>891</v>
      </c>
      <c r="D86" s="197">
        <f>0.18*2^-2.4</f>
        <v>3.4103622746483958E-2</v>
      </c>
      <c r="E86" s="202">
        <f t="shared" si="14"/>
        <v>0.23845607375220459</v>
      </c>
      <c r="F86" s="202">
        <f t="shared" si="15"/>
        <v>23.84560737522046</v>
      </c>
      <c r="G86" s="202">
        <f t="shared" si="18"/>
        <v>243.94056344850529</v>
      </c>
      <c r="H86" s="202"/>
      <c r="I86" s="202">
        <f t="shared" si="19"/>
        <v>15627.218793350728</v>
      </c>
    </row>
    <row r="87" spans="3:9">
      <c r="C87" s="197" t="s">
        <v>892</v>
      </c>
      <c r="D87" s="197">
        <f>0.18*2^-2.3</f>
        <v>3.6551357836030605E-2</v>
      </c>
      <c r="E87" s="202">
        <f t="shared" si="14"/>
        <v>0.24400543996695734</v>
      </c>
      <c r="F87" s="202">
        <f t="shared" si="15"/>
        <v>24.400543996695735</v>
      </c>
      <c r="G87" s="202">
        <f t="shared" si="18"/>
        <v>249.61756508619735</v>
      </c>
      <c r="H87" s="202"/>
      <c r="I87" s="202">
        <f t="shared" si="19"/>
        <v>15990.896508234549</v>
      </c>
    </row>
    <row r="88" spans="3:9">
      <c r="C88" s="197" t="s">
        <v>893</v>
      </c>
      <c r="D88" s="197">
        <f>0.18*2^-2.2</f>
        <v>3.9174775348325593E-2</v>
      </c>
      <c r="E88" s="202">
        <f t="shared" si="14"/>
        <v>0.24964868381644537</v>
      </c>
      <c r="F88" s="202">
        <f t="shared" si="15"/>
        <v>24.964868381644536</v>
      </c>
      <c r="G88" s="202">
        <f t="shared" si="18"/>
        <v>255.39060354422361</v>
      </c>
      <c r="H88" s="202"/>
      <c r="I88" s="202">
        <f t="shared" si="19"/>
        <v>16360.726493910746</v>
      </c>
    </row>
    <row r="89" spans="3:9">
      <c r="C89" s="197" t="s">
        <v>894</v>
      </c>
      <c r="D89" s="197">
        <f>0.18*2^-2.1</f>
        <v>4.1986484619156335E-2</v>
      </c>
      <c r="E89" s="202">
        <f t="shared" si="14"/>
        <v>0.25538242952491241</v>
      </c>
      <c r="F89" s="202">
        <f t="shared" si="15"/>
        <v>25.538242952491242</v>
      </c>
      <c r="G89" s="202">
        <f t="shared" si="18"/>
        <v>261.25622540398541</v>
      </c>
      <c r="H89" s="202"/>
      <c r="I89" s="202">
        <f t="shared" si="19"/>
        <v>16736.487518915135</v>
      </c>
    </row>
    <row r="90" spans="3:9">
      <c r="C90" s="197" t="s">
        <v>823</v>
      </c>
      <c r="D90" s="197">
        <f>0.18*2^-2</f>
        <v>4.4999999999999998E-2</v>
      </c>
      <c r="E90" s="202">
        <f t="shared" si="14"/>
        <v>0.26120327459487108</v>
      </c>
      <c r="F90" s="202">
        <f t="shared" si="15"/>
        <v>26.120327459487108</v>
      </c>
      <c r="G90" s="202">
        <f t="shared" si="18"/>
        <v>267.2109499105531</v>
      </c>
      <c r="H90" s="202"/>
      <c r="I90" s="202">
        <f t="shared" si="19"/>
        <v>17117.956600574875</v>
      </c>
    </row>
    <row r="91" spans="3:9">
      <c r="C91" s="197" t="s">
        <v>895</v>
      </c>
      <c r="D91" s="197">
        <f>0.18*2^1.9</f>
        <v>0.67178375390650136</v>
      </c>
      <c r="E91" s="202">
        <f t="shared" si="14"/>
        <v>0.52644068238979391</v>
      </c>
      <c r="F91" s="202">
        <f t="shared" si="15"/>
        <v>52.644068238979393</v>
      </c>
      <c r="G91" s="202">
        <f t="shared" si="18"/>
        <v>538.5488180847592</v>
      </c>
      <c r="H91" s="202"/>
      <c r="I91" s="202">
        <f t="shared" si="19"/>
        <v>34500.290120415142</v>
      </c>
    </row>
    <row r="92" spans="3:9">
      <c r="C92" s="197" t="s">
        <v>896</v>
      </c>
      <c r="D92" s="197">
        <f>0.18*2^-1.8</f>
        <v>5.1691425974866576E-2</v>
      </c>
      <c r="E92" s="202">
        <f t="shared" si="14"/>
        <v>0.2730926240346096</v>
      </c>
      <c r="F92" s="202">
        <f t="shared" si="15"/>
        <v>27.309262403460959</v>
      </c>
      <c r="G92" s="202">
        <f t="shared" si="18"/>
        <v>279.3737543874056</v>
      </c>
      <c r="H92" s="202"/>
      <c r="I92" s="202">
        <f t="shared" si="19"/>
        <v>17897.125116108142</v>
      </c>
    </row>
    <row r="93" spans="3:9">
      <c r="C93" s="197" t="s">
        <v>897</v>
      </c>
      <c r="D93" s="197">
        <f>0.18*2^-1.7</f>
        <v>5.540149860052123E-2</v>
      </c>
      <c r="E93" s="202">
        <f t="shared" si="14"/>
        <v>0.27915434253647375</v>
      </c>
      <c r="F93" s="202">
        <f t="shared" si="15"/>
        <v>27.915434253647376</v>
      </c>
      <c r="G93" s="202">
        <f t="shared" si="18"/>
        <v>285.57489241481267</v>
      </c>
      <c r="H93" s="202"/>
      <c r="I93" s="202">
        <f t="shared" si="19"/>
        <v>18294.379838127807</v>
      </c>
    </row>
    <row r="94" spans="3:9">
      <c r="C94" s="197" t="s">
        <v>898</v>
      </c>
      <c r="D94" s="197">
        <f>0.18*2^-1.6</f>
        <v>5.9377855984780244E-2</v>
      </c>
      <c r="E94" s="202">
        <f t="shared" si="14"/>
        <v>0.28528961743788883</v>
      </c>
      <c r="F94" s="202">
        <f t="shared" si="15"/>
        <v>28.528961743788884</v>
      </c>
      <c r="G94" s="202">
        <f t="shared" si="18"/>
        <v>291.85127863896025</v>
      </c>
      <c r="H94" s="202"/>
      <c r="I94" s="202">
        <f t="shared" si="19"/>
        <v>18696.455078792045</v>
      </c>
    </row>
    <row r="95" spans="3:9">
      <c r="C95" s="197" t="s">
        <v>899</v>
      </c>
      <c r="D95" s="197">
        <f>0.18*2^-1.5</f>
        <v>6.3639610306789274E-2</v>
      </c>
      <c r="E95" s="202">
        <f t="shared" si="14"/>
        <v>0.29149515161772854</v>
      </c>
      <c r="F95" s="202">
        <f t="shared" si="15"/>
        <v>29.149515161772854</v>
      </c>
      <c r="G95" s="202">
        <f t="shared" si="18"/>
        <v>298.19954010493632</v>
      </c>
      <c r="H95" s="202"/>
      <c r="I95" s="202">
        <f t="shared" si="19"/>
        <v>19103.13476126784</v>
      </c>
    </row>
    <row r="96" spans="3:9">
      <c r="C96" s="197" t="s">
        <v>900</v>
      </c>
      <c r="D96" s="197">
        <f>0.18*2^-1.4</f>
        <v>6.8207245492967916E-2</v>
      </c>
      <c r="E96" s="202">
        <f t="shared" si="14"/>
        <v>0.29776770725971513</v>
      </c>
      <c r="F96" s="202">
        <f t="shared" si="15"/>
        <v>29.776770725971513</v>
      </c>
      <c r="G96" s="202">
        <f t="shared" si="18"/>
        <v>304.61636452668859</v>
      </c>
      <c r="H96" s="202"/>
      <c r="I96" s="202">
        <f t="shared" si="19"/>
        <v>19514.206695265431</v>
      </c>
    </row>
    <row r="97" spans="3:9">
      <c r="C97" s="197" t="s">
        <v>901</v>
      </c>
      <c r="D97" s="197">
        <f>0.18*2^-1.3</f>
        <v>7.3102715672061183E-2</v>
      </c>
      <c r="E97" s="202">
        <f t="shared" si="14"/>
        <v>0.3041041153396587</v>
      </c>
      <c r="F97" s="202">
        <f t="shared" si="15"/>
        <v>30.41041153396587</v>
      </c>
      <c r="G97" s="202">
        <f t="shared" si="18"/>
        <v>311.09850999247084</v>
      </c>
      <c r="H97" s="202"/>
      <c r="I97" s="202">
        <f t="shared" si="19"/>
        <v>19929.463198784531</v>
      </c>
    </row>
    <row r="98" spans="3:9">
      <c r="C98" s="197" t="s">
        <v>902</v>
      </c>
      <c r="D98" s="197">
        <f>0.18*2^-1.2</f>
        <v>7.8349550696651171E-2</v>
      </c>
      <c r="E98" s="202">
        <f t="shared" si="14"/>
        <v>0.31050128376936609</v>
      </c>
      <c r="F98" s="202">
        <f t="shared" si="15"/>
        <v>31.050128376936609</v>
      </c>
      <c r="G98" s="202">
        <f t="shared" si="18"/>
        <v>317.64281329606149</v>
      </c>
      <c r="H98" s="202"/>
      <c r="I98" s="202">
        <f t="shared" si="19"/>
        <v>20348.701631825406</v>
      </c>
    </row>
    <row r="99" spans="3:9">
      <c r="C99" s="197" t="s">
        <v>903</v>
      </c>
      <c r="D99" s="197">
        <f>0.18*2^-1.1</f>
        <v>8.397296923831267E-2</v>
      </c>
      <c r="E99" s="202">
        <f t="shared" si="14"/>
        <v>0.31695620425390536</v>
      </c>
      <c r="F99" s="202">
        <f t="shared" si="15"/>
        <v>31.695620425390537</v>
      </c>
      <c r="G99" s="202">
        <f t="shared" si="18"/>
        <v>324.24619695174516</v>
      </c>
      <c r="H99" s="202"/>
      <c r="I99" s="202">
        <f t="shared" si="19"/>
        <v>20771.724845779689</v>
      </c>
    </row>
    <row r="100" spans="3:9">
      <c r="C100" s="197" t="s">
        <v>824</v>
      </c>
      <c r="D100" s="197">
        <f>0.18*2^-1</f>
        <v>0.09</v>
      </c>
      <c r="E100" s="202">
        <f t="shared" si="14"/>
        <v>0.32346595793061217</v>
      </c>
      <c r="F100" s="202">
        <f t="shared" si="15"/>
        <v>32.346595793061219</v>
      </c>
      <c r="G100" s="202">
        <f t="shared" si="18"/>
        <v>330.90567496301622</v>
      </c>
      <c r="H100" s="202"/>
      <c r="I100" s="202">
        <f t="shared" si="19"/>
        <v>21198.341552982667</v>
      </c>
    </row>
    <row r="101" spans="3:9">
      <c r="C101" s="197" t="s">
        <v>904</v>
      </c>
      <c r="D101" s="197">
        <f>0.18*2^-0.9</f>
        <v>9.6459611628266384E-2</v>
      </c>
      <c r="E101" s="202">
        <f t="shared" si="14"/>
        <v>0.33002771986696844</v>
      </c>
      <c r="F101" s="202">
        <f t="shared" si="15"/>
        <v>33.002771986696843</v>
      </c>
      <c r="G101" s="202">
        <f t="shared" si="18"/>
        <v>337.61835742390872</v>
      </c>
      <c r="H101" s="202"/>
      <c r="I101" s="202">
        <f t="shared" si="19"/>
        <v>21628.366621481775</v>
      </c>
    </row>
    <row r="102" spans="3:9">
      <c r="C102" s="197" t="s">
        <v>905</v>
      </c>
      <c r="D102" s="197">
        <f>0.18*2^-0.8</f>
        <v>0.10338285194973315</v>
      </c>
      <c r="E102" s="202">
        <f t="shared" si="14"/>
        <v>0.33663876250054992</v>
      </c>
      <c r="F102" s="202">
        <f t="shared" si="15"/>
        <v>33.66387625005499</v>
      </c>
      <c r="G102" s="202">
        <f t="shared" si="18"/>
        <v>344.38145403806254</v>
      </c>
      <c r="H102" s="202"/>
      <c r="I102" s="202">
        <f t="shared" si="19"/>
        <v>22061.62130047354</v>
      </c>
    </row>
    <row r="103" spans="3:9">
      <c r="C103" s="197" t="s">
        <v>906</v>
      </c>
      <c r="D103" s="197">
        <f>0.18*2^-0.7</f>
        <v>0.11080299720104246</v>
      </c>
      <c r="E103" s="202">
        <f t="shared" si="14"/>
        <v>0.34329645810790016</v>
      </c>
      <c r="F103" s="202">
        <f t="shared" si="15"/>
        <v>34.329645810790019</v>
      </c>
      <c r="G103" s="202">
        <f t="shared" si="18"/>
        <v>351.19227664438188</v>
      </c>
      <c r="H103" s="202"/>
      <c r="I103" s="202">
        <f t="shared" si="19"/>
        <v>22497.933382101237</v>
      </c>
    </row>
    <row r="104" spans="3:9">
      <c r="C104" s="197" t="s">
        <v>907</v>
      </c>
      <c r="D104" s="197">
        <f>0.18*2^-0.6</f>
        <v>0.11875571196956049</v>
      </c>
      <c r="E104" s="202">
        <f t="shared" si="14"/>
        <v>0.34999828039076364</v>
      </c>
      <c r="F104" s="202">
        <f t="shared" si="15"/>
        <v>34.999828039076363</v>
      </c>
      <c r="G104" s="202">
        <f t="shared" si="18"/>
        <v>358.0482408397512</v>
      </c>
      <c r="H104" s="202"/>
      <c r="I104" s="202">
        <f t="shared" si="19"/>
        <v>22937.137305408694</v>
      </c>
    </row>
    <row r="105" spans="3:9">
      <c r="C105" s="197" t="s">
        <v>825</v>
      </c>
      <c r="D105" s="197">
        <f>0.18*2^-0.5</f>
        <v>0.12727922061357855</v>
      </c>
      <c r="E105" s="202">
        <f t="shared" si="14"/>
        <v>0.356741805267901</v>
      </c>
      <c r="F105" s="202">
        <f t="shared" si="15"/>
        <v>35.674180526790103</v>
      </c>
      <c r="G105" s="202">
        <f t="shared" si="18"/>
        <v>364.94686678906271</v>
      </c>
      <c r="H105" s="202"/>
      <c r="I105" s="202">
        <f t="shared" si="19"/>
        <v>23379.074208231894</v>
      </c>
    </row>
    <row r="106" spans="3:9">
      <c r="C106" s="197" t="s">
        <v>908</v>
      </c>
      <c r="D106" s="197">
        <f>0.18*2^-0.4</f>
        <v>0.13641449098593583</v>
      </c>
      <c r="E106" s="202">
        <f t="shared" si="14"/>
        <v>0.36352471095902655</v>
      </c>
      <c r="F106" s="202">
        <f t="shared" si="15"/>
        <v>36.352471095902658</v>
      </c>
      <c r="G106" s="202">
        <f t="shared" si="18"/>
        <v>371.88577931108415</v>
      </c>
      <c r="H106" s="202"/>
      <c r="I106" s="202">
        <f t="shared" si="19"/>
        <v>23823.591932699805</v>
      </c>
    </row>
    <row r="107" spans="3:9">
      <c r="C107" s="197" t="s">
        <v>909</v>
      </c>
      <c r="D107" s="197">
        <f>0.18*2^-0.3</f>
        <v>0.14620543134412237</v>
      </c>
      <c r="E107" s="202">
        <f t="shared" si="14"/>
        <v>0.37034477744452798</v>
      </c>
      <c r="F107" s="202">
        <f t="shared" si="15"/>
        <v>37.034477744452801</v>
      </c>
      <c r="G107" s="202">
        <f t="shared" si="18"/>
        <v>378.86270732575213</v>
      </c>
      <c r="H107" s="202"/>
      <c r="I107" s="202">
        <f t="shared" si="19"/>
        <v>24270.54498982714</v>
      </c>
    </row>
    <row r="108" spans="3:9">
      <c r="C108" s="197" t="s">
        <v>910</v>
      </c>
      <c r="D108" s="197">
        <f>0.18*2^-0.2</f>
        <v>0.15669910139330234</v>
      </c>
      <c r="E108" s="202">
        <f t="shared" ref="E108:E171" si="20">0.245281*LOG10(5.555556*D108+0.064829)+0.384316</f>
        <v>0.37719988538082633</v>
      </c>
      <c r="F108" s="202">
        <f t="shared" ref="F108:F171" si="21">E108*100</f>
        <v>37.719988538082632</v>
      </c>
      <c r="G108" s="202">
        <f t="shared" si="18"/>
        <v>385.87548274458533</v>
      </c>
      <c r="H108" s="202"/>
      <c r="I108" s="202">
        <f t="shared" si="19"/>
        <v>24719.794488432453</v>
      </c>
    </row>
    <row r="109" spans="3:9">
      <c r="C109" s="197" t="s">
        <v>826</v>
      </c>
      <c r="D109" s="197">
        <f>0.18*2^-0.1</f>
        <v>0.16794593847662534</v>
      </c>
      <c r="E109" s="202">
        <f t="shared" si="20"/>
        <v>0.38408801454673819</v>
      </c>
      <c r="F109" s="202">
        <f t="shared" si="21"/>
        <v>38.408801454673821</v>
      </c>
      <c r="G109" s="202">
        <f t="shared" ref="G109:G172" si="22">E109*1023</f>
        <v>392.92203888131314</v>
      </c>
      <c r="H109" s="202"/>
      <c r="I109" s="202">
        <f t="shared" ref="I109:I172" si="23">E109*(2^16-1)</f>
        <v>25171.208033320487</v>
      </c>
    </row>
    <row r="110" spans="3:9">
      <c r="C110" s="197" t="s">
        <v>827</v>
      </c>
      <c r="D110" s="197">
        <f>0.18*2^0</f>
        <v>0.18</v>
      </c>
      <c r="E110" s="202">
        <f t="shared" si="20"/>
        <v>0.39100724189123004</v>
      </c>
      <c r="F110" s="202">
        <f t="shared" si="21"/>
        <v>39.100724189123007</v>
      </c>
      <c r="G110" s="202">
        <f t="shared" si="22"/>
        <v>400.00040845472836</v>
      </c>
      <c r="H110" s="202"/>
      <c r="I110" s="202">
        <f t="shared" si="23"/>
        <v>25624.659597341761</v>
      </c>
    </row>
    <row r="111" spans="3:9">
      <c r="C111" s="197" t="s">
        <v>911</v>
      </c>
      <c r="D111" s="197">
        <f>0.18*2^0.1</f>
        <v>0.19291922325653277</v>
      </c>
      <c r="E111" s="202">
        <f t="shared" si="20"/>
        <v>0.39795573924768446</v>
      </c>
      <c r="F111" s="202">
        <f t="shared" si="21"/>
        <v>39.795573924768448</v>
      </c>
      <c r="G111" s="202">
        <f t="shared" si="22"/>
        <v>407.10872125038122</v>
      </c>
      <c r="H111" s="202"/>
      <c r="I111" s="202">
        <f t="shared" si="23"/>
        <v>26080.029371597</v>
      </c>
    </row>
    <row r="112" spans="3:9">
      <c r="C112" s="197" t="s">
        <v>828</v>
      </c>
      <c r="D112" s="197">
        <f>0.18*2^0.2</f>
        <v>0.2067657038994663</v>
      </c>
      <c r="E112" s="202">
        <f t="shared" si="20"/>
        <v>0.40493177077438386</v>
      </c>
      <c r="F112" s="202">
        <f t="shared" si="21"/>
        <v>40.493177077438389</v>
      </c>
      <c r="G112" s="202">
        <f t="shared" si="22"/>
        <v>414.24520150219467</v>
      </c>
      <c r="H112" s="202"/>
      <c r="I112" s="202">
        <f t="shared" si="23"/>
        <v>26537.203597699245</v>
      </c>
    </row>
    <row r="113" spans="3:9">
      <c r="C113" s="197" t="s">
        <v>912</v>
      </c>
      <c r="D113" s="197">
        <f>0.18*2^0.3</f>
        <v>0.22160599440208492</v>
      </c>
      <c r="E113" s="202">
        <f t="shared" si="20"/>
        <v>0.41193369017548948</v>
      </c>
      <c r="F113" s="202">
        <f t="shared" si="21"/>
        <v>41.193369017548946</v>
      </c>
      <c r="G113" s="202">
        <f t="shared" si="22"/>
        <v>421.40816504952573</v>
      </c>
      <c r="H113" s="202"/>
      <c r="I113" s="202">
        <f t="shared" si="23"/>
        <v>26996.074385650703</v>
      </c>
    </row>
    <row r="114" spans="3:9">
      <c r="C114" s="197" t="s">
        <v>913</v>
      </c>
      <c r="D114" s="197">
        <f>0.18*2^0.4</f>
        <v>0.23751142393912095</v>
      </c>
      <c r="E114" s="202">
        <f t="shared" si="20"/>
        <v>0.41895993775145091</v>
      </c>
      <c r="F114" s="202">
        <f t="shared" si="21"/>
        <v>41.895993775145094</v>
      </c>
      <c r="G114" s="202">
        <f t="shared" si="22"/>
        <v>428.5960163197343</v>
      </c>
      <c r="H114" s="202"/>
      <c r="I114" s="202">
        <f t="shared" si="23"/>
        <v>27456.539520541333</v>
      </c>
    </row>
    <row r="115" spans="3:9">
      <c r="C115" s="197" t="s">
        <v>829</v>
      </c>
      <c r="D115" s="197">
        <f>0.18*2^0.5</f>
        <v>0.2545584412271571</v>
      </c>
      <c r="E115" s="202">
        <f t="shared" si="20"/>
        <v>0.42600903732260864</v>
      </c>
      <c r="F115" s="202">
        <f t="shared" si="21"/>
        <v>42.600903732260861</v>
      </c>
      <c r="G115" s="202">
        <f t="shared" si="22"/>
        <v>435.80724518102863</v>
      </c>
      <c r="H115" s="202"/>
      <c r="I115" s="202">
        <f t="shared" si="23"/>
        <v>27918.502260937159</v>
      </c>
    </row>
    <row r="116" spans="3:9">
      <c r="C116" s="197" t="s">
        <v>914</v>
      </c>
      <c r="D116" s="197">
        <f>0.18*2^0.6</f>
        <v>0.27282898197187161</v>
      </c>
      <c r="E116" s="202">
        <f t="shared" si="20"/>
        <v>0.43307959306480964</v>
      </c>
      <c r="F116" s="202">
        <f t="shared" si="21"/>
        <v>43.307959306480967</v>
      </c>
      <c r="G116" s="202">
        <f t="shared" si="22"/>
        <v>443.04042370530027</v>
      </c>
      <c r="H116" s="202"/>
      <c r="I116" s="202">
        <f t="shared" si="23"/>
        <v>28381.871131502299</v>
      </c>
    </row>
    <row r="117" spans="3:9">
      <c r="C117" s="197" t="s">
        <v>915</v>
      </c>
      <c r="D117" s="197">
        <f>0.18*2^0.7</f>
        <v>0.29241086268824473</v>
      </c>
      <c r="E117" s="202">
        <f t="shared" si="20"/>
        <v>0.4401702862911841</v>
      </c>
      <c r="F117" s="202">
        <f t="shared" si="21"/>
        <v>44.017028629118407</v>
      </c>
      <c r="G117" s="202">
        <f t="shared" si="22"/>
        <v>450.29420287588135</v>
      </c>
      <c r="H117" s="202"/>
      <c r="I117" s="202">
        <f t="shared" si="23"/>
        <v>28846.559712092749</v>
      </c>
    </row>
    <row r="118" spans="3:9">
      <c r="C118" s="197" t="s">
        <v>916</v>
      </c>
      <c r="D118" s="197">
        <f>0.18*2^0.8</f>
        <v>0.31339820278660468</v>
      </c>
      <c r="E118" s="202">
        <f t="shared" si="20"/>
        <v>0.44727987220987014</v>
      </c>
      <c r="F118" s="202">
        <f t="shared" si="21"/>
        <v>44.727987220987018</v>
      </c>
      <c r="G118" s="202">
        <f t="shared" si="22"/>
        <v>457.56730927069714</v>
      </c>
      <c r="H118" s="202"/>
      <c r="I118" s="202">
        <f t="shared" si="23"/>
        <v>29312.486425273841</v>
      </c>
    </row>
    <row r="119" spans="3:9">
      <c r="C119" s="197" t="s">
        <v>917</v>
      </c>
      <c r="D119" s="197">
        <f>0.18*2^0.9</f>
        <v>0.33589187695325068</v>
      </c>
      <c r="E119" s="202">
        <f t="shared" si="20"/>
        <v>0.45440717668342545</v>
      </c>
      <c r="F119" s="202">
        <f t="shared" si="21"/>
        <v>45.440717668342543</v>
      </c>
      <c r="G119" s="202">
        <f t="shared" si="22"/>
        <v>464.85854174714422</v>
      </c>
      <c r="H119" s="202"/>
      <c r="I119" s="202">
        <f t="shared" si="23"/>
        <v>29779.574323948287</v>
      </c>
    </row>
    <row r="120" spans="3:9">
      <c r="C120" s="197" t="s">
        <v>830</v>
      </c>
      <c r="D120" s="197">
        <f>0.18*2^1</f>
        <v>0.36</v>
      </c>
      <c r="E120" s="202">
        <f t="shared" si="20"/>
        <v>0.46155109301195352</v>
      </c>
      <c r="F120" s="202">
        <f t="shared" si="21"/>
        <v>46.155109301195353</v>
      </c>
      <c r="G120" s="202">
        <f t="shared" si="22"/>
        <v>472.16676815122844</v>
      </c>
      <c r="H120" s="202"/>
      <c r="I120" s="202">
        <f t="shared" si="23"/>
        <v>30247.750880538373</v>
      </c>
    </row>
    <row r="121" spans="3:9">
      <c r="C121" s="197" t="s">
        <v>918</v>
      </c>
      <c r="D121" s="197">
        <f>0.18*2^1.1</f>
        <v>0.38583844651306554</v>
      </c>
      <c r="E121" s="202">
        <f t="shared" si="20"/>
        <v>0.46871057875858441</v>
      </c>
      <c r="F121" s="202">
        <f t="shared" si="21"/>
        <v>46.87105787585844</v>
      </c>
      <c r="G121" s="202">
        <f t="shared" si="22"/>
        <v>479.49092207003184</v>
      </c>
      <c r="H121" s="202"/>
      <c r="I121" s="202">
        <f t="shared" si="23"/>
        <v>30716.947778943828</v>
      </c>
    </row>
    <row r="122" spans="3:9">
      <c r="C122" s="197" t="s">
        <v>919</v>
      </c>
      <c r="D122" s="197">
        <f>0.18*2^1.2</f>
        <v>0.4135314077989326</v>
      </c>
      <c r="E122" s="202">
        <f t="shared" si="20"/>
        <v>0.47588465263288809</v>
      </c>
      <c r="F122" s="202">
        <f t="shared" si="21"/>
        <v>47.588465263288811</v>
      </c>
      <c r="G122" s="202">
        <f t="shared" si="22"/>
        <v>486.82999964344452</v>
      </c>
      <c r="H122" s="202"/>
      <c r="I122" s="202">
        <f t="shared" si="23"/>
        <v>31187.100710296319</v>
      </c>
    </row>
    <row r="123" spans="3:9">
      <c r="C123" s="197" t="s">
        <v>920</v>
      </c>
      <c r="D123" s="197">
        <f>0.18*2^1.3</f>
        <v>0.44321198880416984</v>
      </c>
      <c r="E123" s="202">
        <f t="shared" si="20"/>
        <v>0.48307239144504482</v>
      </c>
      <c r="F123" s="202">
        <f t="shared" si="21"/>
        <v>48.307239144504486</v>
      </c>
      <c r="G123" s="202">
        <f t="shared" si="22"/>
        <v>494.18305644828087</v>
      </c>
      <c r="H123" s="202"/>
      <c r="I123" s="202">
        <f t="shared" si="23"/>
        <v>31658.149173351012</v>
      </c>
    </row>
    <row r="124" spans="3:9">
      <c r="C124" s="197" t="s">
        <v>921</v>
      </c>
      <c r="D124" s="197">
        <f>0.18*2^1.4</f>
        <v>0.47502284787824189</v>
      </c>
      <c r="E124" s="202">
        <f t="shared" si="20"/>
        <v>0.49027292714114079</v>
      </c>
      <c r="F124" s="202">
        <f t="shared" si="21"/>
        <v>49.027292714114083</v>
      </c>
      <c r="G124" s="202">
        <f t="shared" si="22"/>
        <v>501.54920446538705</v>
      </c>
      <c r="H124" s="202"/>
      <c r="I124" s="202">
        <f t="shared" si="23"/>
        <v>32130.036280194661</v>
      </c>
    </row>
    <row r="125" spans="3:9">
      <c r="C125" s="197" t="s">
        <v>922</v>
      </c>
      <c r="D125" s="197">
        <f>0.18*2^1.5</f>
        <v>0.50911688245431419</v>
      </c>
      <c r="E125" s="202">
        <f t="shared" si="20"/>
        <v>0.4974854439277791</v>
      </c>
      <c r="F125" s="202">
        <f t="shared" si="21"/>
        <v>49.748544392777909</v>
      </c>
      <c r="G125" s="202">
        <f t="shared" si="22"/>
        <v>508.92760913811804</v>
      </c>
      <c r="H125" s="202"/>
      <c r="I125" s="202">
        <f t="shared" si="23"/>
        <v>32602.708567807003</v>
      </c>
    </row>
    <row r="126" spans="3:9">
      <c r="C126" s="197" t="s">
        <v>923</v>
      </c>
      <c r="D126" s="197">
        <f>0.18*2^1.6</f>
        <v>0.54565796394374322</v>
      </c>
      <c r="E126" s="202">
        <f t="shared" si="20"/>
        <v>0.50470917549227723</v>
      </c>
      <c r="F126" s="202">
        <f t="shared" si="21"/>
        <v>50.470917549227721</v>
      </c>
      <c r="G126" s="202">
        <f t="shared" si="22"/>
        <v>516.3174865285996</v>
      </c>
      <c r="H126" s="202"/>
      <c r="I126" s="202">
        <f t="shared" si="23"/>
        <v>33076.115815886391</v>
      </c>
    </row>
    <row r="127" spans="3:9">
      <c r="C127" s="197" t="s">
        <v>924</v>
      </c>
      <c r="D127" s="197">
        <f>0.18*2^1.7</f>
        <v>0.58482172537648947</v>
      </c>
      <c r="E127" s="202">
        <f t="shared" si="20"/>
        <v>0.51194340232304336</v>
      </c>
      <c r="F127" s="202">
        <f t="shared" si="21"/>
        <v>51.194340232304334</v>
      </c>
      <c r="G127" s="202">
        <f t="shared" si="22"/>
        <v>523.71810057647338</v>
      </c>
      <c r="H127" s="202"/>
      <c r="I127" s="202">
        <f t="shared" si="23"/>
        <v>33550.210871240648</v>
      </c>
    </row>
    <row r="128" spans="3:9">
      <c r="C128" s="197" t="s">
        <v>925</v>
      </c>
      <c r="D128" s="197">
        <f>0.18*2^1.8</f>
        <v>0.62679640557320937</v>
      </c>
      <c r="E128" s="202">
        <f t="shared" si="20"/>
        <v>0.51918744913326642</v>
      </c>
      <c r="F128" s="202">
        <f t="shared" si="21"/>
        <v>51.918744913326641</v>
      </c>
      <c r="G128" s="202">
        <f t="shared" si="22"/>
        <v>531.12876046333156</v>
      </c>
      <c r="H128" s="202"/>
      <c r="I128" s="202">
        <f t="shared" si="23"/>
        <v>34024.949478948613</v>
      </c>
    </row>
    <row r="129" spans="3:9">
      <c r="C129" s="197" t="s">
        <v>895</v>
      </c>
      <c r="D129" s="197">
        <f>0.18*2^1.9</f>
        <v>0.67178375390650136</v>
      </c>
      <c r="E129" s="202">
        <f t="shared" si="20"/>
        <v>0.52644068238979391</v>
      </c>
      <c r="F129" s="202">
        <f t="shared" si="21"/>
        <v>52.644068238979393</v>
      </c>
      <c r="G129" s="202">
        <f t="shared" si="22"/>
        <v>538.5488180847592</v>
      </c>
      <c r="H129" s="202"/>
      <c r="I129" s="202">
        <f t="shared" si="23"/>
        <v>34500.290120415142</v>
      </c>
    </row>
    <row r="130" spans="3:9">
      <c r="C130" s="197" t="s">
        <v>831</v>
      </c>
      <c r="D130" s="197">
        <f>0.18*2^2</f>
        <v>0.72</v>
      </c>
      <c r="E130" s="202">
        <f t="shared" si="20"/>
        <v>0.53370250794799801</v>
      </c>
      <c r="F130" s="202">
        <f t="shared" si="21"/>
        <v>53.370250794799801</v>
      </c>
      <c r="G130" s="202">
        <f t="shared" si="22"/>
        <v>545.97766563080199</v>
      </c>
      <c r="H130" s="202"/>
      <c r="I130" s="202">
        <f t="shared" si="23"/>
        <v>34976.193858372048</v>
      </c>
    </row>
    <row r="131" spans="3:9">
      <c r="C131" s="197" t="s">
        <v>926</v>
      </c>
      <c r="D131" s="197">
        <f>0.18*2^2.1</f>
        <v>0.77167689302613107</v>
      </c>
      <c r="E131" s="202">
        <f t="shared" si="20"/>
        <v>0.5409723687925132</v>
      </c>
      <c r="F131" s="202">
        <f t="shared" si="21"/>
        <v>54.097236879251319</v>
      </c>
      <c r="G131" s="202">
        <f t="shared" si="22"/>
        <v>553.41473327474102</v>
      </c>
      <c r="H131" s="202"/>
      <c r="I131" s="202">
        <f t="shared" si="23"/>
        <v>35452.624188817354</v>
      </c>
    </row>
    <row r="132" spans="3:9">
      <c r="C132" s="197" t="s">
        <v>927</v>
      </c>
      <c r="D132" s="197">
        <f>0.18*2^2.2</f>
        <v>0.8270628155978651</v>
      </c>
      <c r="E132" s="202">
        <f t="shared" si="20"/>
        <v>0.54824974288296235</v>
      </c>
      <c r="F132" s="202">
        <f t="shared" si="21"/>
        <v>54.824974288296232</v>
      </c>
      <c r="G132" s="202">
        <f t="shared" si="22"/>
        <v>560.85948696927051</v>
      </c>
      <c r="H132" s="202"/>
      <c r="I132" s="202">
        <f t="shared" si="23"/>
        <v>35929.546899834939</v>
      </c>
    </row>
    <row r="133" spans="3:9">
      <c r="C133" s="197" t="s">
        <v>928</v>
      </c>
      <c r="D133" s="197">
        <f>0.18*2^2.3</f>
        <v>0.88642397760833957</v>
      </c>
      <c r="E133" s="202">
        <f t="shared" si="20"/>
        <v>0.55553414110314847</v>
      </c>
      <c r="F133" s="202">
        <f t="shared" si="21"/>
        <v>55.553414110314847</v>
      </c>
      <c r="G133" s="202">
        <f t="shared" si="22"/>
        <v>568.31142634852085</v>
      </c>
      <c r="H133" s="202"/>
      <c r="I133" s="202">
        <f t="shared" si="23"/>
        <v>36406.929937194836</v>
      </c>
    </row>
    <row r="134" spans="3:9">
      <c r="C134" s="197" t="s">
        <v>929</v>
      </c>
      <c r="D134" s="197">
        <f>0.18*2^2.4</f>
        <v>0.95004569575648379</v>
      </c>
      <c r="E134" s="202">
        <f t="shared" si="20"/>
        <v>0.5628251053116673</v>
      </c>
      <c r="F134" s="202">
        <f t="shared" si="21"/>
        <v>56.282510531166729</v>
      </c>
      <c r="G134" s="202">
        <f t="shared" si="22"/>
        <v>575.77008273383569</v>
      </c>
      <c r="H134" s="202"/>
      <c r="I134" s="202">
        <f t="shared" si="23"/>
        <v>36884.743276600115</v>
      </c>
    </row>
    <row r="135" spans="3:9">
      <c r="C135" s="197" t="s">
        <v>930</v>
      </c>
      <c r="D135" s="197">
        <f>0.18*2^2.5</f>
        <v>1.0182337649086284</v>
      </c>
      <c r="E135" s="202">
        <f t="shared" si="20"/>
        <v>0.57012220649146828</v>
      </c>
      <c r="F135" s="202">
        <f t="shared" si="21"/>
        <v>57.012220649146826</v>
      </c>
      <c r="G135" s="202">
        <f t="shared" si="22"/>
        <v>583.23501724077209</v>
      </c>
      <c r="H135" s="202"/>
      <c r="I135" s="202">
        <f t="shared" si="23"/>
        <v>37362.958802418376</v>
      </c>
    </row>
    <row r="136" spans="3:9">
      <c r="C136" s="197" t="s">
        <v>931</v>
      </c>
      <c r="D136" s="197">
        <f>0.18*2^2.6</f>
        <v>1.0913159278874864</v>
      </c>
      <c r="E136" s="202">
        <f t="shared" si="20"/>
        <v>0.57742504299556119</v>
      </c>
      <c r="F136" s="202">
        <f t="shared" si="21"/>
        <v>57.742504299556117</v>
      </c>
      <c r="G136" s="202">
        <f t="shared" si="22"/>
        <v>590.70581898445914</v>
      </c>
      <c r="H136" s="202"/>
      <c r="I136" s="202">
        <f t="shared" si="23"/>
        <v>37841.550192714101</v>
      </c>
    </row>
    <row r="137" spans="3:9">
      <c r="C137" s="197" t="s">
        <v>932</v>
      </c>
      <c r="D137" s="197">
        <f>0.18*2^2.7</f>
        <v>1.1696434507529792</v>
      </c>
      <c r="E137" s="202">
        <f t="shared" si="20"/>
        <v>0.58473323888580497</v>
      </c>
      <c r="F137" s="202">
        <f t="shared" si="21"/>
        <v>58.473323888580495</v>
      </c>
      <c r="G137" s="202">
        <f t="shared" si="22"/>
        <v>598.18210338017843</v>
      </c>
      <c r="H137" s="202"/>
      <c r="I137" s="202">
        <f t="shared" si="23"/>
        <v>38320.492810381227</v>
      </c>
    </row>
    <row r="138" spans="3:9">
      <c r="C138" s="197" t="s">
        <v>933</v>
      </c>
      <c r="D138" s="197">
        <f>0.18*2^2.8</f>
        <v>1.2535928111464185</v>
      </c>
      <c r="E138" s="202">
        <f t="shared" si="20"/>
        <v>0.59204644236152282</v>
      </c>
      <c r="F138" s="202">
        <f t="shared" si="21"/>
        <v>59.204644236152284</v>
      </c>
      <c r="G138" s="202">
        <f t="shared" si="22"/>
        <v>605.66351053583787</v>
      </c>
      <c r="H138" s="202"/>
      <c r="I138" s="202">
        <f t="shared" si="23"/>
        <v>38799.763600162398</v>
      </c>
    </row>
    <row r="139" spans="3:9">
      <c r="C139" s="197" t="s">
        <v>934</v>
      </c>
      <c r="D139" s="197">
        <f>0.18*2^2.9</f>
        <v>1.3435675078130023</v>
      </c>
      <c r="E139" s="202">
        <f t="shared" si="20"/>
        <v>0.59936432427455322</v>
      </c>
      <c r="F139" s="202">
        <f t="shared" si="21"/>
        <v>59.936432427455323</v>
      </c>
      <c r="G139" s="202">
        <f t="shared" si="22"/>
        <v>613.14970373286792</v>
      </c>
      <c r="H139" s="202"/>
      <c r="I139" s="202">
        <f t="shared" si="23"/>
        <v>39279.340991332843</v>
      </c>
    </row>
    <row r="140" spans="3:9">
      <c r="C140" s="197" t="s">
        <v>833</v>
      </c>
      <c r="D140" s="197">
        <f>0.18*2^3</f>
        <v>1.44</v>
      </c>
      <c r="E140" s="202">
        <f t="shared" si="20"/>
        <v>0.60668657672726267</v>
      </c>
      <c r="F140" s="202">
        <f t="shared" si="21"/>
        <v>60.668657672726269</v>
      </c>
      <c r="G140" s="202">
        <f t="shared" si="22"/>
        <v>620.64036799198971</v>
      </c>
      <c r="H140" s="202"/>
      <c r="I140" s="202">
        <f t="shared" si="23"/>
        <v>39759.204805821159</v>
      </c>
    </row>
    <row r="141" spans="3:9">
      <c r="C141" s="197" t="s">
        <v>935</v>
      </c>
      <c r="D141" s="197">
        <f>0.18*2^3.1</f>
        <v>1.5433537860522617</v>
      </c>
      <c r="E141" s="202">
        <f t="shared" si="20"/>
        <v>0.6140129117499975</v>
      </c>
      <c r="F141" s="202">
        <f t="shared" si="21"/>
        <v>61.401291174999749</v>
      </c>
      <c r="G141" s="202">
        <f t="shared" si="22"/>
        <v>628.13520872024742</v>
      </c>
      <c r="H141" s="202"/>
      <c r="I141" s="202">
        <f t="shared" si="23"/>
        <v>40239.336171536088</v>
      </c>
    </row>
    <row r="142" spans="3:9">
      <c r="C142" s="197" t="s">
        <v>936</v>
      </c>
      <c r="D142" s="197">
        <f>0.18*2^3.2</f>
        <v>1.6541256311957302</v>
      </c>
      <c r="E142" s="202">
        <f t="shared" si="20"/>
        <v>0.62134306005444573</v>
      </c>
      <c r="F142" s="202">
        <f t="shared" si="21"/>
        <v>62.134306005444571</v>
      </c>
      <c r="G142" s="202">
        <f t="shared" si="22"/>
        <v>635.63395043569801</v>
      </c>
      <c r="H142" s="202"/>
      <c r="I142" s="202">
        <f t="shared" si="23"/>
        <v>40719.717440668101</v>
      </c>
    </row>
    <row r="143" spans="3:9">
      <c r="C143" s="197" t="s">
        <v>937</v>
      </c>
      <c r="D143" s="197">
        <f>0.18*2^3.3</f>
        <v>1.7728479552166791</v>
      </c>
      <c r="E143" s="202">
        <f t="shared" si="20"/>
        <v>0.62867676985939758</v>
      </c>
      <c r="F143" s="202">
        <f t="shared" si="21"/>
        <v>62.86767698593976</v>
      </c>
      <c r="G143" s="202">
        <f t="shared" si="22"/>
        <v>643.13633556616367</v>
      </c>
      <c r="H143" s="202"/>
      <c r="I143" s="202">
        <f t="shared" si="23"/>
        <v>41200.332112735618</v>
      </c>
    </row>
    <row r="144" spans="3:9">
      <c r="C144" s="197" t="s">
        <v>938</v>
      </c>
      <c r="D144" s="197">
        <f>0.18*2^3.4</f>
        <v>1.9000913915129674</v>
      </c>
      <c r="E144" s="202">
        <f t="shared" si="20"/>
        <v>0.63601380578543809</v>
      </c>
      <c r="F144" s="202">
        <f t="shared" si="21"/>
        <v>63.601380578543811</v>
      </c>
      <c r="G144" s="202">
        <f t="shared" si="22"/>
        <v>650.6421233185032</v>
      </c>
      <c r="H144" s="202"/>
      <c r="I144" s="202">
        <f t="shared" si="23"/>
        <v>41681.164762148685</v>
      </c>
    </row>
    <row r="145" spans="3:9">
      <c r="C145" s="197" t="s">
        <v>939</v>
      </c>
      <c r="D145" s="197">
        <f>0.18*2^3.5</f>
        <v>2.0364675298172568</v>
      </c>
      <c r="E145" s="202">
        <f t="shared" si="20"/>
        <v>0.64335394781516675</v>
      </c>
      <c r="F145" s="202">
        <f t="shared" si="21"/>
        <v>64.335394781516669</v>
      </c>
      <c r="G145" s="202">
        <f t="shared" si="22"/>
        <v>658.15108861491558</v>
      </c>
      <c r="H145" s="202"/>
      <c r="I145" s="202">
        <f t="shared" si="23"/>
        <v>42162.200970066951</v>
      </c>
    </row>
    <row r="146" spans="3:9">
      <c r="C146" s="197" t="s">
        <v>940</v>
      </c>
      <c r="D146" s="197">
        <f>0.18*2^3.6</f>
        <v>2.1826318557749729</v>
      </c>
      <c r="E146" s="202">
        <f t="shared" si="20"/>
        <v>0.65069699031562167</v>
      </c>
      <c r="F146" s="202">
        <f t="shared" si="21"/>
        <v>65.069699031562166</v>
      </c>
      <c r="G146" s="202">
        <f t="shared" si="22"/>
        <v>665.66302109288097</v>
      </c>
      <c r="H146" s="202"/>
      <c r="I146" s="202">
        <f t="shared" si="23"/>
        <v>42643.427260334269</v>
      </c>
    </row>
    <row r="147" spans="3:9">
      <c r="C147" s="197" t="s">
        <v>941</v>
      </c>
      <c r="D147" s="197">
        <f>0.18*2^3.7</f>
        <v>2.3392869015059579</v>
      </c>
      <c r="E147" s="202">
        <f t="shared" si="20"/>
        <v>0.65804274111967131</v>
      </c>
      <c r="F147" s="202">
        <f t="shared" si="21"/>
        <v>65.804274111967132</v>
      </c>
      <c r="G147" s="202">
        <f t="shared" si="22"/>
        <v>673.1777241654238</v>
      </c>
      <c r="H147" s="202"/>
      <c r="I147" s="202">
        <f t="shared" si="23"/>
        <v>43124.831039277662</v>
      </c>
    </row>
    <row r="148" spans="3:9">
      <c r="C148" s="197" t="s">
        <v>942</v>
      </c>
      <c r="D148" s="197">
        <f>0.18*2^3.8</f>
        <v>2.507185622292837</v>
      </c>
      <c r="E148" s="202">
        <f t="shared" si="20"/>
        <v>0.66539102066324662</v>
      </c>
      <c r="F148" s="202">
        <f t="shared" si="21"/>
        <v>66.539102066324659</v>
      </c>
      <c r="G148" s="202">
        <f t="shared" si="22"/>
        <v>680.69501413850128</v>
      </c>
      <c r="H148" s="202"/>
      <c r="I148" s="202">
        <f t="shared" si="23"/>
        <v>43606.400539165865</v>
      </c>
    </row>
    <row r="149" spans="3:9">
      <c r="C149" s="197" t="s">
        <v>943</v>
      </c>
      <c r="D149" s="197">
        <f>0.18*2^3.9</f>
        <v>2.687135015626005</v>
      </c>
      <c r="E149" s="202">
        <f t="shared" si="20"/>
        <v>0.67274166117538514</v>
      </c>
      <c r="F149" s="202">
        <f t="shared" si="21"/>
        <v>67.274166117538513</v>
      </c>
      <c r="G149" s="202">
        <f t="shared" si="22"/>
        <v>688.21471938241905</v>
      </c>
      <c r="H149" s="202"/>
      <c r="I149" s="202">
        <f t="shared" si="23"/>
        <v>44088.124765128865</v>
      </c>
    </row>
    <row r="150" spans="3:9">
      <c r="C150" s="197" t="s">
        <v>834</v>
      </c>
      <c r="D150" s="197">
        <f>0.18*2^4</f>
        <v>2.88</v>
      </c>
      <c r="E150" s="202">
        <f t="shared" si="20"/>
        <v>0.68009450591817999</v>
      </c>
      <c r="F150" s="202">
        <f t="shared" si="21"/>
        <v>68.009450591817995</v>
      </c>
      <c r="G150" s="202">
        <f t="shared" si="22"/>
        <v>695.73667955429812</v>
      </c>
      <c r="H150" s="202"/>
      <c r="I150" s="202">
        <f t="shared" si="23"/>
        <v>44569.993445347929</v>
      </c>
    </row>
    <row r="151" spans="3:9">
      <c r="C151" s="197" t="s">
        <v>944</v>
      </c>
      <c r="D151" s="197">
        <f>0.18*2^4.1</f>
        <v>3.086707572104523</v>
      </c>
      <c r="E151" s="202">
        <f t="shared" si="20"/>
        <v>0.68744940847383984</v>
      </c>
      <c r="F151" s="202">
        <f t="shared" si="21"/>
        <v>68.744940847383987</v>
      </c>
      <c r="G151" s="202">
        <f t="shared" si="22"/>
        <v>703.26074486873813</v>
      </c>
      <c r="H151" s="202"/>
      <c r="I151" s="202">
        <f t="shared" si="23"/>
        <v>45051.996984333091</v>
      </c>
    </row>
    <row r="152" spans="3:9">
      <c r="C152" s="197" t="s">
        <v>945</v>
      </c>
      <c r="D152" s="197">
        <f>0.18*2^4.2</f>
        <v>3.3082512623914604</v>
      </c>
      <c r="E152" s="202">
        <f t="shared" si="20"/>
        <v>0.69480623207618331</v>
      </c>
      <c r="F152" s="202">
        <f t="shared" si="21"/>
        <v>69.480623207618336</v>
      </c>
      <c r="G152" s="202">
        <f t="shared" si="22"/>
        <v>710.78677541393552</v>
      </c>
      <c r="H152" s="202"/>
      <c r="I152" s="202">
        <f t="shared" si="23"/>
        <v>45534.126419112676</v>
      </c>
    </row>
    <row r="153" spans="3:9">
      <c r="C153" s="197" t="s">
        <v>946</v>
      </c>
      <c r="D153" s="197">
        <f>0.18*2^4.3</f>
        <v>3.5456959104333587</v>
      </c>
      <c r="E153" s="202">
        <f t="shared" si="20"/>
        <v>0.70216484898401355</v>
      </c>
      <c r="F153" s="202">
        <f t="shared" si="21"/>
        <v>70.216484898401347</v>
      </c>
      <c r="G153" s="202">
        <f t="shared" si="22"/>
        <v>718.31464051064586</v>
      </c>
      <c r="H153" s="202"/>
      <c r="I153" s="202">
        <f t="shared" si="23"/>
        <v>46016.373378167329</v>
      </c>
    </row>
    <row r="154" spans="3:9">
      <c r="C154" s="197" t="s">
        <v>947</v>
      </c>
      <c r="D154" s="197">
        <f>0.18*2^4.4</f>
        <v>3.8001827830259352</v>
      </c>
      <c r="E154" s="202">
        <f t="shared" si="20"/>
        <v>0.70952513989393395</v>
      </c>
      <c r="F154" s="202">
        <f t="shared" si="21"/>
        <v>70.952513989393395</v>
      </c>
      <c r="G154" s="202">
        <f t="shared" si="22"/>
        <v>725.84421811149446</v>
      </c>
      <c r="H154" s="202"/>
      <c r="I154" s="202">
        <f t="shared" si="23"/>
        <v>46498.730042948962</v>
      </c>
    </row>
    <row r="155" spans="3:9">
      <c r="C155" s="197" t="s">
        <v>948</v>
      </c>
      <c r="D155" s="197">
        <f>0.18*2^4.5</f>
        <v>4.0729350596345135</v>
      </c>
      <c r="E155" s="202">
        <f t="shared" si="20"/>
        <v>0.71688699339028639</v>
      </c>
      <c r="F155" s="202">
        <f t="shared" si="21"/>
        <v>71.688699339028645</v>
      </c>
      <c r="G155" s="202">
        <f t="shared" si="22"/>
        <v>733.37539423826297</v>
      </c>
      <c r="H155" s="202"/>
      <c r="I155" s="202">
        <f t="shared" si="23"/>
        <v>46981.18911183242</v>
      </c>
    </row>
    <row r="156" spans="3:9">
      <c r="C156" s="197" t="s">
        <v>949</v>
      </c>
      <c r="D156" s="197">
        <f>0.18*2^4.6</f>
        <v>4.365263711549944</v>
      </c>
      <c r="E156" s="202">
        <f t="shared" si="20"/>
        <v>0.72425030543000291</v>
      </c>
      <c r="F156" s="202">
        <f t="shared" si="21"/>
        <v>72.42503054300029</v>
      </c>
      <c r="G156" s="202">
        <f t="shared" si="22"/>
        <v>740.90806245489296</v>
      </c>
      <c r="H156" s="202"/>
      <c r="I156" s="202">
        <f t="shared" si="23"/>
        <v>47463.743766355241</v>
      </c>
    </row>
    <row r="157" spans="3:9">
      <c r="C157" s="197" t="s">
        <v>950</v>
      </c>
      <c r="D157" s="197">
        <f>0.18*2^4.7</f>
        <v>4.6785738030119157</v>
      </c>
      <c r="E157" s="202">
        <f t="shared" si="20"/>
        <v>0.73161497886028182</v>
      </c>
      <c r="F157" s="202">
        <f t="shared" si="21"/>
        <v>73.161497886028187</v>
      </c>
      <c r="G157" s="202">
        <f t="shared" si="22"/>
        <v>748.44212337406827</v>
      </c>
      <c r="H157" s="202"/>
      <c r="I157" s="202">
        <f t="shared" si="23"/>
        <v>47946.387639608569</v>
      </c>
    </row>
    <row r="158" spans="3:9">
      <c r="C158" s="197" t="s">
        <v>951</v>
      </c>
      <c r="D158" s="197">
        <f>0.18*2^4.8</f>
        <v>5.014371244585675</v>
      </c>
      <c r="E158" s="202">
        <f t="shared" si="20"/>
        <v>0.7389809229671005</v>
      </c>
      <c r="F158" s="202">
        <f t="shared" si="21"/>
        <v>73.898092296710047</v>
      </c>
      <c r="G158" s="202">
        <f t="shared" si="22"/>
        <v>755.97748419534378</v>
      </c>
      <c r="H158" s="202"/>
      <c r="I158" s="202">
        <f t="shared" si="23"/>
        <v>48429.114786648934</v>
      </c>
    </row>
    <row r="159" spans="3:9">
      <c r="C159" s="197" t="s">
        <v>952</v>
      </c>
      <c r="D159" s="197">
        <f>0.18*2^4.9</f>
        <v>5.3742700312520109</v>
      </c>
      <c r="E159" s="202">
        <f t="shared" si="20"/>
        <v>0.74634805305268825</v>
      </c>
      <c r="F159" s="202">
        <f t="shared" si="21"/>
        <v>74.634805305268827</v>
      </c>
      <c r="G159" s="202">
        <f t="shared" si="22"/>
        <v>763.51405827290012</v>
      </c>
      <c r="H159" s="202"/>
      <c r="I159" s="202">
        <f t="shared" si="23"/>
        <v>48911.919656807928</v>
      </c>
    </row>
    <row r="160" spans="3:9">
      <c r="C160" s="197" t="s">
        <v>835</v>
      </c>
      <c r="D160" s="197">
        <f>0.18*2^5</f>
        <v>5.76</v>
      </c>
      <c r="E160" s="202">
        <f t="shared" si="20"/>
        <v>0.7537162900401827</v>
      </c>
      <c r="F160" s="202">
        <f t="shared" si="21"/>
        <v>75.371629004018274</v>
      </c>
      <c r="G160" s="202">
        <f t="shared" si="22"/>
        <v>771.0517647111069</v>
      </c>
      <c r="H160" s="202"/>
      <c r="I160" s="202">
        <f t="shared" si="23"/>
        <v>49394.797067783373</v>
      </c>
    </row>
    <row r="161" spans="3:9">
      <c r="C161" s="197" t="s">
        <v>953</v>
      </c>
      <c r="D161" s="197">
        <f>0.18*2^5.1</f>
        <v>6.1734151442090459</v>
      </c>
      <c r="E161" s="202">
        <f t="shared" si="20"/>
        <v>0.76108556010379136</v>
      </c>
      <c r="F161" s="202">
        <f t="shared" si="21"/>
        <v>76.108556010379132</v>
      </c>
      <c r="G161" s="202">
        <f t="shared" si="22"/>
        <v>778.59052798617859</v>
      </c>
      <c r="H161" s="202"/>
      <c r="I161" s="202">
        <f t="shared" si="23"/>
        <v>49877.742181401969</v>
      </c>
    </row>
    <row r="162" spans="3:9">
      <c r="C162" s="197" t="s">
        <v>954</v>
      </c>
      <c r="D162" s="197">
        <f>0.18*2^5.2</f>
        <v>6.6165025247829217</v>
      </c>
      <c r="E162" s="202">
        <f t="shared" si="20"/>
        <v>0.76845579432287425</v>
      </c>
      <c r="F162" s="202">
        <f t="shared" si="21"/>
        <v>76.845579432287423</v>
      </c>
      <c r="G162" s="202">
        <f t="shared" si="22"/>
        <v>786.13027759230033</v>
      </c>
      <c r="H162" s="202"/>
      <c r="I162" s="202">
        <f t="shared" si="23"/>
        <v>50360.750480949566</v>
      </c>
    </row>
    <row r="163" spans="3:9">
      <c r="C163" s="197" t="s">
        <v>955</v>
      </c>
      <c r="D163" s="197">
        <f>0.18*2^5.3</f>
        <v>7.0913918208667148</v>
      </c>
      <c r="E163" s="202">
        <f t="shared" si="20"/>
        <v>0.7758269283584549</v>
      </c>
      <c r="F163" s="202">
        <f t="shared" si="21"/>
        <v>77.582692835845492</v>
      </c>
      <c r="G163" s="202">
        <f t="shared" si="22"/>
        <v>793.67094771069935</v>
      </c>
      <c r="H163" s="202"/>
      <c r="I163" s="202">
        <f t="shared" si="23"/>
        <v>50843.817749971342</v>
      </c>
    </row>
    <row r="164" spans="3:9">
      <c r="C164" s="197" t="s">
        <v>956</v>
      </c>
      <c r="D164" s="197">
        <f>0.18*2^5.4</f>
        <v>7.6003655660518703</v>
      </c>
      <c r="E164" s="202">
        <f t="shared" si="20"/>
        <v>0.78319890215075194</v>
      </c>
      <c r="F164" s="202">
        <f t="shared" si="21"/>
        <v>78.319890215075191</v>
      </c>
      <c r="G164" s="202">
        <f t="shared" si="22"/>
        <v>801.21247690021926</v>
      </c>
      <c r="H164" s="202"/>
      <c r="I164" s="202">
        <f t="shared" si="23"/>
        <v>51326.940052449529</v>
      </c>
    </row>
    <row r="165" spans="3:9">
      <c r="C165" s="197" t="s">
        <v>957</v>
      </c>
      <c r="D165" s="197">
        <f>0.18*2^5.5</f>
        <v>8.145870119269027</v>
      </c>
      <c r="E165" s="202">
        <f t="shared" si="20"/>
        <v>0.79057165963640486</v>
      </c>
      <c r="F165" s="202">
        <f t="shared" si="21"/>
        <v>79.057165963640486</v>
      </c>
      <c r="G165" s="202">
        <f t="shared" si="22"/>
        <v>808.75480780804219</v>
      </c>
      <c r="H165" s="202"/>
      <c r="I165" s="202">
        <f t="shared" si="23"/>
        <v>51810.113714271793</v>
      </c>
    </row>
    <row r="166" spans="3:9">
      <c r="C166" s="197" t="s">
        <v>958</v>
      </c>
      <c r="D166" s="197">
        <f>0.18*2^5.6</f>
        <v>8.7305274230998897</v>
      </c>
      <c r="E166" s="202">
        <f t="shared" si="20"/>
        <v>0.79794514848414955</v>
      </c>
      <c r="F166" s="202">
        <f t="shared" si="21"/>
        <v>79.794514848414948</v>
      </c>
      <c r="G166" s="202">
        <f t="shared" si="22"/>
        <v>816.297886899285</v>
      </c>
      <c r="H166" s="202"/>
      <c r="I166" s="202">
        <f t="shared" si="23"/>
        <v>52293.335305908739</v>
      </c>
    </row>
    <row r="167" spans="3:9">
      <c r="C167" s="197" t="s">
        <v>959</v>
      </c>
      <c r="D167" s="197">
        <f>0.18*2^5.7</f>
        <v>9.3571476060238332</v>
      </c>
      <c r="E167" s="202">
        <f t="shared" si="20"/>
        <v>0.80531931984776828</v>
      </c>
      <c r="F167" s="202">
        <f t="shared" si="21"/>
        <v>80.531931984776833</v>
      </c>
      <c r="G167" s="202">
        <f t="shared" si="22"/>
        <v>823.84166420426698</v>
      </c>
      <c r="H167" s="202"/>
      <c r="I167" s="202">
        <f t="shared" si="23"/>
        <v>52776.601626223492</v>
      </c>
    </row>
    <row r="168" spans="3:9">
      <c r="C168" s="197" t="s">
        <v>960</v>
      </c>
      <c r="D168" s="197">
        <f>0.18*2^5.8</f>
        <v>10.028742489171346</v>
      </c>
      <c r="E168" s="202">
        <f t="shared" si="20"/>
        <v>0.81269412813521313</v>
      </c>
      <c r="F168" s="202">
        <f t="shared" si="21"/>
        <v>81.269412813521313</v>
      </c>
      <c r="G168" s="202">
        <f t="shared" si="22"/>
        <v>831.38609308232299</v>
      </c>
      <c r="H168" s="202"/>
      <c r="I168" s="202">
        <f t="shared" si="23"/>
        <v>53259.909687341191</v>
      </c>
    </row>
    <row r="169" spans="3:9">
      <c r="C169" s="197" t="s">
        <v>961</v>
      </c>
      <c r="D169" s="197">
        <f>0.18*2^5.9</f>
        <v>10.748540062504025</v>
      </c>
      <c r="E169" s="202">
        <f t="shared" si="20"/>
        <v>0.82006953079286871</v>
      </c>
      <c r="F169" s="202">
        <f t="shared" si="21"/>
        <v>82.006953079286873</v>
      </c>
      <c r="G169" s="202">
        <f t="shared" si="22"/>
        <v>838.93113000110463</v>
      </c>
      <c r="H169" s="202"/>
      <c r="I169" s="202">
        <f t="shared" si="23"/>
        <v>53743.256700510654</v>
      </c>
    </row>
    <row r="170" spans="3:9">
      <c r="C170" s="197" t="s">
        <v>836</v>
      </c>
      <c r="D170" s="197">
        <f>0.18*2^6</f>
        <v>11.52</v>
      </c>
      <c r="E170" s="202">
        <f t="shared" si="20"/>
        <v>0.82744548810397767</v>
      </c>
      <c r="F170" s="202">
        <f t="shared" si="21"/>
        <v>82.74454881039776</v>
      </c>
      <c r="G170" s="202">
        <f t="shared" si="22"/>
        <v>846.47673433036914</v>
      </c>
      <c r="H170" s="202"/>
      <c r="I170" s="202">
        <f t="shared" si="23"/>
        <v>54226.640062894177</v>
      </c>
    </row>
    <row r="171" spans="3:9">
      <c r="C171" s="197" t="s">
        <v>962</v>
      </c>
      <c r="D171" s="197">
        <f>0.18*2^6.1</f>
        <v>12.346830288418092</v>
      </c>
      <c r="E171" s="202">
        <f t="shared" si="20"/>
        <v>0.83482196300032374</v>
      </c>
      <c r="F171" s="202">
        <f t="shared" si="21"/>
        <v>83.482196300032371</v>
      </c>
      <c r="G171" s="202">
        <f t="shared" si="22"/>
        <v>854.0228681493312</v>
      </c>
      <c r="H171" s="202"/>
      <c r="I171" s="202">
        <f t="shared" si="23"/>
        <v>54710.057345226218</v>
      </c>
    </row>
    <row r="172" spans="3:9">
      <c r="C172" s="197" t="s">
        <v>963</v>
      </c>
      <c r="D172" s="197">
        <f>0.18*2^6.2</f>
        <v>13.233005049565838</v>
      </c>
      <c r="E172" s="202">
        <f t="shared" ref="E172:E210" si="24">0.245281*LOG10(5.555556*D172+0.064829)+0.384316</f>
        <v>0.84219892088630832</v>
      </c>
      <c r="F172" s="202">
        <f t="shared" ref="F172:F210" si="25">E172*100</f>
        <v>84.219892088630829</v>
      </c>
      <c r="G172" s="202">
        <f t="shared" si="22"/>
        <v>861.56949606669343</v>
      </c>
      <c r="H172" s="202"/>
      <c r="I172" s="202">
        <f t="shared" si="23"/>
        <v>55193.506280284215</v>
      </c>
    </row>
    <row r="173" spans="3:9">
      <c r="C173" s="197" t="s">
        <v>964</v>
      </c>
      <c r="D173" s="197">
        <f>0.18*2^6.3</f>
        <v>14.18278364173343</v>
      </c>
      <c r="E173" s="202">
        <f t="shared" si="24"/>
        <v>0.84957632947462458</v>
      </c>
      <c r="F173" s="202">
        <f t="shared" si="25"/>
        <v>84.957632947462457</v>
      </c>
      <c r="G173" s="202">
        <f t="shared" ref="G173:G210" si="26">E173*1023</f>
        <v>869.11658505254093</v>
      </c>
      <c r="H173" s="202"/>
      <c r="I173" s="202">
        <f t="shared" ref="I173:I210" si="27">E173*(2^16-1)</f>
        <v>55676.984752119519</v>
      </c>
    </row>
    <row r="174" spans="3:9">
      <c r="C174" s="197" t="s">
        <v>965</v>
      </c>
      <c r="D174" s="197">
        <f>0.18*2^6.4</f>
        <v>15.200731132103735</v>
      </c>
      <c r="E174" s="202">
        <f t="shared" si="24"/>
        <v>0.8569541586327718</v>
      </c>
      <c r="F174" s="202">
        <f t="shared" si="25"/>
        <v>85.695415863277177</v>
      </c>
      <c r="G174" s="202">
        <f t="shared" si="26"/>
        <v>876.66410428132554</v>
      </c>
      <c r="H174" s="202"/>
      <c r="I174" s="202">
        <f t="shared" si="27"/>
        <v>56160.4907859987</v>
      </c>
    </row>
    <row r="175" spans="3:9">
      <c r="C175" s="197" t="s">
        <v>966</v>
      </c>
      <c r="D175" s="197">
        <f>0.18*2^6.5</f>
        <v>16.291740238538051</v>
      </c>
      <c r="E175" s="202">
        <f t="shared" si="24"/>
        <v>0.86433238023970838</v>
      </c>
      <c r="F175" s="202">
        <f t="shared" si="25"/>
        <v>86.433238023970844</v>
      </c>
      <c r="G175" s="202">
        <f t="shared" si="26"/>
        <v>884.21202498522166</v>
      </c>
      <c r="H175" s="202"/>
      <c r="I175" s="202">
        <f t="shared" si="27"/>
        <v>56644.022539009289</v>
      </c>
    </row>
    <row r="176" spans="3:9">
      <c r="C176" s="197" t="s">
        <v>967</v>
      </c>
      <c r="D176" s="197">
        <f>0.18*2^6.6</f>
        <v>17.461054846199779</v>
      </c>
      <c r="E176" s="202">
        <f t="shared" si="24"/>
        <v>0.87171096805198067</v>
      </c>
      <c r="F176" s="202">
        <f t="shared" si="25"/>
        <v>87.171096805198061</v>
      </c>
      <c r="G176" s="202">
        <f t="shared" si="26"/>
        <v>891.76032031717625</v>
      </c>
      <c r="H176" s="202"/>
      <c r="I176" s="202">
        <f t="shared" si="27"/>
        <v>57127.578291286554</v>
      </c>
    </row>
    <row r="177" spans="3:9">
      <c r="C177" s="197" t="s">
        <v>968</v>
      </c>
      <c r="D177" s="197">
        <f>0.18*2^6.7</f>
        <v>18.714295212047659</v>
      </c>
      <c r="E177" s="202">
        <f t="shared" si="24"/>
        <v>0.87908989757870937</v>
      </c>
      <c r="F177" s="202">
        <f t="shared" si="25"/>
        <v>87.908989757870941</v>
      </c>
      <c r="G177" s="202">
        <f t="shared" si="26"/>
        <v>899.30896522301964</v>
      </c>
      <c r="H177" s="202"/>
      <c r="I177" s="202">
        <f t="shared" si="27"/>
        <v>57611.156437820719</v>
      </c>
    </row>
    <row r="178" spans="3:9">
      <c r="C178" s="197" t="s">
        <v>969</v>
      </c>
      <c r="D178" s="197">
        <f>0.18*2^6.8</f>
        <v>20.057484978342693</v>
      </c>
      <c r="E178" s="202">
        <f t="shared" si="24"/>
        <v>0.8864691459648546</v>
      </c>
      <c r="F178" s="202">
        <f t="shared" si="25"/>
        <v>88.646914596485459</v>
      </c>
      <c r="G178" s="202">
        <f t="shared" si="26"/>
        <v>906.85793632204627</v>
      </c>
      <c r="H178" s="202"/>
      <c r="I178" s="202">
        <f t="shared" si="27"/>
        <v>58094.755480806743</v>
      </c>
    </row>
    <row r="179" spans="3:9">
      <c r="C179" s="197" t="s">
        <v>970</v>
      </c>
      <c r="D179" s="197">
        <f>0.18*2^6.9</f>
        <v>21.497080125008036</v>
      </c>
      <c r="E179" s="202">
        <f t="shared" si="24"/>
        <v>0.89384869188221694</v>
      </c>
      <c r="F179" s="202">
        <f t="shared" si="25"/>
        <v>89.3848691882217</v>
      </c>
      <c r="G179" s="202">
        <f t="shared" si="26"/>
        <v>914.40721179550792</v>
      </c>
      <c r="H179" s="202"/>
      <c r="I179" s="202">
        <f t="shared" si="27"/>
        <v>58578.374022501084</v>
      </c>
    </row>
    <row r="180" spans="3:9">
      <c r="C180" s="197" t="s">
        <v>837</v>
      </c>
      <c r="D180" s="197">
        <f>0.18*2^7</f>
        <v>23.04</v>
      </c>
      <c r="E180" s="202">
        <f t="shared" si="24"/>
        <v>0.9012285154276668</v>
      </c>
      <c r="F180" s="202">
        <f t="shared" si="25"/>
        <v>90.122851542766682</v>
      </c>
      <c r="G180" s="202">
        <f t="shared" si="26"/>
        <v>921.95677128250315</v>
      </c>
      <c r="H180" s="202"/>
      <c r="I180" s="202">
        <f t="shared" si="27"/>
        <v>59062.01075855214</v>
      </c>
    </row>
    <row r="181" spans="3:9">
      <c r="C181" s="197" t="s">
        <v>971</v>
      </c>
      <c r="D181" s="197">
        <f>0.18*2^7.1</f>
        <v>24.693660576836187</v>
      </c>
      <c r="E181" s="202">
        <f t="shared" si="24"/>
        <v>0.90860859802812788</v>
      </c>
      <c r="F181" s="202">
        <f t="shared" si="25"/>
        <v>90.860859802812783</v>
      </c>
      <c r="G181" s="202">
        <f t="shared" si="26"/>
        <v>929.50659578277487</v>
      </c>
      <c r="H181" s="202"/>
      <c r="I181" s="202">
        <f t="shared" si="27"/>
        <v>59545.664471773358</v>
      </c>
    </row>
    <row r="182" spans="3:9">
      <c r="C182" s="197" t="s">
        <v>972</v>
      </c>
      <c r="D182" s="197">
        <f>0.18*2^7.2</f>
        <v>26.466010099131676</v>
      </c>
      <c r="E182" s="202">
        <f t="shared" si="24"/>
        <v>0.91598892235186946</v>
      </c>
      <c r="F182" s="202">
        <f t="shared" si="25"/>
        <v>91.598892235186952</v>
      </c>
      <c r="G182" s="202">
        <f t="shared" si="26"/>
        <v>937.05666756596247</v>
      </c>
      <c r="H182" s="202"/>
      <c r="I182" s="202">
        <f t="shared" si="27"/>
        <v>60029.334026329765</v>
      </c>
    </row>
    <row r="183" spans="3:9">
      <c r="C183" s="197" t="s">
        <v>973</v>
      </c>
      <c r="D183" s="197">
        <f>0.18*2^7.3</f>
        <v>28.365567283466866</v>
      </c>
      <c r="E183" s="202">
        <f t="shared" si="24"/>
        <v>0.92336947222569188</v>
      </c>
      <c r="F183" s="202">
        <f t="shared" si="25"/>
        <v>92.336947222569194</v>
      </c>
      <c r="G183" s="202">
        <f t="shared" si="26"/>
        <v>944.60697008688282</v>
      </c>
      <c r="H183" s="202"/>
      <c r="I183" s="202">
        <f t="shared" si="27"/>
        <v>60513.018362310715</v>
      </c>
    </row>
    <row r="184" spans="3:9">
      <c r="C184" s="197" t="s">
        <v>974</v>
      </c>
      <c r="D184" s="197">
        <f>0.18*2^7.4</f>
        <v>30.401462264207478</v>
      </c>
      <c r="E184" s="202">
        <f t="shared" si="24"/>
        <v>0.9307502325576188</v>
      </c>
      <c r="F184" s="202">
        <f t="shared" si="25"/>
        <v>93.075023255761877</v>
      </c>
      <c r="G184" s="202">
        <f t="shared" si="26"/>
        <v>952.15748790644398</v>
      </c>
      <c r="H184" s="202"/>
      <c r="I184" s="202">
        <f t="shared" si="27"/>
        <v>60996.716490663544</v>
      </c>
    </row>
    <row r="185" spans="3:9">
      <c r="C185" s="197" t="s">
        <v>975</v>
      </c>
      <c r="D185" s="197">
        <f>0.18*2^7.5</f>
        <v>32.583480477076101</v>
      </c>
      <c r="E185" s="202">
        <f t="shared" si="24"/>
        <v>0.93813118926472872</v>
      </c>
      <c r="F185" s="202">
        <f t="shared" si="25"/>
        <v>93.813118926472868</v>
      </c>
      <c r="G185" s="202">
        <f t="shared" si="26"/>
        <v>959.7082066178175</v>
      </c>
      <c r="H185" s="202"/>
      <c r="I185" s="202">
        <f t="shared" si="27"/>
        <v>61480.427488463996</v>
      </c>
    </row>
    <row r="186" spans="3:9">
      <c r="C186" s="197" t="s">
        <v>976</v>
      </c>
      <c r="D186" s="197">
        <f>0.18*2^7.6</f>
        <v>34.922109692399566</v>
      </c>
      <c r="E186" s="202">
        <f t="shared" si="24"/>
        <v>0.94551232920579054</v>
      </c>
      <c r="F186" s="202">
        <f t="shared" si="25"/>
        <v>94.551232920579054</v>
      </c>
      <c r="G186" s="202">
        <f t="shared" si="26"/>
        <v>967.25911277752368</v>
      </c>
      <c r="H186" s="202"/>
      <c r="I186" s="202">
        <f t="shared" si="27"/>
        <v>61964.150494501482</v>
      </c>
    </row>
    <row r="187" spans="3:9">
      <c r="C187" s="197" t="s">
        <v>977</v>
      </c>
      <c r="D187" s="197">
        <f>0.18*2^7.7</f>
        <v>37.428590424095326</v>
      </c>
      <c r="E187" s="202">
        <f t="shared" si="24"/>
        <v>0.95289364011838229</v>
      </c>
      <c r="F187" s="202">
        <f t="shared" si="25"/>
        <v>95.289364011838231</v>
      </c>
      <c r="G187" s="202">
        <f t="shared" si="26"/>
        <v>974.81019384110505</v>
      </c>
      <c r="H187" s="202"/>
      <c r="I187" s="202">
        <f t="shared" si="27"/>
        <v>62447.884705158183</v>
      </c>
    </row>
    <row r="188" spans="3:9">
      <c r="C188" s="197" t="s">
        <v>978</v>
      </c>
      <c r="D188" s="197">
        <f>0.18*2^7.8</f>
        <v>40.114969956685393</v>
      </c>
      <c r="E188" s="202">
        <f t="shared" si="24"/>
        <v>0.96027511056019799</v>
      </c>
      <c r="F188" s="202">
        <f t="shared" si="25"/>
        <v>96.027511056019804</v>
      </c>
      <c r="G188" s="202">
        <f t="shared" si="26"/>
        <v>982.36143810308249</v>
      </c>
      <c r="H188" s="202"/>
      <c r="I188" s="202">
        <f t="shared" si="27"/>
        <v>62931.629370562572</v>
      </c>
    </row>
    <row r="189" spans="3:9">
      <c r="C189" s="197" t="s">
        <v>979</v>
      </c>
      <c r="D189" s="197">
        <f>0.18*2^7.9</f>
        <v>42.994160250016073</v>
      </c>
      <c r="E189" s="202">
        <f t="shared" si="24"/>
        <v>0.96765672985426354</v>
      </c>
      <c r="F189" s="202">
        <f t="shared" si="25"/>
        <v>96.765672985426349</v>
      </c>
      <c r="G189" s="202">
        <f t="shared" si="26"/>
        <v>989.91283464091157</v>
      </c>
      <c r="H189" s="202"/>
      <c r="I189" s="202">
        <f t="shared" si="27"/>
        <v>63415.383790999163</v>
      </c>
    </row>
    <row r="190" spans="3:9">
      <c r="C190" s="197" t="s">
        <v>838</v>
      </c>
      <c r="D190" s="197">
        <f>0.18*2^8</f>
        <v>46.08</v>
      </c>
      <c r="E190" s="202">
        <f t="shared" si="24"/>
        <v>0.97503848803780535</v>
      </c>
      <c r="F190" s="202">
        <f t="shared" si="25"/>
        <v>97.503848803780528</v>
      </c>
      <c r="G190" s="202">
        <f t="shared" si="26"/>
        <v>997.46437326267483</v>
      </c>
      <c r="H190" s="202"/>
      <c r="I190" s="202">
        <f t="shared" si="27"/>
        <v>63899.147313557572</v>
      </c>
    </row>
    <row r="191" spans="3:9">
      <c r="C191" s="197" t="s">
        <v>980</v>
      </c>
      <c r="D191" s="197">
        <f>0.18*2^8.1</f>
        <v>49.387321153672374</v>
      </c>
      <c r="E191" s="202">
        <f t="shared" si="24"/>
        <v>0.98242037581452579</v>
      </c>
      <c r="F191" s="202">
        <f t="shared" si="25"/>
        <v>98.242037581452578</v>
      </c>
      <c r="G191" s="202">
        <f t="shared" si="26"/>
        <v>1005.0160444582599</v>
      </c>
      <c r="H191" s="202"/>
      <c r="I191" s="202">
        <f t="shared" si="27"/>
        <v>64382.919329004944</v>
      </c>
    </row>
    <row r="192" spans="3:9">
      <c r="C192" s="197" t="s">
        <v>981</v>
      </c>
      <c r="D192" s="197">
        <f>0.18*2^8.2</f>
        <v>52.932020198263317</v>
      </c>
      <c r="E192" s="202">
        <f t="shared" si="24"/>
        <v>0.98980238451006253</v>
      </c>
      <c r="F192" s="202">
        <f t="shared" si="25"/>
        <v>98.980238451006258</v>
      </c>
      <c r="G192" s="202">
        <f t="shared" si="26"/>
        <v>1012.5678393537939</v>
      </c>
      <c r="H192" s="202"/>
      <c r="I192" s="202">
        <f t="shared" si="27"/>
        <v>64866.699268866949</v>
      </c>
    </row>
    <row r="193" spans="3:9">
      <c r="C193" s="197" t="s">
        <v>982</v>
      </c>
      <c r="D193" s="197">
        <f>0.18*2^8.3</f>
        <v>56.731134566933783</v>
      </c>
      <c r="E193" s="202">
        <f t="shared" si="24"/>
        <v>0.99718450603041831</v>
      </c>
      <c r="F193" s="202">
        <f t="shared" si="25"/>
        <v>99.718450603041831</v>
      </c>
      <c r="G193" s="202">
        <f t="shared" si="26"/>
        <v>1020.1197496691179</v>
      </c>
      <c r="H193" s="202"/>
      <c r="I193" s="202">
        <f t="shared" si="27"/>
        <v>65350.486602703466</v>
      </c>
    </row>
    <row r="194" spans="3:9">
      <c r="C194" s="197" t="s">
        <v>983</v>
      </c>
      <c r="D194" s="197">
        <f>0.18*2^8.4</f>
        <v>60.802924528414955</v>
      </c>
      <c r="E194" s="202">
        <f t="shared" si="24"/>
        <v>1.0045667328231631</v>
      </c>
      <c r="F194" s="202">
        <f t="shared" si="25"/>
        <v>100.45667328231632</v>
      </c>
      <c r="G194" s="202">
        <f t="shared" si="26"/>
        <v>1027.6717676780959</v>
      </c>
      <c r="H194" s="202"/>
      <c r="I194" s="202">
        <f t="shared" si="27"/>
        <v>65834.280835565994</v>
      </c>
    </row>
    <row r="195" spans="3:9">
      <c r="C195" s="197" t="s">
        <v>984</v>
      </c>
      <c r="D195" s="197">
        <f>0.18*2^8.5</f>
        <v>65.166960954152216</v>
      </c>
      <c r="E195" s="202">
        <f t="shared" si="24"/>
        <v>1.0119490578412296</v>
      </c>
      <c r="F195" s="202">
        <f t="shared" si="25"/>
        <v>101.19490578412295</v>
      </c>
      <c r="G195" s="202">
        <f t="shared" si="26"/>
        <v>1035.2238861715778</v>
      </c>
      <c r="H195" s="202"/>
      <c r="I195" s="202">
        <f t="shared" si="27"/>
        <v>66318.081505624985</v>
      </c>
    </row>
    <row r="196" spans="3:9">
      <c r="C196" s="197" t="s">
        <v>985</v>
      </c>
      <c r="D196" s="197">
        <f>0.18*2^8.6</f>
        <v>69.844219384799132</v>
      </c>
      <c r="E196" s="202">
        <f t="shared" si="24"/>
        <v>1.0193314745091193</v>
      </c>
      <c r="F196" s="202">
        <f t="shared" si="25"/>
        <v>101.93314745091193</v>
      </c>
      <c r="G196" s="202">
        <f t="shared" si="26"/>
        <v>1042.7760984228291</v>
      </c>
      <c r="H196" s="202"/>
      <c r="I196" s="202">
        <f t="shared" si="27"/>
        <v>66801.888181955132</v>
      </c>
    </row>
    <row r="197" spans="3:9">
      <c r="C197" s="197" t="s">
        <v>986</v>
      </c>
      <c r="D197" s="197">
        <f>0.18*2^8.7</f>
        <v>74.85718084819058</v>
      </c>
      <c r="E197" s="202">
        <f t="shared" si="24"/>
        <v>1.0267139766913709</v>
      </c>
      <c r="F197" s="202">
        <f t="shared" si="25"/>
        <v>102.67139766913709</v>
      </c>
      <c r="G197" s="202">
        <f t="shared" si="26"/>
        <v>1050.3283981552725</v>
      </c>
      <c r="H197" s="202"/>
      <c r="I197" s="202">
        <f t="shared" si="27"/>
        <v>67285.700462468987</v>
      </c>
    </row>
    <row r="198" spans="3:9">
      <c r="C198" s="197" t="s">
        <v>987</v>
      </c>
      <c r="D198" s="197">
        <f>0.18*2^8.8</f>
        <v>80.229939913370785</v>
      </c>
      <c r="E198" s="202">
        <f t="shared" si="24"/>
        <v>1.0340965586631312</v>
      </c>
      <c r="F198" s="202">
        <f t="shared" si="25"/>
        <v>103.40965586631312</v>
      </c>
      <c r="G198" s="202">
        <f t="shared" si="26"/>
        <v>1057.8807795123832</v>
      </c>
      <c r="H198" s="202"/>
      <c r="I198" s="202">
        <f t="shared" si="27"/>
        <v>67769.517971988302</v>
      </c>
    </row>
    <row r="199" spans="3:9">
      <c r="C199" s="197" t="s">
        <v>988</v>
      </c>
      <c r="D199" s="197">
        <f>0.18*2^8.9</f>
        <v>85.98832050003216</v>
      </c>
      <c r="E199" s="202">
        <f t="shared" si="24"/>
        <v>1.0414792150826906</v>
      </c>
      <c r="F199" s="202">
        <f t="shared" si="25"/>
        <v>104.14792150826906</v>
      </c>
      <c r="G199" s="202">
        <f t="shared" si="26"/>
        <v>1065.4332370295924</v>
      </c>
      <c r="H199" s="202"/>
      <c r="I199" s="202">
        <f t="shared" si="27"/>
        <v>68253.340360444126</v>
      </c>
    </row>
    <row r="200" spans="3:9">
      <c r="C200" s="197" t="s">
        <v>839</v>
      </c>
      <c r="D200" s="197">
        <f>0.18*2^9</f>
        <v>92.16</v>
      </c>
      <c r="E200" s="202">
        <f t="shared" si="24"/>
        <v>1.0488619409658579</v>
      </c>
      <c r="F200" s="202">
        <f t="shared" si="25"/>
        <v>104.8861940965858</v>
      </c>
      <c r="G200" s="202">
        <f t="shared" si="26"/>
        <v>1072.9857656080726</v>
      </c>
      <c r="H200" s="202"/>
      <c r="I200" s="202">
        <f t="shared" si="27"/>
        <v>68737.167301197507</v>
      </c>
    </row>
    <row r="201" spans="3:9">
      <c r="C201" s="197" t="s">
        <v>989</v>
      </c>
      <c r="D201" s="197">
        <f>0.18*2^9.1</f>
        <v>98.774642307344777</v>
      </c>
      <c r="E201" s="202">
        <f t="shared" si="24"/>
        <v>1.0562447316620425</v>
      </c>
      <c r="F201" s="202">
        <f t="shared" si="25"/>
        <v>105.62447316620424</v>
      </c>
      <c r="G201" s="202">
        <f t="shared" si="26"/>
        <v>1080.5383604902695</v>
      </c>
      <c r="H201" s="202"/>
      <c r="I201" s="202">
        <f t="shared" si="27"/>
        <v>69220.998489471953</v>
      </c>
    </row>
    <row r="202" spans="3:9">
      <c r="C202" s="197" t="s">
        <v>990</v>
      </c>
      <c r="D202" s="197">
        <f>0.18*2^9.2</f>
        <v>105.86404039652665</v>
      </c>
      <c r="E202" s="202">
        <f t="shared" si="24"/>
        <v>1.0636275828319364</v>
      </c>
      <c r="F202" s="202">
        <f t="shared" si="25"/>
        <v>106.36275828319364</v>
      </c>
      <c r="G202" s="202">
        <f t="shared" si="26"/>
        <v>1088.0910172370709</v>
      </c>
      <c r="H202" s="202"/>
      <c r="I202" s="202">
        <f t="shared" si="27"/>
        <v>69704.833640890953</v>
      </c>
    </row>
    <row r="203" spans="3:9">
      <c r="C203" s="197" t="s">
        <v>991</v>
      </c>
      <c r="D203" s="197">
        <f>0.18*2^9.3</f>
        <v>113.46226913386747</v>
      </c>
      <c r="E203" s="202">
        <f t="shared" si="24"/>
        <v>1.0710104904266906</v>
      </c>
      <c r="F203" s="202">
        <f t="shared" si="25"/>
        <v>107.10104904266906</v>
      </c>
      <c r="G203" s="202">
        <f t="shared" si="26"/>
        <v>1095.6437317065045</v>
      </c>
      <c r="H203" s="202"/>
      <c r="I203" s="202">
        <f t="shared" si="27"/>
        <v>70188.672490113167</v>
      </c>
    </row>
    <row r="204" spans="3:9">
      <c r="C204" s="197" t="s">
        <v>992</v>
      </c>
      <c r="D204" s="197">
        <f>0.18*2^9.4</f>
        <v>121.60584905682992</v>
      </c>
      <c r="E204" s="202">
        <f t="shared" si="24"/>
        <v>1.0783934506684789</v>
      </c>
      <c r="F204" s="202">
        <f t="shared" si="25"/>
        <v>107.8393450668479</v>
      </c>
      <c r="G204" s="202">
        <f t="shared" si="26"/>
        <v>1103.1965000338539</v>
      </c>
      <c r="H204" s="202"/>
      <c r="I204" s="202">
        <f t="shared" si="27"/>
        <v>70672.514789558772</v>
      </c>
    </row>
    <row r="205" spans="3:9">
      <c r="C205" s="197" t="s">
        <v>993</v>
      </c>
      <c r="D205" s="197">
        <f>0.18*2^9.5</f>
        <v>130.33392190830443</v>
      </c>
      <c r="E205" s="202">
        <f t="shared" si="24"/>
        <v>1.0857764600323643</v>
      </c>
      <c r="F205" s="202">
        <f t="shared" si="25"/>
        <v>108.57764600323642</v>
      </c>
      <c r="G205" s="202">
        <f t="shared" si="26"/>
        <v>1110.7493186131087</v>
      </c>
      <c r="H205" s="202"/>
      <c r="I205" s="202">
        <f t="shared" si="27"/>
        <v>71156.360308220988</v>
      </c>
    </row>
    <row r="206" spans="3:9">
      <c r="C206" s="197" t="s">
        <v>994</v>
      </c>
      <c r="D206" s="197">
        <f>0.18*2^9.6</f>
        <v>139.68843876959826</v>
      </c>
      <c r="E206" s="202">
        <f t="shared" si="24"/>
        <v>1.0931595152293767</v>
      </c>
      <c r="F206" s="202">
        <f t="shared" si="25"/>
        <v>109.31595152293767</v>
      </c>
      <c r="G206" s="202">
        <f t="shared" si="26"/>
        <v>1118.3021840796523</v>
      </c>
      <c r="H206" s="202"/>
      <c r="I206" s="202">
        <f t="shared" si="27"/>
        <v>71640.208830557196</v>
      </c>
    </row>
    <row r="207" spans="3:9">
      <c r="C207" s="197" t="s">
        <v>995</v>
      </c>
      <c r="D207" s="197">
        <f>0.18*2^9.7</f>
        <v>149.71436169638119</v>
      </c>
      <c r="E207" s="202">
        <f t="shared" si="24"/>
        <v>1.1005426131907221</v>
      </c>
      <c r="F207" s="202">
        <f t="shared" si="25"/>
        <v>110.05426131907221</v>
      </c>
      <c r="G207" s="202">
        <f t="shared" si="26"/>
        <v>1125.8550932941087</v>
      </c>
      <c r="H207" s="202"/>
      <c r="I207" s="202">
        <f t="shared" si="27"/>
        <v>72124.060155453975</v>
      </c>
    </row>
    <row r="208" spans="3:9">
      <c r="C208" s="197" t="s">
        <v>996</v>
      </c>
      <c r="D208" s="197">
        <f>0.18*2^9.8</f>
        <v>160.4598798267416</v>
      </c>
      <c r="E208" s="202">
        <f t="shared" si="24"/>
        <v>1.1079257510530478</v>
      </c>
      <c r="F208" s="202">
        <f t="shared" si="25"/>
        <v>110.79257510530478</v>
      </c>
      <c r="G208" s="202">
        <f t="shared" si="26"/>
        <v>1133.4080433272679</v>
      </c>
      <c r="H208" s="202"/>
      <c r="I208" s="202">
        <f t="shared" si="27"/>
        <v>72607.914095261483</v>
      </c>
    </row>
    <row r="209" spans="3:9">
      <c r="C209" s="197" t="s">
        <v>997</v>
      </c>
      <c r="D209" s="197">
        <f>0.18*2^9.9</f>
        <v>171.97664100006435</v>
      </c>
      <c r="E209" s="202">
        <f t="shared" si="24"/>
        <v>1.1153089261446938</v>
      </c>
      <c r="F209" s="202">
        <f t="shared" si="25"/>
        <v>111.53089261446938</v>
      </c>
      <c r="G209" s="202">
        <f t="shared" si="26"/>
        <v>1140.9610314460217</v>
      </c>
      <c r="H209" s="202"/>
      <c r="I209" s="202">
        <f t="shared" si="27"/>
        <v>73091.770474892503</v>
      </c>
    </row>
    <row r="210" spans="3:9">
      <c r="C210" s="197" t="s">
        <v>998</v>
      </c>
      <c r="D210" s="197">
        <f>0.18*2^10</f>
        <v>184.32</v>
      </c>
      <c r="E210" s="202">
        <f t="shared" si="24"/>
        <v>1.1226921359728623</v>
      </c>
      <c r="F210" s="202">
        <f t="shared" si="25"/>
        <v>112.26921359728624</v>
      </c>
      <c r="G210" s="202">
        <f t="shared" si="26"/>
        <v>1148.5140551002382</v>
      </c>
      <c r="H210" s="202"/>
      <c r="I210" s="202">
        <f t="shared" si="27"/>
        <v>73575.629130981528</v>
      </c>
    </row>
  </sheetData>
  <mergeCells count="1">
    <mergeCell ref="D1:G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C1004"/>
  <sheetViews>
    <sheetView zoomScale="138" workbookViewId="0">
      <selection activeCell="H51" sqref="H51"/>
    </sheetView>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4.5" customWidth="1"/>
    <col min="9" max="9" width="3.6640625" customWidth="1"/>
    <col min="11" max="11" width="13.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2" t="s">
        <v>667</v>
      </c>
      <c r="D2" s="174" t="s">
        <v>142</v>
      </c>
      <c r="E2" s="170"/>
      <c r="F2" s="170"/>
      <c r="G2" s="171"/>
      <c r="H2" s="16"/>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16">
        <v>9.2864125122189639E-2</v>
      </c>
      <c r="F4" s="18">
        <f t="shared" ref="F4:F24" si="0">E4*100</f>
        <v>9.2864125122189645</v>
      </c>
      <c r="G4" s="17">
        <v>95</v>
      </c>
      <c r="H4" s="16" t="s">
        <v>161</v>
      </c>
      <c r="I4" s="8"/>
      <c r="J4" s="64" t="s">
        <v>162</v>
      </c>
      <c r="K4" s="8"/>
      <c r="L4" s="8"/>
      <c r="M4" s="8"/>
      <c r="N4" s="8"/>
      <c r="O4" s="8"/>
      <c r="P4" s="8"/>
      <c r="Q4" s="8"/>
      <c r="R4" s="8"/>
      <c r="S4" s="8"/>
      <c r="T4" s="8"/>
      <c r="U4" s="8"/>
      <c r="V4" s="8"/>
      <c r="W4" s="8"/>
      <c r="X4" s="8"/>
      <c r="Y4" s="8"/>
      <c r="Z4" s="8"/>
      <c r="AA4" s="8"/>
      <c r="AB4" s="8"/>
      <c r="AC4" s="8"/>
    </row>
    <row r="5" spans="1:29" ht="15">
      <c r="A5" s="58"/>
      <c r="B5" s="50">
        <v>2</v>
      </c>
      <c r="C5" s="16" t="s">
        <v>76</v>
      </c>
      <c r="D5" s="17">
        <v>7.0312499999999997E-4</v>
      </c>
      <c r="E5" s="19">
        <v>9.9051121015624993E-2</v>
      </c>
      <c r="F5" s="18">
        <f t="shared" si="0"/>
        <v>9.9051121015624997</v>
      </c>
      <c r="G5" s="33">
        <v>101.32929679898437</v>
      </c>
      <c r="H5" s="16" t="s">
        <v>164</v>
      </c>
      <c r="I5" s="8"/>
      <c r="J5" s="56" t="s">
        <v>165</v>
      </c>
      <c r="K5" s="8"/>
      <c r="L5" s="8"/>
      <c r="M5" s="8"/>
      <c r="N5" s="8"/>
      <c r="O5" s="8"/>
      <c r="P5" s="8"/>
      <c r="Q5" s="8"/>
      <c r="R5" s="8"/>
      <c r="S5" s="8"/>
      <c r="T5" s="8"/>
      <c r="U5" s="8"/>
      <c r="V5" s="8"/>
      <c r="W5" s="8"/>
      <c r="X5" s="8"/>
      <c r="Y5" s="8"/>
      <c r="Z5" s="8"/>
      <c r="AA5" s="8"/>
      <c r="AB5" s="8"/>
      <c r="AC5" s="8"/>
    </row>
    <row r="6" spans="1:29" ht="15">
      <c r="A6" s="58"/>
      <c r="B6" s="50">
        <v>3</v>
      </c>
      <c r="C6" s="16" t="s">
        <v>77</v>
      </c>
      <c r="D6" s="17">
        <v>1.4062499999999999E-3</v>
      </c>
      <c r="E6" s="19">
        <v>0.104986270705235</v>
      </c>
      <c r="F6" s="18">
        <f t="shared" si="0"/>
        <v>10.498627070523501</v>
      </c>
      <c r="G6" s="33">
        <v>107.4009549314554</v>
      </c>
      <c r="H6" s="12" t="s">
        <v>668</v>
      </c>
      <c r="I6" s="8"/>
      <c r="J6" s="8"/>
      <c r="K6" s="8"/>
      <c r="L6" s="8"/>
      <c r="M6" s="8"/>
      <c r="N6" s="8"/>
      <c r="O6" s="8"/>
      <c r="P6" s="8"/>
      <c r="Q6" s="8"/>
      <c r="R6" s="8"/>
      <c r="S6" s="8"/>
      <c r="T6" s="8"/>
      <c r="U6" s="8"/>
      <c r="V6" s="8"/>
      <c r="W6" s="8"/>
      <c r="X6" s="8"/>
      <c r="Y6" s="8"/>
      <c r="Z6" s="8"/>
      <c r="AA6" s="8"/>
      <c r="AB6" s="8"/>
      <c r="AC6" s="8"/>
    </row>
    <row r="7" spans="1:29" ht="15">
      <c r="A7" s="58"/>
      <c r="B7" s="50">
        <v>4</v>
      </c>
      <c r="C7" s="16" t="s">
        <v>78</v>
      </c>
      <c r="D7" s="17">
        <v>2.8124999999999999E-3</v>
      </c>
      <c r="E7" s="19">
        <v>0.115867632626475</v>
      </c>
      <c r="F7" s="18">
        <f t="shared" si="0"/>
        <v>11.5867632626475</v>
      </c>
      <c r="G7" s="33">
        <v>118.53258817688392</v>
      </c>
      <c r="H7" s="16"/>
      <c r="I7" s="8"/>
      <c r="J7" s="8" t="s">
        <v>190</v>
      </c>
      <c r="K7" s="8"/>
      <c r="L7" s="8"/>
      <c r="M7" s="8"/>
      <c r="N7" s="8"/>
      <c r="O7" s="8"/>
      <c r="P7" s="8"/>
      <c r="Q7" s="8"/>
      <c r="R7" s="8"/>
      <c r="S7" s="8"/>
      <c r="T7" s="8"/>
      <c r="U7" s="8"/>
      <c r="V7" s="8"/>
      <c r="W7" s="8"/>
      <c r="X7" s="8"/>
      <c r="Y7" s="8"/>
      <c r="Z7" s="8"/>
      <c r="AA7" s="8"/>
      <c r="AB7" s="8"/>
      <c r="AC7" s="8"/>
    </row>
    <row r="8" spans="1:29" ht="15">
      <c r="A8" s="58"/>
      <c r="B8" s="50">
        <v>5</v>
      </c>
      <c r="C8" s="16" t="s">
        <v>79</v>
      </c>
      <c r="D8" s="17">
        <v>5.6249999999999998E-3</v>
      </c>
      <c r="E8" s="19">
        <v>0.13477409756117301</v>
      </c>
      <c r="F8" s="18">
        <f t="shared" si="0"/>
        <v>13.4774097561173</v>
      </c>
      <c r="G8" s="33">
        <v>137.87390180507998</v>
      </c>
      <c r="H8" s="16"/>
      <c r="I8" s="8"/>
      <c r="J8" s="8" t="s">
        <v>669</v>
      </c>
      <c r="K8" s="8"/>
      <c r="L8" s="8"/>
      <c r="M8" s="8"/>
      <c r="N8" s="8"/>
      <c r="O8" s="8"/>
      <c r="P8" s="8"/>
      <c r="Q8" s="8"/>
      <c r="R8" s="8"/>
      <c r="S8" s="8"/>
      <c r="T8" s="8"/>
      <c r="U8" s="8"/>
      <c r="V8" s="8"/>
      <c r="W8" s="8"/>
      <c r="X8" s="8"/>
      <c r="Y8" s="8"/>
      <c r="Z8" s="8"/>
      <c r="AA8" s="8"/>
      <c r="AB8" s="8"/>
      <c r="AC8" s="8"/>
    </row>
    <row r="9" spans="1:29" ht="15">
      <c r="A9" s="58"/>
      <c r="B9" s="50">
        <v>6</v>
      </c>
      <c r="C9" s="16" t="s">
        <v>80</v>
      </c>
      <c r="D9" s="17">
        <v>1.125E-2</v>
      </c>
      <c r="E9" s="19">
        <v>0.16477168419220301</v>
      </c>
      <c r="F9" s="18">
        <f t="shared" si="0"/>
        <v>16.477168419220302</v>
      </c>
      <c r="G9" s="33">
        <v>168.56143292862367</v>
      </c>
      <c r="H9" s="16"/>
      <c r="I9" s="8"/>
      <c r="J9" s="8" t="s">
        <v>670</v>
      </c>
      <c r="K9" s="8"/>
      <c r="L9" s="8"/>
      <c r="M9" s="8"/>
      <c r="N9" s="8"/>
      <c r="O9" s="8"/>
      <c r="P9" s="8"/>
      <c r="Q9" s="8"/>
      <c r="R9" s="8"/>
      <c r="S9" s="8"/>
      <c r="T9" s="8"/>
      <c r="U9" s="8"/>
      <c r="V9" s="8"/>
      <c r="W9" s="8"/>
      <c r="X9" s="8"/>
      <c r="Y9" s="8"/>
      <c r="Z9" s="8"/>
      <c r="AA9" s="8"/>
      <c r="AB9" s="8"/>
      <c r="AC9" s="8"/>
    </row>
    <row r="10" spans="1:29" ht="15">
      <c r="A10" s="58"/>
      <c r="B10" s="50">
        <v>7</v>
      </c>
      <c r="C10" s="16" t="s">
        <v>81</v>
      </c>
      <c r="D10" s="17">
        <v>2.2499999999999999E-2</v>
      </c>
      <c r="E10" s="19">
        <v>0.20731205267236499</v>
      </c>
      <c r="F10" s="18">
        <f t="shared" si="0"/>
        <v>20.731205267236501</v>
      </c>
      <c r="G10" s="33">
        <v>212.08022988382939</v>
      </c>
      <c r="H10" s="16"/>
      <c r="I10" s="8"/>
      <c r="J10" s="8" t="s">
        <v>671</v>
      </c>
      <c r="K10" s="8"/>
      <c r="L10" s="8"/>
      <c r="M10" s="8"/>
      <c r="N10" s="8"/>
      <c r="O10" s="8"/>
      <c r="P10" s="8"/>
      <c r="Q10" s="8"/>
      <c r="R10" s="8"/>
      <c r="S10" s="8"/>
      <c r="T10" s="8"/>
      <c r="U10" s="8"/>
      <c r="V10" s="8"/>
      <c r="W10" s="8"/>
      <c r="X10" s="8"/>
      <c r="Y10" s="8"/>
      <c r="Z10" s="8"/>
      <c r="AA10" s="8"/>
      <c r="AB10" s="8"/>
      <c r="AC10" s="8"/>
    </row>
    <row r="11" spans="1:29" ht="15">
      <c r="A11" s="58"/>
      <c r="B11" s="50">
        <v>8</v>
      </c>
      <c r="C11" s="16" t="s">
        <v>82</v>
      </c>
      <c r="D11" s="17">
        <v>4.4999999999999998E-2</v>
      </c>
      <c r="E11" s="19">
        <v>0.26120327459487103</v>
      </c>
      <c r="F11" s="18">
        <f t="shared" si="0"/>
        <v>26.120327459487104</v>
      </c>
      <c r="G11" s="33">
        <v>267.21094991055304</v>
      </c>
      <c r="H11" s="16"/>
      <c r="I11" s="8"/>
      <c r="J11" s="8" t="s">
        <v>672</v>
      </c>
      <c r="K11" s="8"/>
      <c r="L11" s="8"/>
      <c r="M11" s="8"/>
      <c r="N11" s="8"/>
      <c r="O11" s="8"/>
      <c r="P11" s="8"/>
      <c r="Q11" s="8"/>
      <c r="R11" s="8"/>
      <c r="S11" s="8"/>
      <c r="T11" s="8"/>
      <c r="U11" s="8"/>
      <c r="V11" s="8"/>
      <c r="W11" s="8"/>
      <c r="X11" s="8"/>
      <c r="Y11" s="8"/>
      <c r="Z11" s="8"/>
      <c r="AA11" s="8"/>
      <c r="AB11" s="8"/>
      <c r="AC11" s="8"/>
    </row>
    <row r="12" spans="1:29" ht="15">
      <c r="A12" s="58"/>
      <c r="B12" s="50">
        <v>9</v>
      </c>
      <c r="C12" s="16" t="s">
        <v>83</v>
      </c>
      <c r="D12" s="17">
        <v>0.09</v>
      </c>
      <c r="E12" s="19">
        <v>0.323465957930612</v>
      </c>
      <c r="F12" s="18">
        <f t="shared" si="0"/>
        <v>32.346595793061198</v>
      </c>
      <c r="G12" s="33">
        <v>330.90567496301605</v>
      </c>
      <c r="H12" s="16"/>
      <c r="I12" s="8"/>
      <c r="J12" s="8" t="s">
        <v>673</v>
      </c>
      <c r="K12" s="8"/>
      <c r="L12" s="8"/>
      <c r="M12" s="8"/>
      <c r="N12" s="8"/>
      <c r="O12" s="8"/>
      <c r="P12" s="8"/>
      <c r="Q12" s="8"/>
      <c r="R12" s="8"/>
      <c r="S12" s="8"/>
      <c r="T12" s="8"/>
      <c r="U12" s="8"/>
      <c r="V12" s="8"/>
      <c r="W12" s="8"/>
      <c r="X12" s="8"/>
      <c r="Y12" s="8"/>
      <c r="Z12" s="8"/>
      <c r="AA12" s="8"/>
      <c r="AB12" s="8"/>
      <c r="AC12" s="8"/>
    </row>
    <row r="13" spans="1:29" ht="13">
      <c r="A13" s="58"/>
      <c r="B13" s="50">
        <v>10</v>
      </c>
      <c r="C13" s="16" t="s">
        <v>84</v>
      </c>
      <c r="D13" s="69">
        <v>0.12727922061357799</v>
      </c>
      <c r="E13" s="69">
        <v>0.356741805257491</v>
      </c>
      <c r="F13" s="18">
        <f t="shared" si="0"/>
        <v>35.674180525749101</v>
      </c>
      <c r="G13" s="33">
        <f>E13*1023</f>
        <v>364.94686677841327</v>
      </c>
      <c r="H13" s="16"/>
      <c r="I13" s="8"/>
      <c r="J13" s="8" t="s">
        <v>674</v>
      </c>
      <c r="K13" s="8"/>
      <c r="L13" s="8"/>
      <c r="M13" s="8"/>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69">
        <v>0.38408801456060099</v>
      </c>
      <c r="F14" s="71">
        <f t="shared" si="0"/>
        <v>38.408801456060097</v>
      </c>
      <c r="G14" s="72">
        <f>E14*1023</f>
        <v>392.92203889549484</v>
      </c>
      <c r="H14" s="16"/>
      <c r="I14" s="8"/>
      <c r="J14" s="8" t="s">
        <v>675</v>
      </c>
      <c r="K14" s="8"/>
      <c r="L14" s="8"/>
      <c r="M14" s="8"/>
      <c r="N14" s="8"/>
      <c r="O14" s="8"/>
      <c r="P14" s="8"/>
      <c r="Q14" s="8"/>
      <c r="R14" s="8"/>
      <c r="S14" s="8"/>
      <c r="T14" s="8"/>
      <c r="U14" s="8"/>
      <c r="V14" s="8"/>
      <c r="W14" s="8"/>
      <c r="X14" s="8"/>
      <c r="Y14" s="8"/>
      <c r="Z14" s="8"/>
      <c r="AA14" s="8"/>
      <c r="AB14" s="8"/>
      <c r="AC14" s="8"/>
    </row>
    <row r="15" spans="1:29" ht="15">
      <c r="A15" s="58"/>
      <c r="B15" s="50">
        <v>12</v>
      </c>
      <c r="C15" s="16" t="s">
        <v>86</v>
      </c>
      <c r="D15" s="17">
        <v>0.18</v>
      </c>
      <c r="E15" s="19">
        <v>0.39100724189122998</v>
      </c>
      <c r="F15" s="18">
        <f t="shared" si="0"/>
        <v>39.100724189123</v>
      </c>
      <c r="G15" s="33">
        <v>400.0004084547283</v>
      </c>
      <c r="H15" s="16"/>
      <c r="I15" s="8"/>
      <c r="J15" s="8"/>
      <c r="K15" s="8"/>
      <c r="L15" s="8"/>
      <c r="M15" s="8"/>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69">
        <v>0.40493177077464398</v>
      </c>
      <c r="F16" s="71">
        <f t="shared" si="0"/>
        <v>40.493177077464395</v>
      </c>
      <c r="G16" s="72">
        <f>E16*1023</f>
        <v>414.24520150246082</v>
      </c>
      <c r="H16" s="16"/>
      <c r="I16" s="8"/>
      <c r="J16" s="8" t="s">
        <v>676</v>
      </c>
      <c r="K16" s="8"/>
      <c r="L16" s="8" t="s">
        <v>677</v>
      </c>
      <c r="M16" s="8"/>
      <c r="N16" s="8"/>
      <c r="O16" s="8"/>
      <c r="P16" s="8"/>
      <c r="Q16" s="8"/>
      <c r="R16" s="8"/>
      <c r="S16" s="8"/>
      <c r="T16" s="8"/>
      <c r="U16" s="8"/>
      <c r="V16" s="8"/>
      <c r="W16" s="8"/>
      <c r="X16" s="8"/>
      <c r="Y16" s="8"/>
      <c r="Z16" s="8"/>
      <c r="AA16" s="8"/>
      <c r="AB16" s="8"/>
      <c r="AC16" s="8"/>
    </row>
    <row r="17" spans="1:29" ht="15">
      <c r="A17" s="58"/>
      <c r="B17" s="50">
        <v>14</v>
      </c>
      <c r="C17" s="16" t="s">
        <v>88</v>
      </c>
      <c r="D17" s="17">
        <f>0.18*2^0.5</f>
        <v>0.2545584412271571</v>
      </c>
      <c r="E17" s="19">
        <f>0.245281*LOG10((5.555556*D17)+0.064829)+0.384316</f>
        <v>0.42600903732260864</v>
      </c>
      <c r="F17" s="18">
        <f t="shared" si="0"/>
        <v>42.600903732260861</v>
      </c>
      <c r="G17" s="33">
        <v>418.75735048044316</v>
      </c>
      <c r="H17" s="16"/>
      <c r="I17" s="8"/>
      <c r="J17" s="8" t="s">
        <v>678</v>
      </c>
      <c r="K17" s="8"/>
      <c r="L17" s="8" t="s">
        <v>679</v>
      </c>
      <c r="M17" s="8"/>
      <c r="N17" s="8"/>
      <c r="O17" s="8"/>
      <c r="P17" s="8"/>
      <c r="Q17" s="8"/>
      <c r="R17" s="8"/>
      <c r="S17" s="8"/>
      <c r="T17" s="8"/>
      <c r="U17" s="8"/>
      <c r="V17" s="8"/>
      <c r="W17" s="8"/>
      <c r="X17" s="8"/>
      <c r="Y17" s="8"/>
      <c r="Z17" s="8"/>
      <c r="AA17" s="8"/>
      <c r="AB17" s="8"/>
      <c r="AC17" s="8"/>
    </row>
    <row r="18" spans="1:29" ht="15">
      <c r="A18" s="58"/>
      <c r="B18" s="50">
        <v>15</v>
      </c>
      <c r="C18" s="16" t="s">
        <v>89</v>
      </c>
      <c r="D18" s="17">
        <v>0.36</v>
      </c>
      <c r="E18" s="19">
        <v>0.46155109301195302</v>
      </c>
      <c r="F18" s="18">
        <f t="shared" si="0"/>
        <v>46.155109301195303</v>
      </c>
      <c r="G18" s="33">
        <v>472.16676815122793</v>
      </c>
      <c r="H18" s="16"/>
      <c r="I18" s="8"/>
      <c r="J18" s="8" t="s">
        <v>680</v>
      </c>
      <c r="K18" s="8"/>
      <c r="L18" s="8" t="s">
        <v>681</v>
      </c>
      <c r="M18" s="8"/>
      <c r="N18" s="8"/>
      <c r="O18" s="8"/>
      <c r="P18" s="8"/>
      <c r="Q18" s="8"/>
      <c r="R18" s="8"/>
      <c r="S18" s="8"/>
      <c r="T18" s="8"/>
      <c r="U18" s="8"/>
      <c r="V18" s="8"/>
      <c r="W18" s="8"/>
      <c r="X18" s="8"/>
      <c r="Y18" s="8"/>
      <c r="Z18" s="8"/>
      <c r="AA18" s="8"/>
      <c r="AB18" s="8"/>
      <c r="AC18" s="8"/>
    </row>
    <row r="19" spans="1:29" ht="15">
      <c r="A19" s="58"/>
      <c r="B19" s="50">
        <v>16</v>
      </c>
      <c r="C19" s="16" t="s">
        <v>90</v>
      </c>
      <c r="D19" s="17">
        <v>0.72</v>
      </c>
      <c r="E19" s="19">
        <v>0.53370250794799801</v>
      </c>
      <c r="F19" s="18">
        <f t="shared" si="0"/>
        <v>53.370250794799801</v>
      </c>
      <c r="G19" s="33">
        <v>545.97766563080199</v>
      </c>
      <c r="H19" s="16"/>
      <c r="I19" s="8"/>
      <c r="J19" s="8" t="s">
        <v>176</v>
      </c>
      <c r="K19" s="8"/>
      <c r="L19" s="8" t="s">
        <v>176</v>
      </c>
      <c r="M19" s="8"/>
      <c r="N19" s="8"/>
      <c r="O19" s="8"/>
      <c r="P19" s="8"/>
      <c r="Q19" s="8"/>
      <c r="R19" s="8"/>
      <c r="S19" s="8"/>
      <c r="T19" s="8"/>
      <c r="U19" s="8"/>
      <c r="V19" s="8"/>
      <c r="W19" s="8"/>
      <c r="X19" s="8"/>
      <c r="Y19" s="8"/>
      <c r="Z19" s="8"/>
      <c r="AA19" s="8"/>
      <c r="AB19" s="8"/>
      <c r="AC19" s="8"/>
    </row>
    <row r="20" spans="1:29" ht="15">
      <c r="A20" s="58"/>
      <c r="B20" s="82">
        <v>17</v>
      </c>
      <c r="C20" s="73" t="s">
        <v>91</v>
      </c>
      <c r="D20" s="74">
        <v>0.9</v>
      </c>
      <c r="E20" s="112">
        <v>0.55713236397884702</v>
      </c>
      <c r="F20" s="76">
        <f t="shared" si="0"/>
        <v>55.7132363978847</v>
      </c>
      <c r="G20" s="77">
        <v>569.94640835036046</v>
      </c>
      <c r="H20" s="73" t="s">
        <v>205</v>
      </c>
      <c r="I20" s="8"/>
      <c r="J20" s="8" t="s">
        <v>682</v>
      </c>
      <c r="K20" s="8"/>
      <c r="L20" s="8" t="s">
        <v>683</v>
      </c>
      <c r="M20" s="8"/>
      <c r="N20" s="8"/>
      <c r="O20" s="8"/>
      <c r="P20" s="8"/>
      <c r="Q20" s="8"/>
      <c r="R20" s="8"/>
      <c r="S20" s="8"/>
      <c r="T20" s="8"/>
      <c r="U20" s="8"/>
      <c r="V20" s="8"/>
      <c r="W20" s="8"/>
      <c r="X20" s="8"/>
      <c r="Y20" s="8"/>
      <c r="Z20" s="8"/>
      <c r="AA20" s="8"/>
      <c r="AB20" s="8"/>
      <c r="AC20" s="8"/>
    </row>
    <row r="21" spans="1:29" ht="15">
      <c r="A21" s="58"/>
      <c r="B21" s="50">
        <v>18</v>
      </c>
      <c r="C21" s="16" t="s">
        <v>92</v>
      </c>
      <c r="D21" s="17">
        <v>1.44</v>
      </c>
      <c r="E21" s="19">
        <v>0.60668657672726201</v>
      </c>
      <c r="F21" s="18">
        <f t="shared" si="0"/>
        <v>60.668657672726198</v>
      </c>
      <c r="G21" s="33">
        <v>620.64036799198902</v>
      </c>
      <c r="H21" s="16"/>
      <c r="I21" s="8"/>
      <c r="J21" s="8" t="s">
        <v>684</v>
      </c>
      <c r="K21" s="8"/>
      <c r="L21" s="8" t="s">
        <v>685</v>
      </c>
      <c r="M21" s="8"/>
      <c r="N21" s="8"/>
      <c r="O21" s="8"/>
      <c r="P21" s="8"/>
      <c r="Q21" s="8"/>
      <c r="R21" s="8"/>
      <c r="S21" s="8"/>
      <c r="T21" s="8"/>
      <c r="U21" s="8"/>
      <c r="V21" s="8"/>
      <c r="W21" s="8"/>
      <c r="X21" s="8"/>
      <c r="Y21" s="8"/>
      <c r="Z21" s="8"/>
      <c r="AA21" s="8"/>
      <c r="AB21" s="8"/>
      <c r="AC21" s="8"/>
    </row>
    <row r="22" spans="1:29" ht="15">
      <c r="A22" s="58"/>
      <c r="B22" s="50">
        <v>19</v>
      </c>
      <c r="C22" s="16" t="s">
        <v>93</v>
      </c>
      <c r="D22" s="17">
        <v>2.88</v>
      </c>
      <c r="E22" s="19">
        <v>0.68009450591817999</v>
      </c>
      <c r="F22" s="18">
        <f t="shared" si="0"/>
        <v>68.009450591817995</v>
      </c>
      <c r="G22" s="33">
        <v>695.73667955429812</v>
      </c>
      <c r="H22" s="16"/>
      <c r="I22" s="8"/>
      <c r="J22" s="8" t="s">
        <v>686</v>
      </c>
      <c r="K22" s="8"/>
      <c r="L22" s="8" t="s">
        <v>523</v>
      </c>
      <c r="M22" s="8"/>
      <c r="N22" s="8"/>
      <c r="O22" s="8"/>
      <c r="P22" s="8"/>
      <c r="Q22" s="8"/>
      <c r="R22" s="8"/>
      <c r="S22" s="8"/>
      <c r="T22" s="8"/>
      <c r="U22" s="8"/>
      <c r="V22" s="8"/>
      <c r="W22" s="8"/>
      <c r="X22" s="8"/>
      <c r="Y22" s="8"/>
      <c r="Z22" s="8"/>
      <c r="AA22" s="8"/>
      <c r="AB22" s="8"/>
      <c r="AC22" s="8"/>
    </row>
    <row r="23" spans="1:29" ht="15">
      <c r="A23" s="58"/>
      <c r="B23" s="50">
        <v>20</v>
      </c>
      <c r="C23" s="16" t="s">
        <v>94</v>
      </c>
      <c r="D23" s="17">
        <v>5.76</v>
      </c>
      <c r="E23" s="19">
        <v>0.75371629004018204</v>
      </c>
      <c r="F23" s="18">
        <f t="shared" si="0"/>
        <v>75.371629004018203</v>
      </c>
      <c r="G23" s="33">
        <v>771.05176471110622</v>
      </c>
      <c r="H23" s="16"/>
      <c r="I23" s="8"/>
      <c r="J23" s="8" t="s">
        <v>687</v>
      </c>
      <c r="K23" s="8"/>
      <c r="L23" s="8" t="s">
        <v>493</v>
      </c>
      <c r="M23" s="8"/>
      <c r="N23" s="8"/>
      <c r="O23" s="8"/>
      <c r="P23" s="8"/>
      <c r="Q23" s="8"/>
      <c r="R23" s="8"/>
      <c r="S23" s="8"/>
      <c r="T23" s="8"/>
      <c r="U23" s="8"/>
      <c r="V23" s="8"/>
      <c r="W23" s="8"/>
      <c r="X23" s="8"/>
      <c r="Y23" s="8"/>
      <c r="Z23" s="8"/>
      <c r="AA23" s="8"/>
      <c r="AB23" s="8"/>
      <c r="AC23" s="8"/>
    </row>
    <row r="24" spans="1:29" ht="15">
      <c r="A24" s="58"/>
      <c r="B24" s="50">
        <v>21</v>
      </c>
      <c r="C24" s="16" t="s">
        <v>95</v>
      </c>
      <c r="D24" s="17">
        <v>11.52</v>
      </c>
      <c r="E24" s="19">
        <v>0.827445488103977</v>
      </c>
      <c r="F24" s="18">
        <f t="shared" si="0"/>
        <v>82.744548810397703</v>
      </c>
      <c r="G24" s="33">
        <v>846.47673433036846</v>
      </c>
      <c r="H24" s="16"/>
      <c r="I24" s="8"/>
      <c r="J24" s="8"/>
      <c r="K24" s="8"/>
      <c r="L24" s="8"/>
      <c r="M24" s="8"/>
      <c r="N24" s="8"/>
      <c r="O24" s="8"/>
      <c r="P24" s="8"/>
      <c r="Q24" s="8"/>
      <c r="R24" s="8"/>
      <c r="S24" s="8"/>
      <c r="T24" s="8"/>
      <c r="U24" s="8"/>
      <c r="V24" s="8"/>
      <c r="W24" s="8"/>
      <c r="X24" s="8"/>
      <c r="Y24" s="8"/>
      <c r="Z24" s="8"/>
      <c r="AA24" s="8"/>
      <c r="AB24" s="8"/>
      <c r="AC24" s="8"/>
    </row>
    <row r="25" spans="1:29" ht="15">
      <c r="A25" s="58"/>
      <c r="B25" s="50">
        <v>22</v>
      </c>
      <c r="C25" s="16" t="s">
        <v>370</v>
      </c>
      <c r="D25" s="17">
        <v>14.182783641733399</v>
      </c>
      <c r="E25" s="19">
        <v>0.84957632946161499</v>
      </c>
      <c r="F25" s="113">
        <v>84.957632946161496</v>
      </c>
      <c r="G25" s="33">
        <v>869.11658503923218</v>
      </c>
      <c r="H25" s="12" t="s">
        <v>688</v>
      </c>
      <c r="I25" s="8"/>
      <c r="K25" s="8"/>
      <c r="L25" s="8"/>
      <c r="M25" s="8"/>
      <c r="N25" s="8"/>
      <c r="O25" s="8"/>
      <c r="P25" s="8"/>
      <c r="Q25" s="8"/>
      <c r="R25" s="8"/>
      <c r="S25" s="8"/>
      <c r="T25" s="8"/>
      <c r="U25" s="8"/>
      <c r="V25" s="8"/>
      <c r="W25" s="8"/>
      <c r="X25" s="8"/>
      <c r="Y25" s="8"/>
      <c r="Z25" s="8"/>
      <c r="AA25" s="8"/>
      <c r="AB25" s="8"/>
      <c r="AC25" s="8"/>
    </row>
    <row r="26" spans="1:29" ht="15">
      <c r="A26" s="58"/>
      <c r="B26" s="50">
        <v>23</v>
      </c>
      <c r="C26" s="16" t="s">
        <v>96</v>
      </c>
      <c r="D26" s="17">
        <v>23.04</v>
      </c>
      <c r="E26" s="19">
        <v>0.90122851542766602</v>
      </c>
      <c r="F26" s="18">
        <f t="shared" ref="F26:F27" si="1">E26*100</f>
        <v>90.122851542766597</v>
      </c>
      <c r="G26" s="33">
        <v>921.95677128250236</v>
      </c>
      <c r="H26" s="16"/>
      <c r="I26" s="8"/>
      <c r="K26" s="8"/>
      <c r="L26" s="8"/>
      <c r="M26" s="8"/>
      <c r="N26" s="8"/>
      <c r="O26" s="8"/>
      <c r="P26" s="8"/>
      <c r="Q26" s="8"/>
      <c r="R26" s="8"/>
      <c r="S26" s="8"/>
      <c r="T26" s="8"/>
      <c r="U26" s="8"/>
      <c r="V26" s="8"/>
      <c r="W26" s="8"/>
      <c r="X26" s="8"/>
      <c r="Y26" s="8"/>
      <c r="Z26" s="8"/>
      <c r="AA26" s="8"/>
      <c r="AB26" s="8"/>
      <c r="AC26" s="8"/>
    </row>
    <row r="27" spans="1:29" ht="15">
      <c r="A27" s="58"/>
      <c r="B27" s="50">
        <v>24</v>
      </c>
      <c r="C27" s="16" t="s">
        <v>97</v>
      </c>
      <c r="D27" s="17">
        <v>46.08</v>
      </c>
      <c r="E27" s="19">
        <v>0.97503848803780502</v>
      </c>
      <c r="F27" s="18">
        <f t="shared" si="1"/>
        <v>97.5038488037805</v>
      </c>
      <c r="G27" s="33">
        <v>997.46437326267448</v>
      </c>
      <c r="H27" s="16"/>
      <c r="I27" s="8"/>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81"/>
      <c r="H28" s="81"/>
      <c r="I28" s="81"/>
      <c r="J28" s="114"/>
      <c r="K28" s="81"/>
      <c r="L28" s="81"/>
      <c r="M28" s="81"/>
      <c r="N28" s="81"/>
      <c r="O28" s="81"/>
      <c r="P28" s="81"/>
      <c r="Q28" s="81"/>
      <c r="R28" s="81"/>
      <c r="S28" s="81"/>
      <c r="T28" s="81"/>
      <c r="U28" s="81"/>
      <c r="V28" s="81"/>
      <c r="W28" s="81"/>
      <c r="X28" s="81"/>
      <c r="Y28" s="81"/>
      <c r="Z28" s="81"/>
      <c r="AA28" s="81"/>
      <c r="AB28" s="81"/>
      <c r="AC28" s="81"/>
    </row>
    <row r="29" spans="1:29" ht="13">
      <c r="A29" s="8"/>
      <c r="B29" s="43"/>
      <c r="C29" s="41" t="s">
        <v>667</v>
      </c>
      <c r="D29" s="173" t="s">
        <v>142</v>
      </c>
      <c r="E29" s="166"/>
      <c r="F29" s="166"/>
      <c r="G29" s="167"/>
      <c r="H29" s="41" t="s">
        <v>228</v>
      </c>
      <c r="I29" s="8"/>
      <c r="K29" s="8"/>
      <c r="L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K30" s="8"/>
      <c r="L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69">
        <v>9.9051121015624993E-2</v>
      </c>
      <c r="F31" s="71">
        <f t="shared" ref="F31:F191" si="2">E31*100</f>
        <v>9.9051121015624997</v>
      </c>
      <c r="G31" s="84">
        <f t="shared" ref="G31:G191" si="3">E31*1023</f>
        <v>101.32929679898437</v>
      </c>
      <c r="H31" s="43"/>
      <c r="I31" s="8"/>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69">
        <v>9.9495192113644104E-2</v>
      </c>
      <c r="F32" s="71">
        <f t="shared" si="2"/>
        <v>9.9495192113644109</v>
      </c>
      <c r="G32" s="84">
        <f t="shared" si="3"/>
        <v>101.78358153225791</v>
      </c>
      <c r="H32" s="43"/>
      <c r="I32" s="8"/>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69">
        <v>9.9971135733191802E-2</v>
      </c>
      <c r="F33" s="71">
        <f t="shared" si="2"/>
        <v>9.9971135733191794</v>
      </c>
      <c r="G33" s="84">
        <f t="shared" si="3"/>
        <v>102.27047185505522</v>
      </c>
      <c r="H33" s="43"/>
      <c r="I33" s="8"/>
      <c r="J33" s="8"/>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69">
        <v>0.10048123947278299</v>
      </c>
      <c r="F34" s="71">
        <f t="shared" si="2"/>
        <v>10.048123947278299</v>
      </c>
      <c r="G34" s="84">
        <f t="shared" si="3"/>
        <v>102.792307980657</v>
      </c>
      <c r="H34" s="43"/>
      <c r="I34" s="8"/>
      <c r="J34" s="8"/>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69">
        <v>0.10101511860135901</v>
      </c>
      <c r="F35" s="71">
        <f t="shared" si="2"/>
        <v>10.101511860135901</v>
      </c>
      <c r="G35" s="84">
        <f t="shared" si="3"/>
        <v>103.33846632919027</v>
      </c>
      <c r="H35" s="43"/>
      <c r="I35" s="8"/>
      <c r="J35" s="8"/>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69">
        <v>0.10157674076059001</v>
      </c>
      <c r="F36" s="71">
        <f t="shared" si="2"/>
        <v>10.157674076059001</v>
      </c>
      <c r="G36" s="84">
        <f t="shared" si="3"/>
        <v>103.91300579808357</v>
      </c>
      <c r="H36" s="43"/>
      <c r="I36" s="8"/>
      <c r="J36" s="8"/>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69">
        <v>0.10217540311994899</v>
      </c>
      <c r="F37" s="71">
        <f t="shared" si="2"/>
        <v>10.217540311994899</v>
      </c>
      <c r="G37" s="84">
        <f t="shared" si="3"/>
        <v>104.52543739170783</v>
      </c>
      <c r="H37" s="43"/>
      <c r="I37" s="8"/>
      <c r="J37" s="8"/>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69">
        <v>0.10281332005334901</v>
      </c>
      <c r="F38" s="71">
        <f t="shared" si="2"/>
        <v>10.281332005334901</v>
      </c>
      <c r="G38" s="84">
        <f t="shared" si="3"/>
        <v>105.17802641457604</v>
      </c>
      <c r="H38" s="43"/>
      <c r="I38" s="8"/>
      <c r="J38" s="8"/>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69">
        <v>0.10349280767454699</v>
      </c>
      <c r="F39" s="71">
        <f t="shared" si="2"/>
        <v>10.349280767454699</v>
      </c>
      <c r="G39" s="84">
        <f t="shared" si="3"/>
        <v>105.87314225106158</v>
      </c>
      <c r="H39" s="43"/>
      <c r="I39" s="8"/>
      <c r="J39" s="8"/>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69">
        <v>0.104216284344023</v>
      </c>
      <c r="F40" s="71">
        <f t="shared" si="2"/>
        <v>10.421628434402299</v>
      </c>
      <c r="G40" s="84">
        <f t="shared" si="3"/>
        <v>106.61325888393553</v>
      </c>
      <c r="H40" s="43"/>
      <c r="I40" s="8"/>
      <c r="J40" s="8"/>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69">
        <v>0.104986270705235</v>
      </c>
      <c r="F41" s="71">
        <f t="shared" si="2"/>
        <v>10.498627070523501</v>
      </c>
      <c r="G41" s="84">
        <f t="shared" si="3"/>
        <v>107.4009549314554</v>
      </c>
      <c r="H41" s="43"/>
      <c r="I41" s="8"/>
      <c r="J41" s="8"/>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69">
        <v>0.105805388861127</v>
      </c>
      <c r="F42" s="71">
        <f t="shared" si="2"/>
        <v>10.5805388861127</v>
      </c>
      <c r="G42" s="84">
        <f t="shared" si="3"/>
        <v>108.23891280493292</v>
      </c>
      <c r="H42" s="43"/>
      <c r="I42" s="8"/>
      <c r="J42" s="8"/>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69">
        <v>0.10667636087105201</v>
      </c>
      <c r="F43" s="71">
        <f t="shared" si="2"/>
        <v>10.667636087105201</v>
      </c>
      <c r="G43" s="84">
        <f t="shared" si="3"/>
        <v>109.12991717108621</v>
      </c>
      <c r="H43" s="43"/>
      <c r="I43" s="8"/>
      <c r="J43" s="8"/>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69">
        <v>0.107602006327407</v>
      </c>
      <c r="F44" s="71">
        <f t="shared" si="2"/>
        <v>10.7602006327407</v>
      </c>
      <c r="G44" s="84">
        <f t="shared" si="3"/>
        <v>110.07685247293736</v>
      </c>
      <c r="H44" s="43"/>
      <c r="I44" s="8"/>
      <c r="J44" s="8"/>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69">
        <v>0.10858523898719</v>
      </c>
      <c r="F45" s="71">
        <f t="shared" si="2"/>
        <v>10.858523898719</v>
      </c>
      <c r="G45" s="84">
        <f t="shared" si="3"/>
        <v>111.08269948389537</v>
      </c>
      <c r="H45" s="43"/>
      <c r="I45" s="8"/>
      <c r="J45" s="8"/>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69">
        <v>0.10962906228423799</v>
      </c>
      <c r="F46" s="71">
        <f t="shared" si="2"/>
        <v>10.962906228423799</v>
      </c>
      <c r="G46" s="84">
        <f t="shared" si="3"/>
        <v>112.15053071677546</v>
      </c>
      <c r="H46" s="43"/>
      <c r="I46" s="8"/>
      <c r="J46" s="8"/>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69">
        <v>0.11073656382946601</v>
      </c>
      <c r="F47" s="71">
        <f t="shared" si="2"/>
        <v>11.0736563829466</v>
      </c>
      <c r="G47" s="84">
        <f t="shared" si="3"/>
        <v>113.28350479754373</v>
      </c>
      <c r="H47" s="43"/>
      <c r="I47" s="8"/>
      <c r="J47" s="8"/>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69">
        <v>0.111910908554764</v>
      </c>
      <c r="F48" s="71">
        <f t="shared" si="2"/>
        <v>11.1910908554764</v>
      </c>
      <c r="G48" s="84">
        <f t="shared" si="3"/>
        <v>114.48485945152358</v>
      </c>
      <c r="H48" s="43"/>
      <c r="I48" s="8"/>
      <c r="J48" s="8"/>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69">
        <v>0.113155330685056</v>
      </c>
      <c r="F49" s="71">
        <f t="shared" si="2"/>
        <v>11.3155330685056</v>
      </c>
      <c r="G49" s="84">
        <f t="shared" si="3"/>
        <v>115.75790329081228</v>
      </c>
      <c r="H49" s="43"/>
      <c r="I49" s="8"/>
      <c r="J49" s="8"/>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69">
        <v>0.114473124324727</v>
      </c>
      <c r="F50" s="71">
        <f t="shared" si="2"/>
        <v>11.4473124324727</v>
      </c>
      <c r="G50" s="84">
        <f t="shared" si="3"/>
        <v>117.10600618419572</v>
      </c>
      <c r="H50" s="43"/>
      <c r="I50" s="8"/>
      <c r="J50" s="8"/>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69">
        <v>0.115867632626475</v>
      </c>
      <c r="F51" s="71">
        <f t="shared" si="2"/>
        <v>11.5867632626475</v>
      </c>
      <c r="G51" s="84">
        <f t="shared" si="3"/>
        <v>118.53258817688392</v>
      </c>
      <c r="H51" s="43"/>
      <c r="I51" s="8"/>
      <c r="J51" s="8"/>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69">
        <v>0.117342235635666</v>
      </c>
      <c r="F52" s="71">
        <f t="shared" si="2"/>
        <v>11.7342235635666</v>
      </c>
      <c r="G52" s="84">
        <f t="shared" si="3"/>
        <v>120.04110705528632</v>
      </c>
      <c r="H52" s="43"/>
      <c r="I52" s="8"/>
      <c r="J52" s="8"/>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69">
        <v>0.118900336652201</v>
      </c>
      <c r="F53" s="71">
        <f t="shared" si="2"/>
        <v>11.8900336652201</v>
      </c>
      <c r="G53" s="84">
        <f t="shared" si="3"/>
        <v>121.63504439520162</v>
      </c>
      <c r="H53" s="43"/>
      <c r="I53" s="8"/>
      <c r="J53" s="8"/>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69">
        <v>0.12054534722954501</v>
      </c>
      <c r="F54" s="71">
        <f t="shared" si="2"/>
        <v>12.0545347229545</v>
      </c>
      <c r="G54" s="84">
        <f t="shared" si="3"/>
        <v>123.31789021582453</v>
      </c>
      <c r="H54" s="43"/>
      <c r="I54" s="8"/>
      <c r="J54" s="8"/>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69">
        <v>0.12228067080530799</v>
      </c>
      <c r="F55" s="71">
        <f t="shared" si="2"/>
        <v>12.228067080530799</v>
      </c>
      <c r="G55" s="84">
        <f t="shared" si="3"/>
        <v>125.09312623383008</v>
      </c>
      <c r="H55" s="43"/>
      <c r="I55" s="8"/>
      <c r="J55" s="8"/>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69">
        <v>0.124109685140084</v>
      </c>
      <c r="F56" s="71">
        <f t="shared" si="2"/>
        <v>12.410968514008399</v>
      </c>
      <c r="G56" s="84">
        <f t="shared" si="3"/>
        <v>126.96420789830593</v>
      </c>
      <c r="H56" s="43"/>
      <c r="I56" s="8"/>
      <c r="J56" s="8"/>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69">
        <v>0.126035723508022</v>
      </c>
      <c r="F57" s="71">
        <f t="shared" si="2"/>
        <v>12.6035723508022</v>
      </c>
      <c r="G57" s="84">
        <f t="shared" si="3"/>
        <v>128.93454514870652</v>
      </c>
      <c r="H57" s="43"/>
      <c r="I57" s="8"/>
      <c r="J57" s="8"/>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69">
        <v>0.12806205494834</v>
      </c>
      <c r="F58" s="71">
        <f t="shared" si="2"/>
        <v>12.806205494834</v>
      </c>
      <c r="G58" s="84">
        <f t="shared" si="3"/>
        <v>131.00748221215181</v>
      </c>
      <c r="H58" s="43"/>
      <c r="I58" s="8"/>
      <c r="J58" s="8"/>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69">
        <v>0.130191863634743</v>
      </c>
      <c r="F59" s="71">
        <f t="shared" si="2"/>
        <v>13.019186363474301</v>
      </c>
      <c r="G59" s="84">
        <f t="shared" si="3"/>
        <v>133.1862764983421</v>
      </c>
      <c r="H59" s="43"/>
      <c r="I59" s="8"/>
      <c r="J59" s="8"/>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69">
        <v>0.13242822768422799</v>
      </c>
      <c r="F60" s="71">
        <f t="shared" si="2"/>
        <v>13.242822768422799</v>
      </c>
      <c r="G60" s="84">
        <f t="shared" si="3"/>
        <v>135.47407692096525</v>
      </c>
      <c r="H60" s="43"/>
      <c r="I60" s="8"/>
      <c r="J60" s="8"/>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69">
        <v>0.13477409756117301</v>
      </c>
      <c r="F61" s="71">
        <f t="shared" si="2"/>
        <v>13.4774097561173</v>
      </c>
      <c r="G61" s="84">
        <f t="shared" si="3"/>
        <v>137.87390180507998</v>
      </c>
      <c r="H61" s="43"/>
      <c r="I61" s="8"/>
      <c r="J61" s="8"/>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69">
        <v>0.13723227434461399</v>
      </c>
      <c r="F62" s="71">
        <f t="shared" si="2"/>
        <v>13.7232274344614</v>
      </c>
      <c r="G62" s="84">
        <f t="shared" si="3"/>
        <v>140.3886166545401</v>
      </c>
      <c r="H62" s="43"/>
      <c r="I62" s="8"/>
      <c r="J62" s="8"/>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69">
        <v>0.13980538825530101</v>
      </c>
      <c r="F63" s="71">
        <f t="shared" si="2"/>
        <v>13.9805388255301</v>
      </c>
      <c r="G63" s="84">
        <f t="shared" si="3"/>
        <v>143.02091218517293</v>
      </c>
      <c r="H63" s="43"/>
      <c r="I63" s="8"/>
      <c r="J63" s="8"/>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69">
        <v>0.142495877657449</v>
      </c>
      <c r="F64" s="71">
        <f t="shared" si="2"/>
        <v>14.2495877657449</v>
      </c>
      <c r="G64" s="84">
        <f t="shared" si="3"/>
        <v>145.77328284357034</v>
      </c>
      <c r="H64" s="43"/>
      <c r="I64" s="8"/>
      <c r="J64" s="8"/>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69">
        <v>0.14530596890286501</v>
      </c>
      <c r="F65" s="71">
        <f t="shared" si="2"/>
        <v>14.530596890286501</v>
      </c>
      <c r="G65" s="84">
        <f t="shared" si="3"/>
        <v>148.6480061876309</v>
      </c>
      <c r="H65" s="43"/>
      <c r="I65" s="8"/>
      <c r="J65" s="8"/>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69">
        <v>0.14823765734306399</v>
      </c>
      <c r="F66" s="71">
        <f t="shared" si="2"/>
        <v>14.823765734306399</v>
      </c>
      <c r="G66" s="84">
        <f t="shared" si="3"/>
        <v>151.64712346195446</v>
      </c>
      <c r="H66" s="43"/>
      <c r="I66" s="8"/>
      <c r="J66" s="8"/>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69">
        <v>0.15129268985567401</v>
      </c>
      <c r="F67" s="71">
        <f t="shared" si="2"/>
        <v>15.129268985567402</v>
      </c>
      <c r="G67" s="84">
        <f t="shared" si="3"/>
        <v>154.77242172235452</v>
      </c>
      <c r="H67" s="43"/>
      <c r="I67" s="8"/>
      <c r="J67" s="8"/>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69">
        <v>0.154472549143367</v>
      </c>
      <c r="F68" s="71">
        <f t="shared" si="2"/>
        <v>15.4472549143367</v>
      </c>
      <c r="G68" s="84">
        <f t="shared" si="3"/>
        <v>158.02541777366443</v>
      </c>
      <c r="H68" s="43"/>
      <c r="I68" s="8"/>
      <c r="J68" s="8"/>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69">
        <v>0.15777844019738599</v>
      </c>
      <c r="F69" s="71">
        <f t="shared" si="2"/>
        <v>15.777844019738598</v>
      </c>
      <c r="G69" s="84">
        <f t="shared" si="3"/>
        <v>161.40734432192588</v>
      </c>
      <c r="H69" s="43"/>
      <c r="I69" s="8"/>
      <c r="J69" s="8"/>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69">
        <v>0.161211279035327</v>
      </c>
      <c r="F70" s="71">
        <f t="shared" si="2"/>
        <v>16.121127903532699</v>
      </c>
      <c r="G70" s="84">
        <f t="shared" si="3"/>
        <v>164.91913845313954</v>
      </c>
      <c r="H70" s="43"/>
      <c r="I70" s="8"/>
      <c r="J70" s="8"/>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69">
        <v>0.16477168419220301</v>
      </c>
      <c r="F71" s="71">
        <f t="shared" si="2"/>
        <v>16.477168419220302</v>
      </c>
      <c r="G71" s="84">
        <f t="shared" si="3"/>
        <v>168.56143292862367</v>
      </c>
      <c r="H71" s="43"/>
      <c r="I71" s="8"/>
      <c r="J71" s="8"/>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69">
        <v>0.16845997059501899</v>
      </c>
      <c r="F72" s="71">
        <f t="shared" si="2"/>
        <v>16.845997059501901</v>
      </c>
      <c r="G72" s="84">
        <f t="shared" si="3"/>
        <v>172.33454991870443</v>
      </c>
      <c r="H72" s="43"/>
      <c r="I72" s="8"/>
      <c r="J72" s="8"/>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69">
        <v>0.17227614684213299</v>
      </c>
      <c r="F73" s="71">
        <f t="shared" si="2"/>
        <v>17.2276146842133</v>
      </c>
      <c r="G73" s="84">
        <f t="shared" si="3"/>
        <v>176.23849821950205</v>
      </c>
      <c r="H73" s="43"/>
      <c r="I73" s="8"/>
      <c r="J73" s="8"/>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69">
        <v>0.17621991492804301</v>
      </c>
      <c r="F74" s="71">
        <f t="shared" si="2"/>
        <v>17.621991492804302</v>
      </c>
      <c r="G74" s="84">
        <f t="shared" si="3"/>
        <v>180.27297297138799</v>
      </c>
      <c r="H74" s="43"/>
      <c r="I74" s="8"/>
      <c r="J74" s="8"/>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69">
        <v>0.18029067313206101</v>
      </c>
      <c r="F75" s="71">
        <f t="shared" si="2"/>
        <v>18.029067313206102</v>
      </c>
      <c r="G75" s="84">
        <f t="shared" si="3"/>
        <v>184.43735861409843</v>
      </c>
      <c r="H75" s="43"/>
      <c r="I75" s="8"/>
      <c r="J75" s="8"/>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69">
        <v>0.18448752175500599</v>
      </c>
      <c r="F76" s="71">
        <f t="shared" si="2"/>
        <v>18.448752175500598</v>
      </c>
      <c r="G76" s="84">
        <f t="shared" si="3"/>
        <v>188.73073475537112</v>
      </c>
      <c r="H76" s="43"/>
      <c r="I76" s="8"/>
      <c r="J76" s="8"/>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69">
        <v>0.188809271620244</v>
      </c>
      <c r="F77" s="71">
        <f t="shared" si="2"/>
        <v>18.880927162024399</v>
      </c>
      <c r="G77" s="84">
        <f t="shared" si="3"/>
        <v>193.15188486750961</v>
      </c>
      <c r="H77" s="43"/>
      <c r="I77" s="8"/>
      <c r="J77" s="8"/>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69">
        <v>0.193254455202616</v>
      </c>
      <c r="F78" s="71">
        <f t="shared" si="2"/>
        <v>19.325445520261599</v>
      </c>
      <c r="G78" s="84">
        <f t="shared" si="3"/>
        <v>197.69930767227618</v>
      </c>
      <c r="H78" s="43"/>
      <c r="I78" s="8"/>
      <c r="J78" s="8"/>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69">
        <v>0.19782133985601999</v>
      </c>
      <c r="F79" s="71">
        <f t="shared" si="2"/>
        <v>19.782133985601998</v>
      </c>
      <c r="G79" s="84">
        <f t="shared" si="3"/>
        <v>202.37123067270846</v>
      </c>
      <c r="H79" s="43"/>
      <c r="I79" s="8"/>
      <c r="J79" s="8"/>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69">
        <v>0.20250794369029601</v>
      </c>
      <c r="F80" s="71">
        <f t="shared" si="2"/>
        <v>20.250794369029602</v>
      </c>
      <c r="G80" s="84">
        <f t="shared" si="3"/>
        <v>207.16562639517281</v>
      </c>
      <c r="H80" s="43"/>
      <c r="I80" s="8"/>
      <c r="J80" s="8"/>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69">
        <v>0.20731205267236499</v>
      </c>
      <c r="F81" s="71">
        <f t="shared" si="2"/>
        <v>20.731205267236501</v>
      </c>
      <c r="G81" s="84">
        <f t="shared" si="3"/>
        <v>212.08022988382939</v>
      </c>
      <c r="H81" s="43"/>
      <c r="I81" s="8"/>
      <c r="J81" s="8"/>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69">
        <v>0.21223123974675401</v>
      </c>
      <c r="F82" s="71">
        <f t="shared" si="2"/>
        <v>21.223123974675399</v>
      </c>
      <c r="G82" s="84">
        <f t="shared" si="3"/>
        <v>217.11255826092935</v>
      </c>
      <c r="H82" s="43"/>
      <c r="I82" s="8"/>
      <c r="J82" s="8"/>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69">
        <v>0.217262884805006</v>
      </c>
      <c r="F83" s="71">
        <f t="shared" si="2"/>
        <v>21.7262884805006</v>
      </c>
      <c r="G83" s="84">
        <f t="shared" si="3"/>
        <v>222.25993115552114</v>
      </c>
      <c r="H83" s="43"/>
      <c r="I83" s="8"/>
      <c r="J83" s="8"/>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69">
        <v>0.22240419571133199</v>
      </c>
      <c r="F84" s="71">
        <f t="shared" si="2"/>
        <v>22.240419571133199</v>
      </c>
      <c r="G84" s="84">
        <f t="shared" si="3"/>
        <v>227.51949221269263</v>
      </c>
      <c r="H84" s="43"/>
      <c r="I84" s="8"/>
      <c r="J84" s="8"/>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69">
        <v>0.227652229767285</v>
      </c>
      <c r="F85" s="71">
        <f t="shared" si="2"/>
        <v>22.765222976728499</v>
      </c>
      <c r="G85" s="84">
        <f t="shared" si="3"/>
        <v>232.88823105193256</v>
      </c>
      <c r="H85" s="43"/>
      <c r="I85" s="8"/>
      <c r="J85" s="8"/>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69">
        <v>0.233003915393204</v>
      </c>
      <c r="F86" s="71">
        <f t="shared" si="2"/>
        <v>23.300391539320401</v>
      </c>
      <c r="G86" s="84">
        <f t="shared" si="3"/>
        <v>238.3630054472477</v>
      </c>
      <c r="H86" s="43"/>
      <c r="I86" s="8"/>
      <c r="J86" s="8"/>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69">
        <v>0.23845607376038699</v>
      </c>
      <c r="F87" s="71">
        <f t="shared" si="2"/>
        <v>23.8456073760387</v>
      </c>
      <c r="G87" s="84">
        <f t="shared" si="3"/>
        <v>243.94056345687591</v>
      </c>
      <c r="H87" s="43"/>
      <c r="I87" s="8"/>
      <c r="J87" s="8"/>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69">
        <v>0.24400543997572599</v>
      </c>
      <c r="F88" s="71">
        <f t="shared" si="2"/>
        <v>24.400543997572598</v>
      </c>
      <c r="G88" s="84">
        <f t="shared" si="3"/>
        <v>249.61756509516769</v>
      </c>
      <c r="H88" s="43"/>
      <c r="I88" s="8"/>
      <c r="J88" s="8"/>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69">
        <v>0.249648683819953</v>
      </c>
      <c r="F89" s="71">
        <f t="shared" si="2"/>
        <v>24.964868381995302</v>
      </c>
      <c r="G89" s="84">
        <f t="shared" si="3"/>
        <v>255.39060354781193</v>
      </c>
      <c r="H89" s="43"/>
      <c r="I89" s="8"/>
      <c r="J89" s="8"/>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69">
        <v>0.25538242952658702</v>
      </c>
      <c r="F90" s="71">
        <f t="shared" si="2"/>
        <v>25.538242952658702</v>
      </c>
      <c r="G90" s="84">
        <f t="shared" si="3"/>
        <v>261.2562254056985</v>
      </c>
      <c r="H90" s="43"/>
      <c r="I90" s="8"/>
      <c r="J90" s="8"/>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69">
        <v>0.26120327459487103</v>
      </c>
      <c r="F91" s="71">
        <f t="shared" si="2"/>
        <v>26.120327459487104</v>
      </c>
      <c r="G91" s="84">
        <f t="shared" si="3"/>
        <v>267.21094991055304</v>
      </c>
      <c r="H91" s="43"/>
      <c r="I91" s="8"/>
      <c r="J91" s="8"/>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69">
        <v>0.26710780747850299</v>
      </c>
      <c r="F92" s="71">
        <f t="shared" si="2"/>
        <v>26.710780747850301</v>
      </c>
      <c r="G92" s="84">
        <f t="shared" si="3"/>
        <v>273.25128705050855</v>
      </c>
      <c r="H92" s="43"/>
      <c r="I92" s="8"/>
      <c r="J92" s="8"/>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69">
        <v>0.27309262402642698</v>
      </c>
      <c r="F93" s="71">
        <f t="shared" si="2"/>
        <v>27.309262402642698</v>
      </c>
      <c r="G93" s="84">
        <f t="shared" si="3"/>
        <v>279.37375437903478</v>
      </c>
      <c r="H93" s="43"/>
      <c r="I93" s="8"/>
      <c r="J93" s="8"/>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69">
        <v>0.27915434253564497</v>
      </c>
      <c r="F94" s="71">
        <f t="shared" si="2"/>
        <v>27.915434253564499</v>
      </c>
      <c r="G94" s="84">
        <f t="shared" si="3"/>
        <v>285.57489241396479</v>
      </c>
      <c r="H94" s="43"/>
      <c r="I94" s="8"/>
      <c r="J94" s="8"/>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69">
        <v>0.28528961743072101</v>
      </c>
      <c r="F95" s="71">
        <f t="shared" si="2"/>
        <v>28.528961743072102</v>
      </c>
      <c r="G95" s="84">
        <f t="shared" si="3"/>
        <v>291.85127863162757</v>
      </c>
      <c r="H95" s="43"/>
      <c r="I95" s="8"/>
      <c r="J95" s="8"/>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69">
        <v>0.29149515162227002</v>
      </c>
      <c r="F96" s="71">
        <f t="shared" si="2"/>
        <v>29.149515162227001</v>
      </c>
      <c r="G96" s="84">
        <f t="shared" si="3"/>
        <v>298.19954010958224</v>
      </c>
      <c r="H96" s="43"/>
      <c r="I96" s="8"/>
      <c r="J96" s="8"/>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69">
        <v>0.29776770725575702</v>
      </c>
      <c r="F97" s="71">
        <f t="shared" si="2"/>
        <v>29.776770725575702</v>
      </c>
      <c r="G97" s="84">
        <f t="shared" si="3"/>
        <v>304.61636452263946</v>
      </c>
      <c r="H97" s="43"/>
      <c r="I97" s="8"/>
      <c r="J97" s="8"/>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69">
        <v>0.30410411533706799</v>
      </c>
      <c r="F98" s="71">
        <f t="shared" si="2"/>
        <v>30.4104115337068</v>
      </c>
      <c r="G98" s="84">
        <f t="shared" si="3"/>
        <v>311.09850998982057</v>
      </c>
      <c r="H98" s="43"/>
      <c r="I98" s="8"/>
      <c r="J98" s="8"/>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69">
        <v>0.31050128377332897</v>
      </c>
      <c r="F99" s="71">
        <f t="shared" si="2"/>
        <v>31.050128377332896</v>
      </c>
      <c r="G99" s="84">
        <f t="shared" si="3"/>
        <v>317.64281330011556</v>
      </c>
      <c r="H99" s="43"/>
      <c r="I99" s="8"/>
      <c r="J99" s="8"/>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69">
        <v>0.31695620425578402</v>
      </c>
      <c r="F100" s="71">
        <f t="shared" si="2"/>
        <v>31.695620425578401</v>
      </c>
      <c r="G100" s="84">
        <f t="shared" si="3"/>
        <v>324.24619695366704</v>
      </c>
      <c r="H100" s="43"/>
      <c r="I100" s="8"/>
      <c r="J100" s="8"/>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69">
        <v>0.323465957930612</v>
      </c>
      <c r="F101" s="71">
        <f t="shared" si="2"/>
        <v>32.346595793061198</v>
      </c>
      <c r="G101" s="84">
        <f t="shared" si="3"/>
        <v>330.90567496301605</v>
      </c>
      <c r="H101" s="43"/>
      <c r="I101" s="8"/>
      <c r="J101" s="8"/>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69">
        <v>0.33002771986867602</v>
      </c>
      <c r="F102" s="71">
        <f t="shared" si="2"/>
        <v>33.0027719868676</v>
      </c>
      <c r="G102" s="84">
        <f t="shared" si="3"/>
        <v>337.61835742565557</v>
      </c>
      <c r="H102" s="43"/>
      <c r="I102" s="8"/>
      <c r="J102" s="8"/>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69">
        <v>0.33663876245450303</v>
      </c>
      <c r="F103" s="71">
        <f t="shared" si="2"/>
        <v>33.663876245450304</v>
      </c>
      <c r="G103" s="84">
        <f t="shared" si="3"/>
        <v>344.38145399095657</v>
      </c>
      <c r="H103" s="43"/>
      <c r="I103" s="8"/>
      <c r="J103" s="8"/>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69">
        <v>0.343296458106993</v>
      </c>
      <c r="F104" s="71">
        <f t="shared" si="2"/>
        <v>34.329645810699297</v>
      </c>
      <c r="G104" s="84">
        <f t="shared" si="3"/>
        <v>351.19227664345385</v>
      </c>
      <c r="H104" s="43"/>
      <c r="I104" s="8"/>
      <c r="J104" s="8"/>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69">
        <v>0.34999828041562497</v>
      </c>
      <c r="F105" s="71">
        <f t="shared" si="2"/>
        <v>34.999828041562495</v>
      </c>
      <c r="G105" s="84">
        <f t="shared" si="3"/>
        <v>358.04824086518437</v>
      </c>
      <c r="H105" s="43"/>
      <c r="I105" s="8"/>
      <c r="J105" s="8"/>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69">
        <v>0.356741805257491</v>
      </c>
      <c r="F106" s="71">
        <f t="shared" si="2"/>
        <v>35.674180525749101</v>
      </c>
      <c r="G106" s="84">
        <f t="shared" si="3"/>
        <v>364.94686677841327</v>
      </c>
      <c r="H106" s="43"/>
      <c r="I106" s="8"/>
      <c r="J106" s="8"/>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69">
        <v>0.36352471096914302</v>
      </c>
      <c r="F107" s="71">
        <f t="shared" si="2"/>
        <v>36.3524710969143</v>
      </c>
      <c r="G107" s="84">
        <f t="shared" si="3"/>
        <v>371.88577932143329</v>
      </c>
      <c r="H107" s="43"/>
      <c r="I107" s="8"/>
      <c r="J107" s="8"/>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69">
        <v>0.37034477741475602</v>
      </c>
      <c r="F108" s="71">
        <f t="shared" si="2"/>
        <v>37.034477741475605</v>
      </c>
      <c r="G108" s="84">
        <f t="shared" si="3"/>
        <v>378.86270729529542</v>
      </c>
      <c r="H108" s="43"/>
      <c r="I108" s="8"/>
      <c r="J108" s="8"/>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69">
        <v>0.37719988538506299</v>
      </c>
      <c r="F109" s="71">
        <f t="shared" si="2"/>
        <v>37.7199885385063</v>
      </c>
      <c r="G109" s="84">
        <f t="shared" si="3"/>
        <v>385.87548274891947</v>
      </c>
      <c r="H109" s="43"/>
      <c r="I109" s="8"/>
      <c r="J109" s="8"/>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69">
        <v>0.38408801456060099</v>
      </c>
      <c r="F110" s="71">
        <f t="shared" si="2"/>
        <v>38.408801456060097</v>
      </c>
      <c r="G110" s="84">
        <f t="shared" si="3"/>
        <v>392.92203889549484</v>
      </c>
      <c r="H110" s="43"/>
      <c r="I110" s="8"/>
      <c r="J110" s="8"/>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69">
        <v>0.39100724189122998</v>
      </c>
      <c r="F111" s="71">
        <f t="shared" si="2"/>
        <v>39.100724189123</v>
      </c>
      <c r="G111" s="84">
        <f t="shared" si="3"/>
        <v>400.0004084547283</v>
      </c>
      <c r="H111" s="43"/>
      <c r="I111" s="8"/>
      <c r="J111" s="8"/>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69">
        <v>0.39795573927031602</v>
      </c>
      <c r="F112" s="71">
        <f t="shared" si="2"/>
        <v>39.795573927031604</v>
      </c>
      <c r="G112" s="84">
        <f t="shared" si="3"/>
        <v>407.10872127353326</v>
      </c>
      <c r="H112" s="43"/>
      <c r="I112" s="8"/>
      <c r="J112" s="8"/>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69">
        <v>0.40493177077464398</v>
      </c>
      <c r="F113" s="71">
        <f t="shared" si="2"/>
        <v>40.493177077464395</v>
      </c>
      <c r="G113" s="84">
        <f t="shared" si="3"/>
        <v>414.24520150246082</v>
      </c>
      <c r="H113" s="43"/>
      <c r="I113" s="8"/>
      <c r="J113" s="8"/>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69">
        <v>0.41193369017453701</v>
      </c>
      <c r="F114" s="71">
        <f t="shared" si="2"/>
        <v>41.193369017453705</v>
      </c>
      <c r="G114" s="84">
        <f t="shared" si="3"/>
        <v>421.40816504855138</v>
      </c>
      <c r="H114" s="43"/>
      <c r="I114" s="8"/>
      <c r="J114" s="8"/>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69">
        <v>0.41895993773472601</v>
      </c>
      <c r="F115" s="71">
        <f t="shared" si="2"/>
        <v>41.895993773472604</v>
      </c>
      <c r="G115" s="84">
        <f t="shared" si="3"/>
        <v>428.59601630262472</v>
      </c>
      <c r="H115" s="43"/>
      <c r="I115" s="8"/>
      <c r="J115" s="8"/>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69">
        <v>0.426009037311742</v>
      </c>
      <c r="F116" s="71">
        <f t="shared" si="2"/>
        <v>42.600903731174199</v>
      </c>
      <c r="G116" s="84">
        <f t="shared" si="3"/>
        <v>435.80724516991205</v>
      </c>
      <c r="H116" s="43"/>
      <c r="I116" s="8"/>
      <c r="J116" s="8"/>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69">
        <v>0.433079593075341</v>
      </c>
      <c r="F117" s="71">
        <f t="shared" si="2"/>
        <v>43.307959307534098</v>
      </c>
      <c r="G117" s="84">
        <f t="shared" si="3"/>
        <v>443.04042371607386</v>
      </c>
      <c r="H117" s="43"/>
      <c r="I117" s="8"/>
      <c r="J117" s="8"/>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69">
        <v>0.44017028629530203</v>
      </c>
      <c r="F118" s="71">
        <f t="shared" si="2"/>
        <v>44.017028629530202</v>
      </c>
      <c r="G118" s="84">
        <f t="shared" si="3"/>
        <v>450.29420288009396</v>
      </c>
      <c r="H118" s="43"/>
      <c r="I118" s="8"/>
      <c r="J118" s="8"/>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69">
        <v>0.44727987221425902</v>
      </c>
      <c r="F119" s="71">
        <f t="shared" si="2"/>
        <v>44.727987221425906</v>
      </c>
      <c r="G119" s="84">
        <f t="shared" si="3"/>
        <v>457.56730927518697</v>
      </c>
      <c r="H119" s="43"/>
      <c r="I119" s="8"/>
      <c r="J119" s="8"/>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69">
        <v>0.45440717669775299</v>
      </c>
      <c r="F120" s="71">
        <f t="shared" si="2"/>
        <v>45.440717669775296</v>
      </c>
      <c r="G120" s="84">
        <f t="shared" si="3"/>
        <v>464.85854176180129</v>
      </c>
      <c r="H120" s="43"/>
      <c r="I120" s="8"/>
      <c r="J120" s="8"/>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69">
        <v>0.46155109301195302</v>
      </c>
      <c r="F121" s="71">
        <f t="shared" si="2"/>
        <v>46.155109301195303</v>
      </c>
      <c r="G121" s="84">
        <f t="shared" si="3"/>
        <v>472.16676815122793</v>
      </c>
      <c r="H121" s="43"/>
      <c r="I121" s="8"/>
      <c r="J121" s="8"/>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69">
        <v>0.46871057875508298</v>
      </c>
      <c r="F122" s="71">
        <f t="shared" si="2"/>
        <v>46.871057875508299</v>
      </c>
      <c r="G122" s="84">
        <f t="shared" si="3"/>
        <v>479.49092206644991</v>
      </c>
      <c r="H122" s="43"/>
      <c r="I122" s="8"/>
      <c r="J122" s="8"/>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69">
        <v>0.47588465263315499</v>
      </c>
      <c r="F123" s="71">
        <f t="shared" si="2"/>
        <v>47.588465263315499</v>
      </c>
      <c r="G123" s="84">
        <f t="shared" si="3"/>
        <v>486.82999964371754</v>
      </c>
      <c r="H123" s="43"/>
      <c r="I123" s="8"/>
      <c r="J123" s="8"/>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69">
        <v>0.48307239144406799</v>
      </c>
      <c r="F124" s="71">
        <f t="shared" si="2"/>
        <v>48.3072391444068</v>
      </c>
      <c r="G124" s="84">
        <f t="shared" si="3"/>
        <v>494.18305644728156</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69">
        <v>0.49027292714590298</v>
      </c>
      <c r="F125" s="71">
        <f t="shared" si="2"/>
        <v>49.027292714590295</v>
      </c>
      <c r="G125" s="84">
        <f t="shared" si="3"/>
        <v>501.54920447025876</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69">
        <v>0.49748544393712302</v>
      </c>
      <c r="F126" s="71">
        <f t="shared" si="2"/>
        <v>49.748544393712301</v>
      </c>
      <c r="G126" s="84">
        <f t="shared" si="3"/>
        <v>508.92760914767683</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69">
        <v>0.50470917548391603</v>
      </c>
      <c r="F127" s="71">
        <f t="shared" si="2"/>
        <v>50.470917548391604</v>
      </c>
      <c r="G127" s="84">
        <f t="shared" si="3"/>
        <v>516.31748652004615</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69">
        <v>0.511943402327242</v>
      </c>
      <c r="F128" s="71">
        <f t="shared" si="2"/>
        <v>51.194340232724201</v>
      </c>
      <c r="G128" s="84">
        <f t="shared" si="3"/>
        <v>523.71810058076858</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69">
        <v>0.51918744913773596</v>
      </c>
      <c r="F129" s="71">
        <f t="shared" si="2"/>
        <v>51.918744913773594</v>
      </c>
      <c r="G129" s="84">
        <f t="shared" si="3"/>
        <v>531.12876046790393</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69">
        <v>0.52644068238877995</v>
      </c>
      <c r="F130" s="71">
        <f t="shared" si="2"/>
        <v>52.644068238877992</v>
      </c>
      <c r="G130" s="84">
        <f t="shared" si="3"/>
        <v>538.54881808372193</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69">
        <v>0.53370250794799801</v>
      </c>
      <c r="F131" s="71">
        <f t="shared" si="2"/>
        <v>53.370250794799801</v>
      </c>
      <c r="G131" s="84">
        <f t="shared" si="3"/>
        <v>545.97766563080199</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69">
        <v>0.54097236878895905</v>
      </c>
      <c r="F132" s="71">
        <f t="shared" si="2"/>
        <v>54.097236878895906</v>
      </c>
      <c r="G132" s="84">
        <f t="shared" si="3"/>
        <v>553.41473327110509</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69">
        <v>0.54824974288323303</v>
      </c>
      <c r="F133" s="71">
        <f t="shared" si="2"/>
        <v>54.824974288323304</v>
      </c>
      <c r="G133" s="84">
        <f t="shared" si="3"/>
        <v>560.85948696954733</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69">
        <v>0.55553414110215904</v>
      </c>
      <c r="F134" s="71">
        <f t="shared" si="2"/>
        <v>55.553414110215904</v>
      </c>
      <c r="G134" s="84">
        <f t="shared" si="3"/>
        <v>568.3114263475087</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69">
        <v>0.562825105316487</v>
      </c>
      <c r="F135" s="71">
        <f t="shared" si="2"/>
        <v>56.282510531648697</v>
      </c>
      <c r="G135" s="84">
        <f t="shared" si="3"/>
        <v>575.77008273876618</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69">
        <v>0.57012220650091805</v>
      </c>
      <c r="F136" s="71">
        <f t="shared" si="2"/>
        <v>57.012220650091805</v>
      </c>
      <c r="G136" s="84">
        <f t="shared" si="3"/>
        <v>583.23501725043911</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69">
        <v>0.57742504300642705</v>
      </c>
      <c r="F137" s="71">
        <f t="shared" si="2"/>
        <v>57.742504300642707</v>
      </c>
      <c r="G137" s="84">
        <f t="shared" si="3"/>
        <v>590.70581899557487</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69">
        <v>0.58473323890807904</v>
      </c>
      <c r="F138" s="71">
        <f t="shared" si="2"/>
        <v>58.473323890807904</v>
      </c>
      <c r="G138" s="84">
        <f t="shared" si="3"/>
        <v>598.18210340296491</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69">
        <v>0.59204644234919501</v>
      </c>
      <c r="F139" s="71">
        <f t="shared" si="2"/>
        <v>59.204644234919499</v>
      </c>
      <c r="G139" s="84">
        <f t="shared" si="3"/>
        <v>605.66351052322648</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69">
        <v>0.59936432428925102</v>
      </c>
      <c r="F140" s="71">
        <f t="shared" si="2"/>
        <v>59.936432428925102</v>
      </c>
      <c r="G140" s="84">
        <f t="shared" si="3"/>
        <v>613.1497037479038</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69">
        <v>0.60668657672726201</v>
      </c>
      <c r="F141" s="71">
        <f t="shared" si="2"/>
        <v>60.668657672726198</v>
      </c>
      <c r="G141" s="84">
        <f t="shared" si="3"/>
        <v>620.64036799198902</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69">
        <v>0.61401291174641703</v>
      </c>
      <c r="F142" s="71">
        <f t="shared" si="2"/>
        <v>61.401291174641706</v>
      </c>
      <c r="G142" s="84">
        <f t="shared" si="3"/>
        <v>628.13520871658466</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69">
        <v>0.62134306004192896</v>
      </c>
      <c r="F143" s="71">
        <f t="shared" si="2"/>
        <v>62.134306004192894</v>
      </c>
      <c r="G143" s="84">
        <f t="shared" si="3"/>
        <v>635.63395042289335</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69">
        <v>0.62867676984646303</v>
      </c>
      <c r="F144" s="71">
        <f t="shared" si="2"/>
        <v>62.867676984646302</v>
      </c>
      <c r="G144" s="84">
        <f t="shared" si="3"/>
        <v>643.13633555293166</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69">
        <v>0.63601380581257505</v>
      </c>
      <c r="F145" s="71">
        <f t="shared" si="2"/>
        <v>63.601380581257501</v>
      </c>
      <c r="G145" s="84">
        <f t="shared" si="3"/>
        <v>650.64212334626427</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69">
        <v>0.64335394782467104</v>
      </c>
      <c r="F146" s="71">
        <f t="shared" si="2"/>
        <v>64.335394782467105</v>
      </c>
      <c r="G146" s="84">
        <f t="shared" si="3"/>
        <v>658.15108862463842</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69">
        <v>0.65069699032654504</v>
      </c>
      <c r="F147" s="71">
        <f t="shared" si="2"/>
        <v>65.069699032654498</v>
      </c>
      <c r="G147" s="84">
        <f t="shared" si="3"/>
        <v>665.66302110405559</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69">
        <v>0.65804274114205596</v>
      </c>
      <c r="F148" s="71">
        <f t="shared" si="2"/>
        <v>65.804274114205597</v>
      </c>
      <c r="G148" s="84">
        <f t="shared" si="3"/>
        <v>673.17772418832328</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69">
        <v>0.66539102065086198</v>
      </c>
      <c r="F149" s="71">
        <f t="shared" si="2"/>
        <v>66.539102065086198</v>
      </c>
      <c r="G149" s="84">
        <f t="shared" si="3"/>
        <v>680.69501412583179</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69">
        <v>0.672741661190147</v>
      </c>
      <c r="F150" s="71">
        <f t="shared" si="2"/>
        <v>67.274166119014694</v>
      </c>
      <c r="G150" s="84">
        <f t="shared" si="3"/>
        <v>688.21471939752041</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69">
        <v>0.68009450591817999</v>
      </c>
      <c r="F151" s="71">
        <f t="shared" si="2"/>
        <v>68.009450591817995</v>
      </c>
      <c r="G151" s="84">
        <f t="shared" si="3"/>
        <v>695.73667955429812</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69">
        <v>0.68744940847024605</v>
      </c>
      <c r="F152" s="71">
        <f t="shared" si="2"/>
        <v>68.744940847024608</v>
      </c>
      <c r="G152" s="84">
        <f t="shared" si="3"/>
        <v>703.26074486506172</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69">
        <v>0.69480623206362202</v>
      </c>
      <c r="F153" s="71">
        <f t="shared" si="2"/>
        <v>69.480623206362196</v>
      </c>
      <c r="G153" s="84">
        <f t="shared" si="3"/>
        <v>710.78677540108538</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69">
        <v>0.70216484897103604</v>
      </c>
      <c r="F154" s="71">
        <f t="shared" si="2"/>
        <v>70.216484897103598</v>
      </c>
      <c r="G154" s="84">
        <f t="shared" si="3"/>
        <v>718.31464049736985</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69">
        <v>0.70952513989320898</v>
      </c>
      <c r="F155" s="71">
        <f t="shared" si="2"/>
        <v>70.952513989320892</v>
      </c>
      <c r="G155" s="84">
        <f t="shared" si="3"/>
        <v>725.84421811075276</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69">
        <v>0.71688699339981798</v>
      </c>
      <c r="F156" s="71">
        <f t="shared" si="2"/>
        <v>71.688699339981795</v>
      </c>
      <c r="G156" s="84">
        <f t="shared" si="3"/>
        <v>733.37539424801378</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69">
        <v>0.72425030544095603</v>
      </c>
      <c r="F157" s="71">
        <f t="shared" si="2"/>
        <v>72.425030544095605</v>
      </c>
      <c r="G157" s="84">
        <f t="shared" si="3"/>
        <v>740.90806246609804</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69">
        <v>0.73161497886001103</v>
      </c>
      <c r="F158" s="71">
        <f t="shared" si="2"/>
        <v>73.161497886001101</v>
      </c>
      <c r="G158" s="84">
        <f t="shared" si="3"/>
        <v>748.44212337379133</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69">
        <v>0.73898092297588103</v>
      </c>
      <c r="F159" s="71">
        <f t="shared" si="2"/>
        <v>73.898092297588107</v>
      </c>
      <c r="G159" s="84">
        <f t="shared" si="3"/>
        <v>755.97748420432629</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69">
        <v>0.74634805304770302</v>
      </c>
      <c r="F160" s="71">
        <f t="shared" si="2"/>
        <v>74.634805304770296</v>
      </c>
      <c r="G160" s="84">
        <f t="shared" si="3"/>
        <v>763.51405826780024</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69">
        <v>0.75371629004018204</v>
      </c>
      <c r="F161" s="71">
        <f t="shared" si="2"/>
        <v>75.371629004018203</v>
      </c>
      <c r="G161" s="84">
        <f t="shared" si="3"/>
        <v>771.05176471110622</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69">
        <v>0.76108556010019002</v>
      </c>
      <c r="F162" s="71">
        <f t="shared" si="2"/>
        <v>76.108556010019001</v>
      </c>
      <c r="G162" s="84">
        <f t="shared" si="3"/>
        <v>778.59052798249434</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69">
        <v>0.76845579432636302</v>
      </c>
      <c r="F163" s="71">
        <f t="shared" si="2"/>
        <v>76.845579432636299</v>
      </c>
      <c r="G163" s="84">
        <f t="shared" si="3"/>
        <v>786.13027759586942</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69">
        <v>0.77582692836045297</v>
      </c>
      <c r="F164" s="71">
        <f t="shared" si="2"/>
        <v>77.582692836045297</v>
      </c>
      <c r="G164" s="84">
        <f t="shared" si="3"/>
        <v>793.67094771274344</v>
      </c>
      <c r="H164" s="43"/>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43" t="s">
        <v>361</v>
      </c>
      <c r="D165" s="69">
        <v>7.6003655660518703</v>
      </c>
      <c r="E165" s="69">
        <v>0.78319890215002597</v>
      </c>
      <c r="F165" s="71">
        <f t="shared" si="2"/>
        <v>78.319890215002602</v>
      </c>
      <c r="G165" s="84">
        <f t="shared" si="3"/>
        <v>801.21247689947654</v>
      </c>
      <c r="H165" s="43"/>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43" t="s">
        <v>362</v>
      </c>
      <c r="D166" s="69">
        <v>8.1458701192690199</v>
      </c>
      <c r="E166" s="69">
        <v>0.790571659632891</v>
      </c>
      <c r="F166" s="71">
        <f t="shared" si="2"/>
        <v>79.057165963289094</v>
      </c>
      <c r="G166" s="84">
        <f t="shared" si="3"/>
        <v>808.75480780444752</v>
      </c>
      <c r="H166" s="43"/>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43" t="s">
        <v>363</v>
      </c>
      <c r="D167" s="69">
        <v>8.7305274230998897</v>
      </c>
      <c r="E167" s="69">
        <v>0.79794514848293197</v>
      </c>
      <c r="F167" s="71">
        <f t="shared" si="2"/>
        <v>79.79451484829319</v>
      </c>
      <c r="G167" s="84">
        <f t="shared" si="3"/>
        <v>816.29788689803945</v>
      </c>
      <c r="H167" s="43"/>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43" t="s">
        <v>364</v>
      </c>
      <c r="D168" s="69">
        <v>9.3571476060238297</v>
      </c>
      <c r="E168" s="69">
        <v>0.80531931984749705</v>
      </c>
      <c r="F168" s="71">
        <f t="shared" si="2"/>
        <v>80.531931984749704</v>
      </c>
      <c r="G168" s="84">
        <f t="shared" si="3"/>
        <v>823.84166420398947</v>
      </c>
      <c r="H168" s="43"/>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43" t="s">
        <v>365</v>
      </c>
      <c r="D169" s="69">
        <v>10.0287424891713</v>
      </c>
      <c r="E169" s="69">
        <v>0.81269412814400399</v>
      </c>
      <c r="F169" s="71">
        <f t="shared" si="2"/>
        <v>81.269412814400397</v>
      </c>
      <c r="G169" s="84">
        <f t="shared" si="3"/>
        <v>831.38609309131607</v>
      </c>
      <c r="H169" s="43"/>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43" t="s">
        <v>366</v>
      </c>
      <c r="D170" s="69">
        <v>10.748540062504</v>
      </c>
      <c r="E170" s="69">
        <v>0.82006953076807898</v>
      </c>
      <c r="F170" s="71">
        <f t="shared" si="2"/>
        <v>82.006953076807903</v>
      </c>
      <c r="G170" s="84">
        <f t="shared" si="3"/>
        <v>838.93112997574485</v>
      </c>
      <c r="H170" s="43"/>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43" t="s">
        <v>367</v>
      </c>
      <c r="D171" s="69">
        <v>11.52</v>
      </c>
      <c r="E171" s="69">
        <v>0.827445488103977</v>
      </c>
      <c r="F171" s="71">
        <f t="shared" si="2"/>
        <v>82.744548810397703</v>
      </c>
      <c r="G171" s="84">
        <f t="shared" si="3"/>
        <v>846.47673433036846</v>
      </c>
      <c r="H171" s="43"/>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43" t="s">
        <v>368</v>
      </c>
      <c r="D172" s="69">
        <v>12.346830288417999</v>
      </c>
      <c r="E172" s="69">
        <v>0.83482196301395895</v>
      </c>
      <c r="F172" s="71">
        <f t="shared" si="2"/>
        <v>83.482196301395888</v>
      </c>
      <c r="G172" s="84">
        <f t="shared" si="3"/>
        <v>854.02286816328001</v>
      </c>
      <c r="H172" s="43"/>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43" t="s">
        <v>369</v>
      </c>
      <c r="D173" s="69">
        <v>13.233005049565801</v>
      </c>
      <c r="E173" s="69">
        <v>0.84219892088979997</v>
      </c>
      <c r="F173" s="71">
        <f t="shared" si="2"/>
        <v>84.219892088980004</v>
      </c>
      <c r="G173" s="84">
        <f t="shared" si="3"/>
        <v>861.56949607026536</v>
      </c>
      <c r="H173" s="43"/>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43" t="s">
        <v>370</v>
      </c>
      <c r="D174" s="69">
        <v>14.182783641733399</v>
      </c>
      <c r="E174" s="69">
        <v>0.84957632946161499</v>
      </c>
      <c r="F174" s="71">
        <f t="shared" si="2"/>
        <v>84.957632946161496</v>
      </c>
      <c r="G174" s="84">
        <f t="shared" si="3"/>
        <v>869.11658503923218</v>
      </c>
      <c r="H174" s="43"/>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43" t="s">
        <v>371</v>
      </c>
      <c r="D175" s="69">
        <v>15.2007311321037</v>
      </c>
      <c r="E175" s="69">
        <v>0.85695415861804003</v>
      </c>
      <c r="F175" s="71">
        <f t="shared" si="2"/>
        <v>85.695415861804008</v>
      </c>
      <c r="G175" s="84">
        <f t="shared" si="3"/>
        <v>876.66410426625498</v>
      </c>
      <c r="H175" s="43"/>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43" t="s">
        <v>372</v>
      </c>
      <c r="D176" s="69">
        <v>16.291740238538001</v>
      </c>
      <c r="E176" s="69">
        <v>0.86433238024925996</v>
      </c>
      <c r="F176" s="71">
        <f t="shared" si="2"/>
        <v>86.433238024925998</v>
      </c>
      <c r="G176" s="84">
        <f t="shared" si="3"/>
        <v>884.21202499499293</v>
      </c>
      <c r="H176" s="43"/>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43" t="s">
        <v>373</v>
      </c>
      <c r="D177" s="69">
        <v>17.461054846199701</v>
      </c>
      <c r="E177" s="69">
        <v>0.87171096807514903</v>
      </c>
      <c r="F177" s="71">
        <f t="shared" si="2"/>
        <v>87.1710968075149</v>
      </c>
      <c r="G177" s="84">
        <f t="shared" si="3"/>
        <v>891.76032034087746</v>
      </c>
      <c r="H177" s="43"/>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43" t="s">
        <v>374</v>
      </c>
      <c r="D178" s="69">
        <v>18.714295212047599</v>
      </c>
      <c r="E178" s="69">
        <v>0.87908989756706102</v>
      </c>
      <c r="F178" s="71">
        <f t="shared" si="2"/>
        <v>87.908989756706106</v>
      </c>
      <c r="G178" s="84">
        <f t="shared" si="3"/>
        <v>899.30896521110344</v>
      </c>
      <c r="H178" s="43"/>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43" t="s">
        <v>375</v>
      </c>
      <c r="D179" s="69">
        <v>20.0574849783426</v>
      </c>
      <c r="E179" s="69">
        <v>0.88646914597365101</v>
      </c>
      <c r="F179" s="71">
        <f t="shared" si="2"/>
        <v>88.646914597365097</v>
      </c>
      <c r="G179" s="84">
        <f t="shared" si="3"/>
        <v>906.85793633104493</v>
      </c>
      <c r="H179" s="43"/>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43" t="s">
        <v>376</v>
      </c>
      <c r="D180" s="69">
        <v>21.497080125008001</v>
      </c>
      <c r="E180" s="69">
        <v>0.89384869190694005</v>
      </c>
      <c r="F180" s="71">
        <f t="shared" si="2"/>
        <v>89.384869190694005</v>
      </c>
      <c r="G180" s="84">
        <f t="shared" si="3"/>
        <v>914.40721182079972</v>
      </c>
      <c r="H180" s="43"/>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43" t="s">
        <v>377</v>
      </c>
      <c r="D181" s="69">
        <v>23.04</v>
      </c>
      <c r="E181" s="69">
        <v>0.90122851542766602</v>
      </c>
      <c r="F181" s="71">
        <f t="shared" si="2"/>
        <v>90.122851542766597</v>
      </c>
      <c r="G181" s="84">
        <f t="shared" si="3"/>
        <v>921.95677128250236</v>
      </c>
      <c r="H181" s="43"/>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43" t="s">
        <v>378</v>
      </c>
      <c r="D182" s="69">
        <v>24.693660576836098</v>
      </c>
      <c r="E182" s="69">
        <v>0.90860859804176897</v>
      </c>
      <c r="F182" s="71">
        <f t="shared" si="2"/>
        <v>90.860859804176897</v>
      </c>
      <c r="G182" s="84">
        <f t="shared" si="3"/>
        <v>929.5065957967297</v>
      </c>
      <c r="H182" s="43"/>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43" t="s">
        <v>379</v>
      </c>
      <c r="D183" s="69">
        <v>26.466010099131601</v>
      </c>
      <c r="E183" s="69">
        <v>0.915988922355362</v>
      </c>
      <c r="F183" s="71">
        <f t="shared" si="2"/>
        <v>91.598892235536198</v>
      </c>
      <c r="G183" s="84">
        <f t="shared" si="3"/>
        <v>937.05666756953531</v>
      </c>
      <c r="H183" s="43"/>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43" t="s">
        <v>380</v>
      </c>
      <c r="D184" s="69">
        <v>28.365567283466799</v>
      </c>
      <c r="E184" s="69">
        <v>0.92336947221267696</v>
      </c>
      <c r="F184" s="71">
        <f t="shared" si="2"/>
        <v>92.336947221267692</v>
      </c>
      <c r="G184" s="84">
        <f t="shared" si="3"/>
        <v>944.6069700735685</v>
      </c>
      <c r="H184" s="43"/>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43" t="s">
        <v>381</v>
      </c>
      <c r="D185" s="69">
        <v>30.401462264207399</v>
      </c>
      <c r="E185" s="69">
        <v>0.93075023254288103</v>
      </c>
      <c r="F185" s="71">
        <f t="shared" si="2"/>
        <v>93.075023254288098</v>
      </c>
      <c r="G185" s="84">
        <f t="shared" si="3"/>
        <v>952.15748789136728</v>
      </c>
      <c r="H185" s="43"/>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43" t="s">
        <v>382</v>
      </c>
      <c r="D186" s="69">
        <v>32.583480477076101</v>
      </c>
      <c r="E186" s="69">
        <v>0.93813118927428396</v>
      </c>
      <c r="F186" s="71">
        <f t="shared" si="2"/>
        <v>93.813118927428391</v>
      </c>
      <c r="G186" s="84">
        <f t="shared" si="3"/>
        <v>959.70820662759252</v>
      </c>
      <c r="H186" s="43"/>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43" t="s">
        <v>383</v>
      </c>
      <c r="D187" s="69">
        <v>34.922109692399502</v>
      </c>
      <c r="E187" s="69">
        <v>0.94551232919847295</v>
      </c>
      <c r="F187" s="71">
        <f t="shared" si="2"/>
        <v>94.551232919847294</v>
      </c>
      <c r="G187" s="84">
        <f t="shared" si="3"/>
        <v>967.25911277003786</v>
      </c>
      <c r="H187" s="43"/>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43" t="s">
        <v>384</v>
      </c>
      <c r="D188" s="69">
        <v>37.428590424095297</v>
      </c>
      <c r="E188" s="69">
        <v>0.95289364010673006</v>
      </c>
      <c r="F188" s="71">
        <f t="shared" si="2"/>
        <v>95.289364010673012</v>
      </c>
      <c r="G188" s="84">
        <f t="shared" si="3"/>
        <v>974.81019382918487</v>
      </c>
      <c r="H188" s="43"/>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43" t="s">
        <v>385</v>
      </c>
      <c r="D189" s="69">
        <v>40.1149699566853</v>
      </c>
      <c r="E189" s="69">
        <v>0.96027511056899695</v>
      </c>
      <c r="F189" s="71">
        <f t="shared" si="2"/>
        <v>96.027511056899698</v>
      </c>
      <c r="G189" s="84">
        <f t="shared" si="3"/>
        <v>982.36143811208387</v>
      </c>
      <c r="H189" s="43"/>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43" t="s">
        <v>386</v>
      </c>
      <c r="D190" s="69">
        <v>42.994160250016002</v>
      </c>
      <c r="E190" s="69">
        <v>0.96765672985422302</v>
      </c>
      <c r="F190" s="71">
        <f t="shared" si="2"/>
        <v>96.765672985422299</v>
      </c>
      <c r="G190" s="84">
        <f t="shared" si="3"/>
        <v>989.91283464087019</v>
      </c>
      <c r="H190" s="43"/>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43" t="s">
        <v>387</v>
      </c>
      <c r="D191" s="69">
        <v>46.08</v>
      </c>
      <c r="E191" s="69">
        <v>0.97503848803780502</v>
      </c>
      <c r="F191" s="71">
        <f t="shared" si="2"/>
        <v>97.5038488037805</v>
      </c>
      <c r="G191" s="84">
        <f t="shared" si="3"/>
        <v>997.46437326267448</v>
      </c>
      <c r="H191" s="43" t="s">
        <v>689</v>
      </c>
      <c r="I191" s="8"/>
      <c r="J191" s="8"/>
      <c r="K191" s="8"/>
      <c r="L191" s="8"/>
      <c r="M191" s="8"/>
      <c r="N191" s="8"/>
      <c r="O191" s="8"/>
      <c r="P191" s="8"/>
      <c r="Q191" s="8"/>
      <c r="R191" s="8"/>
      <c r="S191" s="8"/>
      <c r="T191" s="8"/>
      <c r="U191" s="8"/>
      <c r="V191" s="8"/>
      <c r="W191" s="8"/>
      <c r="X191" s="8"/>
      <c r="Y191" s="8"/>
      <c r="Z191" s="8"/>
      <c r="AA191" s="8"/>
      <c r="AB191" s="8"/>
      <c r="AC191" s="8"/>
    </row>
    <row r="192" spans="1:29"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C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5" max="5" width="13.5" customWidth="1"/>
    <col min="6" max="6" width="7.83203125" customWidth="1"/>
    <col min="7" max="7" width="10.33203125" customWidth="1"/>
    <col min="8" max="8" width="59.5" customWidth="1"/>
    <col min="9" max="9" width="5.5" customWidth="1"/>
    <col min="11" max="11" width="2.33203125" customWidth="1"/>
    <col min="13" max="13" width="19" customWidth="1"/>
    <col min="14" max="14" width="25.66406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2" t="s">
        <v>690</v>
      </c>
      <c r="D2" s="174" t="s">
        <v>142</v>
      </c>
      <c r="E2" s="170"/>
      <c r="F2" s="170"/>
      <c r="G2" s="171"/>
      <c r="H2" s="16"/>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row>
    <row r="4" spans="1:29" ht="13">
      <c r="A4" s="58"/>
      <c r="B4" s="50">
        <v>1</v>
      </c>
      <c r="C4" s="16" t="s">
        <v>75</v>
      </c>
      <c r="D4" s="17">
        <v>1.4247000000000001E-6</v>
      </c>
      <c r="E4" s="16">
        <v>9.2876445653485698E-2</v>
      </c>
      <c r="F4" s="18">
        <f t="shared" ref="F4:F24" si="0">E4*100</f>
        <v>9.28764456534857</v>
      </c>
      <c r="G4" s="33">
        <f t="shared" ref="G4:G24" si="1">E4*1023</f>
        <v>95.012603903515867</v>
      </c>
      <c r="H4" s="16" t="s">
        <v>161</v>
      </c>
      <c r="I4" s="8"/>
      <c r="J4" s="64" t="s">
        <v>162</v>
      </c>
      <c r="K4" s="8"/>
      <c r="L4" s="8"/>
      <c r="M4" s="8"/>
      <c r="N4" s="8"/>
      <c r="O4" s="8"/>
      <c r="P4" s="8"/>
      <c r="Q4" s="8"/>
      <c r="R4" s="8"/>
      <c r="S4" s="8"/>
      <c r="T4" s="8"/>
      <c r="U4" s="8"/>
      <c r="V4" s="8"/>
      <c r="W4" s="8"/>
      <c r="X4" s="8"/>
      <c r="Y4" s="8"/>
      <c r="Z4" s="8"/>
      <c r="AA4" s="8"/>
      <c r="AB4" s="8"/>
      <c r="AC4" s="8"/>
    </row>
    <row r="5" spans="1:29" ht="15">
      <c r="A5" s="58"/>
      <c r="B5" s="50">
        <v>2</v>
      </c>
      <c r="C5" s="16" t="s">
        <v>76</v>
      </c>
      <c r="D5" s="17">
        <v>7.0312499999999997E-4</v>
      </c>
      <c r="E5" s="19">
        <v>9.9006240546874999E-2</v>
      </c>
      <c r="F5" s="18">
        <f t="shared" si="0"/>
        <v>9.9006240546874995</v>
      </c>
      <c r="G5" s="33">
        <f t="shared" si="1"/>
        <v>101.28338407945313</v>
      </c>
      <c r="H5" s="16" t="s">
        <v>164</v>
      </c>
      <c r="I5" s="8"/>
      <c r="J5" s="56" t="s">
        <v>165</v>
      </c>
      <c r="K5" s="8"/>
      <c r="L5" s="8"/>
      <c r="M5" s="8"/>
      <c r="N5" s="8"/>
      <c r="O5" s="8"/>
      <c r="P5" s="8"/>
      <c r="Q5" s="8"/>
      <c r="R5" s="8"/>
      <c r="S5" s="8"/>
      <c r="T5" s="8"/>
      <c r="U5" s="8"/>
      <c r="V5" s="8"/>
      <c r="W5" s="8"/>
      <c r="X5" s="8"/>
      <c r="Y5" s="8"/>
      <c r="Z5" s="8"/>
      <c r="AA5" s="8"/>
      <c r="AB5" s="8"/>
      <c r="AC5" s="8"/>
    </row>
    <row r="6" spans="1:29" ht="15">
      <c r="A6" s="58"/>
      <c r="B6" s="50">
        <v>3</v>
      </c>
      <c r="C6" s="16" t="s">
        <v>77</v>
      </c>
      <c r="D6" s="17">
        <v>1.4062499999999999E-3</v>
      </c>
      <c r="E6" s="19">
        <v>0.104786314763622</v>
      </c>
      <c r="F6" s="18">
        <f t="shared" si="0"/>
        <v>10.478631476362201</v>
      </c>
      <c r="G6" s="33">
        <f t="shared" si="1"/>
        <v>107.19640000318532</v>
      </c>
      <c r="H6" s="16" t="s">
        <v>691</v>
      </c>
      <c r="I6" s="8"/>
      <c r="J6" s="8"/>
      <c r="K6" s="8"/>
      <c r="L6" s="8"/>
      <c r="M6" s="8"/>
      <c r="N6" s="8"/>
      <c r="O6" s="8"/>
      <c r="P6" s="8"/>
      <c r="Q6" s="8"/>
      <c r="R6" s="8"/>
      <c r="S6" s="8"/>
      <c r="T6" s="8"/>
      <c r="U6" s="8"/>
      <c r="V6" s="8"/>
      <c r="W6" s="8"/>
      <c r="X6" s="8"/>
      <c r="Y6" s="8"/>
      <c r="Z6" s="8"/>
      <c r="AA6" s="8"/>
      <c r="AB6" s="8"/>
      <c r="AC6" s="8"/>
    </row>
    <row r="7" spans="1:29" ht="15">
      <c r="A7" s="58"/>
      <c r="B7" s="50">
        <v>4</v>
      </c>
      <c r="C7" s="16" t="s">
        <v>78</v>
      </c>
      <c r="D7" s="17">
        <v>2.8124999999999999E-3</v>
      </c>
      <c r="E7" s="19">
        <v>0.115782559760212</v>
      </c>
      <c r="F7" s="18">
        <f t="shared" si="0"/>
        <v>11.5782559760212</v>
      </c>
      <c r="G7" s="33">
        <f t="shared" si="1"/>
        <v>118.44555863469688</v>
      </c>
      <c r="H7" s="16"/>
      <c r="I7" s="8"/>
      <c r="J7" s="8" t="s">
        <v>692</v>
      </c>
      <c r="K7" s="8"/>
      <c r="L7" s="8"/>
      <c r="M7" s="8"/>
      <c r="N7" s="8"/>
      <c r="O7" s="8"/>
      <c r="P7" s="8"/>
      <c r="Q7" s="8"/>
      <c r="R7" s="8"/>
      <c r="S7" s="8"/>
      <c r="T7" s="8"/>
      <c r="U7" s="8"/>
      <c r="V7" s="8"/>
      <c r="W7" s="8"/>
      <c r="X7" s="8"/>
      <c r="Y7" s="8"/>
      <c r="Z7" s="8"/>
      <c r="AA7" s="8"/>
      <c r="AB7" s="8"/>
      <c r="AC7" s="8"/>
    </row>
    <row r="8" spans="1:29" ht="15">
      <c r="A8" s="58"/>
      <c r="B8" s="50">
        <v>5</v>
      </c>
      <c r="C8" s="16" t="s">
        <v>79</v>
      </c>
      <c r="D8" s="17">
        <v>5.6249999999999998E-3</v>
      </c>
      <c r="E8" s="19">
        <v>0.135613163014324</v>
      </c>
      <c r="F8" s="18">
        <f t="shared" si="0"/>
        <v>13.561316301432399</v>
      </c>
      <c r="G8" s="33">
        <f t="shared" si="1"/>
        <v>138.73226576365346</v>
      </c>
      <c r="H8" s="16"/>
      <c r="I8" s="8"/>
      <c r="J8" s="8" t="s">
        <v>693</v>
      </c>
      <c r="K8" s="8"/>
      <c r="L8" s="8"/>
      <c r="M8" s="8"/>
      <c r="N8" s="8"/>
      <c r="O8" s="8"/>
      <c r="P8" s="8"/>
      <c r="Q8" s="8"/>
      <c r="R8" s="8"/>
      <c r="S8" s="8"/>
      <c r="T8" s="8"/>
      <c r="U8" s="8"/>
      <c r="V8" s="8"/>
      <c r="W8" s="8"/>
      <c r="X8" s="8"/>
      <c r="Y8" s="8"/>
      <c r="Z8" s="8"/>
      <c r="AA8" s="8"/>
      <c r="AB8" s="8"/>
      <c r="AC8" s="8"/>
    </row>
    <row r="9" spans="1:29" ht="15">
      <c r="A9" s="58"/>
      <c r="B9" s="50">
        <v>6</v>
      </c>
      <c r="C9" s="16" t="s">
        <v>80</v>
      </c>
      <c r="D9" s="17">
        <v>1.125E-2</v>
      </c>
      <c r="E9" s="19">
        <v>0.16879447802837999</v>
      </c>
      <c r="F9" s="18">
        <f t="shared" si="0"/>
        <v>16.879447802837998</v>
      </c>
      <c r="G9" s="33">
        <f t="shared" si="1"/>
        <v>172.67675102303272</v>
      </c>
      <c r="H9" s="16"/>
      <c r="I9" s="8"/>
      <c r="J9" s="8" t="s">
        <v>694</v>
      </c>
      <c r="K9" s="8"/>
      <c r="L9" s="8"/>
      <c r="M9" s="8"/>
      <c r="N9" s="8"/>
      <c r="O9" s="8"/>
      <c r="P9" s="8"/>
      <c r="Q9" s="8"/>
      <c r="R9" s="8"/>
      <c r="S9" s="8"/>
      <c r="T9" s="8"/>
      <c r="U9" s="8"/>
      <c r="V9" s="8"/>
      <c r="W9" s="8"/>
      <c r="X9" s="8"/>
      <c r="Y9" s="8"/>
      <c r="Z9" s="8"/>
      <c r="AA9" s="8"/>
      <c r="AB9" s="8"/>
      <c r="AC9" s="8"/>
    </row>
    <row r="10" spans="1:29" ht="15">
      <c r="A10" s="58"/>
      <c r="B10" s="50">
        <v>7</v>
      </c>
      <c r="C10" s="16" t="s">
        <v>81</v>
      </c>
      <c r="D10" s="17">
        <v>2.2499999999999999E-2</v>
      </c>
      <c r="E10" s="19">
        <v>0.21890805737493799</v>
      </c>
      <c r="F10" s="18">
        <f t="shared" si="0"/>
        <v>21.8908057374938</v>
      </c>
      <c r="G10" s="33">
        <f t="shared" si="1"/>
        <v>223.94294269456157</v>
      </c>
      <c r="H10" s="16"/>
      <c r="I10" s="8"/>
      <c r="J10" s="8" t="s">
        <v>695</v>
      </c>
      <c r="K10" s="8"/>
      <c r="L10" s="8"/>
      <c r="M10" s="8"/>
      <c r="N10" s="8"/>
      <c r="O10" s="8"/>
      <c r="P10" s="8"/>
      <c r="Q10" s="8"/>
      <c r="R10" s="8"/>
      <c r="S10" s="8"/>
      <c r="T10" s="8"/>
      <c r="U10" s="8"/>
      <c r="V10" s="8"/>
      <c r="W10" s="8"/>
      <c r="X10" s="8"/>
      <c r="Y10" s="8"/>
      <c r="Z10" s="8"/>
      <c r="AA10" s="8"/>
      <c r="AB10" s="8"/>
      <c r="AC10" s="8"/>
    </row>
    <row r="11" spans="1:29" ht="15">
      <c r="A11" s="58"/>
      <c r="B11" s="50">
        <v>8</v>
      </c>
      <c r="C11" s="16" t="s">
        <v>82</v>
      </c>
      <c r="D11" s="17">
        <v>4.4999999999999998E-2</v>
      </c>
      <c r="E11" s="19">
        <v>0.28633551312092798</v>
      </c>
      <c r="F11" s="18">
        <f t="shared" si="0"/>
        <v>28.633551312092798</v>
      </c>
      <c r="G11" s="33">
        <f t="shared" si="1"/>
        <v>292.9212299227093</v>
      </c>
      <c r="H11" s="16"/>
      <c r="I11" s="8"/>
      <c r="J11" s="8" t="s">
        <v>696</v>
      </c>
      <c r="K11" s="8"/>
      <c r="L11" s="8"/>
      <c r="M11" s="8"/>
      <c r="N11" s="8"/>
      <c r="O11" s="8"/>
      <c r="P11" s="8"/>
      <c r="Q11" s="8"/>
      <c r="R11" s="8"/>
      <c r="S11" s="8"/>
      <c r="T11" s="8"/>
      <c r="U11" s="8"/>
      <c r="V11" s="8"/>
      <c r="W11" s="8"/>
      <c r="X11" s="8"/>
      <c r="Y11" s="8"/>
      <c r="Z11" s="8"/>
      <c r="AA11" s="8"/>
      <c r="AB11" s="8"/>
      <c r="AC11" s="8"/>
    </row>
    <row r="12" spans="1:29" ht="15">
      <c r="A12" s="58"/>
      <c r="B12" s="50">
        <v>9</v>
      </c>
      <c r="C12" s="16" t="s">
        <v>83</v>
      </c>
      <c r="D12" s="17">
        <v>0.09</v>
      </c>
      <c r="E12" s="19">
        <v>0.367977982687553</v>
      </c>
      <c r="F12" s="18">
        <f t="shared" si="0"/>
        <v>36.797798268755301</v>
      </c>
      <c r="G12" s="33">
        <f t="shared" si="1"/>
        <v>376.44147628936673</v>
      </c>
      <c r="H12" s="16"/>
      <c r="I12" s="8"/>
      <c r="J12" s="8" t="s">
        <v>697</v>
      </c>
      <c r="K12" s="8"/>
      <c r="L12" s="8"/>
      <c r="M12" s="8"/>
      <c r="N12" s="8"/>
      <c r="O12" s="8"/>
      <c r="P12" s="8"/>
      <c r="Q12" s="8"/>
      <c r="R12" s="8"/>
      <c r="S12" s="8"/>
      <c r="T12" s="8"/>
      <c r="U12" s="8"/>
      <c r="V12" s="8"/>
      <c r="W12" s="8"/>
      <c r="X12" s="8"/>
      <c r="Y12" s="8"/>
      <c r="Z12" s="8"/>
      <c r="AA12" s="8"/>
      <c r="AB12" s="8"/>
      <c r="AC12" s="8"/>
    </row>
    <row r="13" spans="1:29" ht="15">
      <c r="A13" s="58"/>
      <c r="B13" s="50">
        <v>10</v>
      </c>
      <c r="C13" s="16" t="s">
        <v>84</v>
      </c>
      <c r="D13" s="17">
        <v>0.12727922061357799</v>
      </c>
      <c r="E13" s="19">
        <v>0.41270850821962501</v>
      </c>
      <c r="F13" s="18">
        <f t="shared" si="0"/>
        <v>41.270850821962505</v>
      </c>
      <c r="G13" s="33">
        <f t="shared" si="1"/>
        <v>422.20080390867639</v>
      </c>
      <c r="H13" s="16"/>
      <c r="I13" s="8"/>
      <c r="J13" s="8" t="s">
        <v>698</v>
      </c>
      <c r="K13" s="8"/>
      <c r="L13" s="8"/>
      <c r="M13" s="8"/>
      <c r="N13" s="8"/>
      <c r="O13" s="8"/>
      <c r="P13" s="8"/>
      <c r="Q13" s="8"/>
      <c r="R13" s="8"/>
      <c r="S13" s="8"/>
      <c r="T13" s="8"/>
      <c r="U13" s="8"/>
      <c r="V13" s="8"/>
      <c r="W13" s="8"/>
      <c r="X13" s="8"/>
      <c r="Y13" s="8"/>
      <c r="Z13" s="8"/>
      <c r="AA13" s="8"/>
      <c r="AB13" s="8"/>
      <c r="AC13" s="8"/>
    </row>
    <row r="14" spans="1:29" ht="15">
      <c r="A14" s="58"/>
      <c r="B14" s="50">
        <v>11</v>
      </c>
      <c r="C14" s="43" t="s">
        <v>85</v>
      </c>
      <c r="D14" s="69">
        <v>0.16794593847662501</v>
      </c>
      <c r="E14" s="69">
        <v>0.44986904932771299</v>
      </c>
      <c r="F14" s="71">
        <f t="shared" si="0"/>
        <v>44.986904932771296</v>
      </c>
      <c r="G14" s="72">
        <f t="shared" si="1"/>
        <v>460.21603746225037</v>
      </c>
      <c r="H14" s="16"/>
      <c r="I14" s="8"/>
      <c r="J14" s="8" t="s">
        <v>699</v>
      </c>
      <c r="K14" s="8"/>
      <c r="L14" s="8"/>
      <c r="M14" s="8"/>
      <c r="N14" s="8"/>
      <c r="O14" s="8"/>
      <c r="P14" s="8"/>
      <c r="Q14" s="8"/>
      <c r="R14" s="8"/>
      <c r="S14" s="8"/>
      <c r="T14" s="8"/>
      <c r="U14" s="8"/>
      <c r="V14" s="8"/>
      <c r="W14" s="8"/>
      <c r="X14" s="8"/>
      <c r="Y14" s="8"/>
      <c r="Z14" s="8"/>
      <c r="AA14" s="8"/>
      <c r="AB14" s="8"/>
      <c r="AC14" s="8"/>
    </row>
    <row r="15" spans="1:29" ht="15">
      <c r="A15" s="58"/>
      <c r="B15" s="50">
        <v>12</v>
      </c>
      <c r="C15" s="16" t="s">
        <v>86</v>
      </c>
      <c r="D15" s="17">
        <v>0.18</v>
      </c>
      <c r="E15" s="19">
        <v>0.45931845866162102</v>
      </c>
      <c r="F15" s="18">
        <f t="shared" si="0"/>
        <v>45.931845866162099</v>
      </c>
      <c r="G15" s="33">
        <f t="shared" si="1"/>
        <v>469.88278321083828</v>
      </c>
      <c r="H15" s="16"/>
      <c r="I15" s="8"/>
      <c r="J15" s="8"/>
      <c r="K15" s="8"/>
      <c r="L15" s="8"/>
      <c r="M15" s="8"/>
      <c r="N15" s="8"/>
      <c r="O15" s="8"/>
      <c r="P15" s="8"/>
      <c r="Q15" s="8"/>
      <c r="R15" s="8"/>
      <c r="S15" s="8"/>
      <c r="T15" s="8"/>
      <c r="U15" s="8"/>
      <c r="V15" s="8"/>
      <c r="W15" s="8"/>
      <c r="X15" s="8"/>
      <c r="Y15" s="8"/>
      <c r="Z15" s="8"/>
      <c r="AA15" s="8"/>
      <c r="AB15" s="8"/>
      <c r="AC15" s="8"/>
    </row>
    <row r="16" spans="1:29" ht="15">
      <c r="A16" s="58"/>
      <c r="B16" s="50">
        <v>13</v>
      </c>
      <c r="C16" s="43" t="s">
        <v>87</v>
      </c>
      <c r="D16" s="69">
        <v>0.206765703899466</v>
      </c>
      <c r="E16" s="69">
        <v>0.47838459863157801</v>
      </c>
      <c r="F16" s="71">
        <f t="shared" si="0"/>
        <v>47.838459863157802</v>
      </c>
      <c r="G16" s="72">
        <f t="shared" si="1"/>
        <v>489.3874444001043</v>
      </c>
      <c r="H16" s="16"/>
      <c r="I16" s="8"/>
      <c r="J16" s="8" t="s">
        <v>700</v>
      </c>
      <c r="K16" s="8"/>
      <c r="L16" s="8"/>
      <c r="M16" s="8" t="s">
        <v>701</v>
      </c>
      <c r="N16" s="8"/>
      <c r="O16" s="8"/>
      <c r="P16" s="8"/>
      <c r="Q16" s="8"/>
      <c r="R16" s="8"/>
      <c r="S16" s="8"/>
      <c r="T16" s="8"/>
      <c r="U16" s="8"/>
      <c r="V16" s="8"/>
      <c r="W16" s="8"/>
      <c r="X16" s="8"/>
      <c r="Y16" s="8"/>
      <c r="Z16" s="8"/>
      <c r="AA16" s="8"/>
      <c r="AB16" s="8"/>
      <c r="AC16" s="8"/>
    </row>
    <row r="17" spans="1:29" ht="15">
      <c r="A17" s="58"/>
      <c r="B17" s="50">
        <v>14</v>
      </c>
      <c r="C17" s="16" t="s">
        <v>88</v>
      </c>
      <c r="D17" s="17">
        <f>0.18*2^0.5</f>
        <v>0.2545584412271571</v>
      </c>
      <c r="E17" s="19">
        <f>0.344676*LOG10((0.555556*D17)+0.009468)+0.790453</f>
        <v>0.50735644579742556</v>
      </c>
      <c r="F17" s="18">
        <f t="shared" si="0"/>
        <v>50.735644579742555</v>
      </c>
      <c r="G17" s="33">
        <f t="shared" si="1"/>
        <v>519.02564405076635</v>
      </c>
      <c r="H17" s="16"/>
      <c r="I17" s="8"/>
      <c r="J17" s="8" t="s">
        <v>702</v>
      </c>
      <c r="K17" s="8"/>
      <c r="L17" s="8"/>
      <c r="M17" s="8" t="s">
        <v>703</v>
      </c>
      <c r="N17" s="8"/>
      <c r="O17" s="8"/>
      <c r="P17" s="8"/>
      <c r="Q17" s="8"/>
      <c r="R17" s="8"/>
      <c r="S17" s="8"/>
      <c r="T17" s="8"/>
      <c r="U17" s="8"/>
      <c r="V17" s="8"/>
      <c r="W17" s="8"/>
      <c r="X17" s="8"/>
      <c r="Y17" s="8"/>
      <c r="Z17" s="8"/>
      <c r="AA17" s="8"/>
      <c r="AB17" s="8"/>
      <c r="AC17" s="8"/>
    </row>
    <row r="18" spans="1:29" ht="15">
      <c r="A18" s="58"/>
      <c r="B18" s="50">
        <v>15</v>
      </c>
      <c r="C18" s="16" t="s">
        <v>89</v>
      </c>
      <c r="D18" s="17">
        <v>0.36</v>
      </c>
      <c r="E18" s="19">
        <v>0.55645867390904602</v>
      </c>
      <c r="F18" s="18">
        <f t="shared" si="0"/>
        <v>55.645867390904598</v>
      </c>
      <c r="G18" s="33">
        <f t="shared" si="1"/>
        <v>569.25722340895413</v>
      </c>
      <c r="H18" s="16"/>
      <c r="I18" s="8"/>
      <c r="J18" s="8" t="s">
        <v>680</v>
      </c>
      <c r="K18" s="8"/>
      <c r="L18" s="8"/>
      <c r="M18" s="8" t="s">
        <v>681</v>
      </c>
      <c r="N18" s="8"/>
      <c r="O18" s="8"/>
      <c r="P18" s="8"/>
      <c r="Q18" s="8"/>
      <c r="R18" s="8"/>
      <c r="S18" s="8"/>
      <c r="T18" s="8"/>
      <c r="U18" s="8"/>
      <c r="V18" s="8"/>
      <c r="W18" s="8"/>
      <c r="X18" s="8"/>
      <c r="Y18" s="8"/>
      <c r="Z18" s="8"/>
      <c r="AA18" s="8"/>
      <c r="AB18" s="8"/>
      <c r="AC18" s="8"/>
    </row>
    <row r="19" spans="1:29" ht="15">
      <c r="A19" s="58"/>
      <c r="B19" s="50">
        <v>16</v>
      </c>
      <c r="C19" s="16" t="s">
        <v>90</v>
      </c>
      <c r="D19" s="17">
        <v>0.72</v>
      </c>
      <c r="E19" s="19">
        <v>0.65679464640808305</v>
      </c>
      <c r="F19" s="18">
        <f t="shared" si="0"/>
        <v>65.679464640808305</v>
      </c>
      <c r="G19" s="33">
        <f t="shared" si="1"/>
        <v>671.90092327546893</v>
      </c>
      <c r="H19" s="16"/>
      <c r="I19" s="8"/>
      <c r="J19" s="8" t="s">
        <v>490</v>
      </c>
      <c r="K19" s="8"/>
      <c r="L19" s="8"/>
      <c r="M19" s="8" t="s">
        <v>176</v>
      </c>
      <c r="N19" s="8"/>
      <c r="O19" s="8"/>
      <c r="P19" s="8"/>
      <c r="Q19" s="8"/>
      <c r="R19" s="8"/>
      <c r="S19" s="8"/>
      <c r="T19" s="8"/>
      <c r="U19" s="8"/>
      <c r="V19" s="8"/>
      <c r="W19" s="8"/>
      <c r="X19" s="8"/>
      <c r="Y19" s="8"/>
      <c r="Z19" s="8"/>
      <c r="AA19" s="8"/>
      <c r="AB19" s="8"/>
      <c r="AC19" s="8"/>
    </row>
    <row r="20" spans="1:29" ht="15">
      <c r="A20" s="58"/>
      <c r="B20" s="82">
        <v>17</v>
      </c>
      <c r="C20" s="73" t="s">
        <v>91</v>
      </c>
      <c r="D20" s="74">
        <v>0.9</v>
      </c>
      <c r="E20" s="112">
        <v>0.68950334590654605</v>
      </c>
      <c r="F20" s="76">
        <f t="shared" si="0"/>
        <v>68.950334590654606</v>
      </c>
      <c r="G20" s="77">
        <f t="shared" si="1"/>
        <v>705.36192286239657</v>
      </c>
      <c r="H20" s="73" t="s">
        <v>205</v>
      </c>
      <c r="I20" s="8"/>
      <c r="J20" s="8" t="s">
        <v>704</v>
      </c>
      <c r="K20" s="8"/>
      <c r="L20" s="8"/>
      <c r="M20" s="8" t="s">
        <v>705</v>
      </c>
      <c r="N20" s="8"/>
      <c r="O20" s="8"/>
      <c r="P20" s="8"/>
      <c r="Q20" s="8"/>
      <c r="R20" s="8"/>
      <c r="S20" s="8"/>
      <c r="T20" s="8"/>
      <c r="U20" s="8"/>
      <c r="V20" s="8"/>
      <c r="W20" s="8"/>
      <c r="X20" s="8"/>
      <c r="Y20" s="8"/>
      <c r="Z20" s="8"/>
      <c r="AA20" s="8"/>
      <c r="AB20" s="8"/>
      <c r="AC20" s="8"/>
    </row>
    <row r="21" spans="1:29" ht="15">
      <c r="A21" s="58"/>
      <c r="B21" s="50">
        <v>18</v>
      </c>
      <c r="C21" s="16" t="s">
        <v>92</v>
      </c>
      <c r="D21" s="17">
        <v>1.44</v>
      </c>
      <c r="E21" s="19">
        <v>0.758811752923778</v>
      </c>
      <c r="F21" s="18">
        <f t="shared" si="0"/>
        <v>75.881175292377804</v>
      </c>
      <c r="G21" s="33">
        <f t="shared" si="1"/>
        <v>776.26442324102493</v>
      </c>
      <c r="H21" s="16"/>
      <c r="I21" s="8"/>
      <c r="J21" s="8" t="s">
        <v>706</v>
      </c>
      <c r="K21" s="8"/>
      <c r="L21" s="8"/>
      <c r="M21" s="8" t="s">
        <v>685</v>
      </c>
      <c r="N21" s="8"/>
      <c r="O21" s="8"/>
      <c r="P21" s="8"/>
      <c r="Q21" s="8"/>
      <c r="R21" s="8"/>
      <c r="S21" s="8"/>
      <c r="T21" s="8"/>
      <c r="U21" s="8"/>
      <c r="V21" s="8"/>
      <c r="W21" s="8"/>
      <c r="X21" s="8"/>
      <c r="Y21" s="8"/>
      <c r="Z21" s="8"/>
      <c r="AA21" s="8"/>
      <c r="AB21" s="8"/>
      <c r="AC21" s="8"/>
    </row>
    <row r="22" spans="1:29" ht="15">
      <c r="A22" s="58"/>
      <c r="B22" s="50">
        <v>19</v>
      </c>
      <c r="C22" s="16" t="s">
        <v>93</v>
      </c>
      <c r="D22" s="17">
        <v>2.88</v>
      </c>
      <c r="E22" s="19">
        <v>0.86169156344639297</v>
      </c>
      <c r="F22" s="18">
        <f t="shared" si="0"/>
        <v>86.169156344639291</v>
      </c>
      <c r="G22" s="33">
        <f t="shared" si="1"/>
        <v>881.51046940566005</v>
      </c>
      <c r="H22" s="16"/>
      <c r="I22" s="8"/>
      <c r="J22" s="8" t="s">
        <v>482</v>
      </c>
      <c r="K22" s="8"/>
      <c r="L22" s="8"/>
      <c r="M22" s="8" t="s">
        <v>707</v>
      </c>
      <c r="N22" s="8"/>
      <c r="O22" s="8"/>
      <c r="P22" s="8"/>
      <c r="Q22" s="8"/>
      <c r="R22" s="8"/>
      <c r="S22" s="8"/>
      <c r="T22" s="8"/>
      <c r="U22" s="8"/>
      <c r="V22" s="8"/>
      <c r="W22" s="8"/>
      <c r="X22" s="8"/>
      <c r="Y22" s="8"/>
      <c r="Z22" s="8"/>
      <c r="AA22" s="8"/>
      <c r="AB22" s="8"/>
      <c r="AC22" s="8"/>
    </row>
    <row r="23" spans="1:29" ht="15">
      <c r="A23" s="58"/>
      <c r="B23" s="50">
        <v>20</v>
      </c>
      <c r="C23" s="16" t="s">
        <v>94</v>
      </c>
      <c r="D23" s="17">
        <v>5.76</v>
      </c>
      <c r="E23" s="19">
        <v>0.96500843730976804</v>
      </c>
      <c r="F23" s="18">
        <f t="shared" si="0"/>
        <v>96.500843730976811</v>
      </c>
      <c r="G23" s="33">
        <f t="shared" si="1"/>
        <v>987.20363136789274</v>
      </c>
      <c r="H23" s="16"/>
      <c r="I23" s="8"/>
      <c r="J23" s="8" t="s">
        <v>708</v>
      </c>
      <c r="K23" s="8"/>
      <c r="L23" s="8"/>
      <c r="M23" s="8" t="s">
        <v>493</v>
      </c>
      <c r="N23" s="8"/>
      <c r="O23" s="8"/>
      <c r="P23" s="8"/>
      <c r="Q23" s="8"/>
      <c r="R23" s="8"/>
      <c r="S23" s="8"/>
      <c r="T23" s="8"/>
      <c r="U23" s="8"/>
      <c r="V23" s="8"/>
      <c r="W23" s="8"/>
      <c r="X23" s="8"/>
      <c r="Y23" s="8"/>
      <c r="Z23" s="8"/>
      <c r="AA23" s="8"/>
      <c r="AB23" s="8"/>
      <c r="AC23" s="8"/>
    </row>
    <row r="24" spans="1:29" ht="15">
      <c r="A24" s="58"/>
      <c r="B24" s="50">
        <v>21</v>
      </c>
      <c r="C24" s="43" t="s">
        <v>360</v>
      </c>
      <c r="D24" s="69">
        <v>7.0913918208667104</v>
      </c>
      <c r="E24" s="69">
        <v>0.99605285112907704</v>
      </c>
      <c r="F24" s="71">
        <f t="shared" si="0"/>
        <v>99.605285112907708</v>
      </c>
      <c r="G24" s="72">
        <f t="shared" si="1"/>
        <v>1018.9620667050458</v>
      </c>
      <c r="H24" s="43" t="s">
        <v>709</v>
      </c>
      <c r="I24" s="8"/>
      <c r="J24" s="8"/>
      <c r="K24" s="8"/>
      <c r="L24" s="8"/>
      <c r="M24" s="8"/>
      <c r="N24" s="8"/>
      <c r="O24" s="8"/>
      <c r="P24" s="8"/>
      <c r="Q24" s="8"/>
      <c r="R24" s="8"/>
      <c r="S24" s="8"/>
      <c r="T24" s="8"/>
      <c r="U24" s="8"/>
      <c r="V24" s="8"/>
      <c r="W24" s="8"/>
      <c r="X24" s="8"/>
      <c r="Y24" s="8"/>
      <c r="Z24" s="8"/>
      <c r="AA24" s="8"/>
      <c r="AB24" s="8"/>
      <c r="AC24" s="8"/>
    </row>
    <row r="25" spans="1:29" ht="15">
      <c r="A25" s="58"/>
      <c r="B25" s="50">
        <v>22</v>
      </c>
      <c r="C25" s="16"/>
      <c r="D25" s="17"/>
      <c r="E25" s="19"/>
      <c r="F25" s="18"/>
      <c r="G25" s="115"/>
      <c r="H25" s="12"/>
      <c r="I25" s="8"/>
      <c r="K25" s="8"/>
      <c r="L25" s="8"/>
      <c r="M25" s="8"/>
      <c r="N25" s="8"/>
      <c r="O25" s="8"/>
      <c r="P25" s="8"/>
      <c r="Q25" s="8"/>
      <c r="R25" s="8"/>
      <c r="S25" s="8"/>
      <c r="T25" s="8"/>
      <c r="U25" s="8"/>
      <c r="V25" s="8"/>
      <c r="W25" s="8"/>
      <c r="X25" s="8"/>
      <c r="Y25" s="8"/>
      <c r="Z25" s="8"/>
      <c r="AA25" s="8"/>
      <c r="AB25" s="8"/>
      <c r="AC25" s="8"/>
    </row>
    <row r="26" spans="1:29" ht="15">
      <c r="A26" s="58"/>
      <c r="B26" s="50">
        <v>23</v>
      </c>
      <c r="C26" s="16"/>
      <c r="D26" s="17"/>
      <c r="E26" s="19"/>
      <c r="F26" s="18"/>
      <c r="G26" s="115"/>
      <c r="H26" s="16"/>
      <c r="I26" s="8"/>
      <c r="K26" s="8"/>
      <c r="L26" s="8"/>
      <c r="M26" s="8"/>
      <c r="N26" s="8"/>
      <c r="O26" s="8"/>
      <c r="P26" s="8"/>
      <c r="Q26" s="8"/>
      <c r="R26" s="8"/>
      <c r="S26" s="8"/>
      <c r="T26" s="8"/>
      <c r="U26" s="8"/>
      <c r="V26" s="8"/>
      <c r="W26" s="8"/>
      <c r="X26" s="8"/>
      <c r="Y26" s="8"/>
      <c r="Z26" s="8"/>
      <c r="AA26" s="8"/>
      <c r="AB26" s="8"/>
      <c r="AC26" s="8"/>
    </row>
    <row r="27" spans="1:29" ht="15">
      <c r="A27" s="58"/>
      <c r="B27" s="50">
        <v>24</v>
      </c>
      <c r="C27" s="16"/>
      <c r="D27" s="17"/>
      <c r="E27" s="19"/>
      <c r="F27" s="18"/>
      <c r="G27" s="115"/>
      <c r="H27" s="16"/>
      <c r="I27" s="8"/>
      <c r="K27" s="8"/>
      <c r="L27" s="8"/>
      <c r="M27" s="8"/>
      <c r="N27" s="8"/>
      <c r="O27" s="8"/>
      <c r="P27" s="8"/>
      <c r="Q27" s="8"/>
      <c r="R27" s="8"/>
      <c r="S27" s="8"/>
      <c r="T27" s="8"/>
      <c r="U27" s="8"/>
      <c r="V27" s="8"/>
      <c r="W27" s="8"/>
      <c r="X27" s="8"/>
      <c r="Y27" s="8"/>
      <c r="Z27" s="8"/>
      <c r="AA27" s="8"/>
      <c r="AB27" s="8"/>
      <c r="AC27" s="8"/>
    </row>
    <row r="28" spans="1:29" ht="13">
      <c r="A28" s="81"/>
      <c r="B28" s="81"/>
      <c r="C28" s="81"/>
      <c r="D28" s="81"/>
      <c r="E28" s="81"/>
      <c r="F28" s="81"/>
      <c r="G28" s="116"/>
      <c r="H28" s="81"/>
      <c r="I28" s="81"/>
      <c r="J28" s="114"/>
      <c r="K28" s="81"/>
      <c r="L28" s="81"/>
      <c r="M28" s="81"/>
      <c r="N28" s="81"/>
      <c r="O28" s="81"/>
      <c r="P28" s="81"/>
      <c r="Q28" s="81"/>
      <c r="R28" s="81"/>
      <c r="S28" s="81"/>
      <c r="T28" s="81"/>
      <c r="U28" s="81"/>
      <c r="V28" s="81"/>
      <c r="W28" s="81"/>
      <c r="X28" s="81"/>
      <c r="Y28" s="81"/>
      <c r="Z28" s="81"/>
      <c r="AA28" s="81"/>
      <c r="AB28" s="81"/>
      <c r="AC28" s="81"/>
    </row>
    <row r="29" spans="1:29" ht="13">
      <c r="A29" s="8"/>
      <c r="B29" s="43"/>
      <c r="C29" s="41" t="s">
        <v>690</v>
      </c>
      <c r="D29" s="173" t="s">
        <v>142</v>
      </c>
      <c r="E29" s="166"/>
      <c r="F29" s="166"/>
      <c r="G29" s="167"/>
      <c r="H29" s="41" t="s">
        <v>228</v>
      </c>
      <c r="I29" s="8"/>
      <c r="M29" s="8"/>
      <c r="N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M30" s="8"/>
      <c r="N30" s="8"/>
      <c r="O30" s="8"/>
      <c r="P30" s="8"/>
      <c r="Q30" s="8"/>
      <c r="R30" s="8"/>
      <c r="S30" s="8"/>
      <c r="T30" s="8"/>
      <c r="U30" s="8"/>
      <c r="V30" s="8"/>
      <c r="W30" s="8"/>
      <c r="X30" s="8"/>
      <c r="Y30" s="8"/>
      <c r="Z30" s="8"/>
      <c r="AA30" s="8"/>
      <c r="AB30" s="8"/>
      <c r="AC30" s="8"/>
    </row>
    <row r="31" spans="1:29" ht="15">
      <c r="A31" s="58"/>
      <c r="B31" s="69">
        <v>1</v>
      </c>
      <c r="C31" s="43" t="s">
        <v>229</v>
      </c>
      <c r="D31" s="69">
        <v>7.0312499999999997E-4</v>
      </c>
      <c r="E31" s="69">
        <v>9.9006240546874999E-2</v>
      </c>
      <c r="F31" s="71">
        <f t="shared" ref="F31:F191" si="2">E31*100</f>
        <v>9.9006240546874995</v>
      </c>
      <c r="G31" s="84">
        <f t="shared" ref="G31:G191" si="3">E31*1023</f>
        <v>101.28338407945313</v>
      </c>
      <c r="H31" s="43"/>
      <c r="I31" s="8"/>
      <c r="K31" s="8"/>
      <c r="L31" s="8"/>
      <c r="M31" s="8"/>
      <c r="N31" s="8"/>
      <c r="O31" s="8"/>
      <c r="P31" s="8"/>
      <c r="Q31" s="8"/>
      <c r="R31" s="8"/>
      <c r="S31" s="8"/>
      <c r="T31" s="8"/>
      <c r="U31" s="8"/>
      <c r="V31" s="8"/>
      <c r="W31" s="8"/>
      <c r="X31" s="8"/>
      <c r="Y31" s="8"/>
      <c r="Z31" s="8"/>
      <c r="AA31" s="8"/>
      <c r="AB31" s="8"/>
      <c r="AC31" s="8"/>
    </row>
    <row r="32" spans="1:29" ht="15">
      <c r="A32" s="58"/>
      <c r="B32" s="69">
        <v>2</v>
      </c>
      <c r="C32" s="43" t="s">
        <v>230</v>
      </c>
      <c r="D32" s="69">
        <v>7.5359071584583004E-4</v>
      </c>
      <c r="E32" s="69">
        <v>9.9447090418254599E-2</v>
      </c>
      <c r="F32" s="71">
        <f t="shared" si="2"/>
        <v>9.94470904182546</v>
      </c>
      <c r="G32" s="84">
        <f t="shared" si="3"/>
        <v>101.73437349787446</v>
      </c>
      <c r="H32" s="43"/>
      <c r="I32" s="8"/>
      <c r="K32" s="8"/>
      <c r="L32" s="8"/>
      <c r="M32" s="8"/>
      <c r="N32" s="8"/>
      <c r="O32" s="8"/>
      <c r="P32" s="8"/>
      <c r="Q32" s="8"/>
      <c r="R32" s="8"/>
      <c r="S32" s="8"/>
      <c r="T32" s="8"/>
      <c r="U32" s="8"/>
      <c r="V32" s="8"/>
      <c r="W32" s="8"/>
      <c r="X32" s="8"/>
      <c r="Y32" s="8"/>
      <c r="Z32" s="8"/>
      <c r="AA32" s="8"/>
      <c r="AB32" s="8"/>
      <c r="AC32" s="8"/>
    </row>
    <row r="33" spans="1:29" ht="15">
      <c r="A33" s="58"/>
      <c r="B33" s="69">
        <v>3</v>
      </c>
      <c r="C33" s="43" t="s">
        <v>231</v>
      </c>
      <c r="D33" s="69">
        <v>8.0767853085729003E-4</v>
      </c>
      <c r="E33" s="69">
        <v>9.9919581612564506E-2</v>
      </c>
      <c r="F33" s="71">
        <f t="shared" si="2"/>
        <v>9.9919581612564503</v>
      </c>
      <c r="G33" s="84">
        <f t="shared" si="3"/>
        <v>102.21773198965349</v>
      </c>
      <c r="H33" s="43"/>
      <c r="I33" s="8"/>
      <c r="J33" s="8"/>
      <c r="K33" s="8"/>
      <c r="L33" s="8"/>
      <c r="M33" s="8"/>
      <c r="N33" s="8"/>
      <c r="O33" s="8"/>
      <c r="P33" s="8"/>
      <c r="Q33" s="8"/>
      <c r="R33" s="8"/>
      <c r="S33" s="8"/>
      <c r="T33" s="8"/>
      <c r="U33" s="8"/>
      <c r="V33" s="8"/>
      <c r="W33" s="8"/>
      <c r="X33" s="8"/>
      <c r="Y33" s="8"/>
      <c r="Z33" s="8"/>
      <c r="AA33" s="8"/>
      <c r="AB33" s="8"/>
      <c r="AC33" s="8"/>
    </row>
    <row r="34" spans="1:29" ht="15">
      <c r="A34" s="58"/>
      <c r="B34" s="69">
        <v>4</v>
      </c>
      <c r="C34" s="43" t="s">
        <v>232</v>
      </c>
      <c r="D34" s="69">
        <v>8.6564841563314401E-4</v>
      </c>
      <c r="E34" s="69">
        <v>0.100425985134416</v>
      </c>
      <c r="F34" s="71">
        <f t="shared" si="2"/>
        <v>10.0425985134416</v>
      </c>
      <c r="G34" s="84">
        <f t="shared" si="3"/>
        <v>102.73578279250756</v>
      </c>
      <c r="H34" s="43"/>
      <c r="I34" s="8"/>
      <c r="J34" s="8"/>
      <c r="K34" s="8"/>
      <c r="L34" s="8"/>
      <c r="M34" s="8"/>
      <c r="N34" s="8"/>
      <c r="O34" s="8"/>
      <c r="P34" s="8"/>
      <c r="Q34" s="8"/>
      <c r="R34" s="8"/>
      <c r="S34" s="8"/>
      <c r="T34" s="8"/>
      <c r="U34" s="8"/>
      <c r="V34" s="8"/>
      <c r="W34" s="8"/>
      <c r="X34" s="8"/>
      <c r="Y34" s="8"/>
      <c r="Z34" s="8"/>
      <c r="AA34" s="8"/>
      <c r="AB34" s="8"/>
      <c r="AC34" s="8"/>
    </row>
    <row r="35" spans="1:29" ht="15">
      <c r="A35" s="58"/>
      <c r="B35" s="69">
        <v>5</v>
      </c>
      <c r="C35" s="43" t="s">
        <v>233</v>
      </c>
      <c r="D35" s="69">
        <v>9.2777899976219098E-4</v>
      </c>
      <c r="E35" s="69">
        <v>0.100852804308041</v>
      </c>
      <c r="F35" s="71">
        <f t="shared" si="2"/>
        <v>10.085280430804101</v>
      </c>
      <c r="G35" s="84">
        <f t="shared" si="3"/>
        <v>103.17241880712594</v>
      </c>
      <c r="H35" s="43"/>
      <c r="I35" s="8"/>
      <c r="J35" s="8"/>
      <c r="K35" s="8"/>
      <c r="L35" s="8"/>
      <c r="M35" s="8"/>
      <c r="N35" s="8"/>
      <c r="O35" s="8"/>
      <c r="P35" s="8"/>
      <c r="Q35" s="8"/>
      <c r="R35" s="8"/>
      <c r="S35" s="8"/>
      <c r="T35" s="8"/>
      <c r="U35" s="8"/>
      <c r="V35" s="8"/>
      <c r="W35" s="8"/>
      <c r="X35" s="8"/>
      <c r="Y35" s="8"/>
      <c r="Z35" s="8"/>
      <c r="AA35" s="8"/>
      <c r="AB35" s="8"/>
      <c r="AC35" s="8"/>
    </row>
    <row r="36" spans="1:29" ht="15">
      <c r="A36" s="58"/>
      <c r="B36" s="69">
        <v>6</v>
      </c>
      <c r="C36" s="43" t="s">
        <v>234</v>
      </c>
      <c r="D36" s="69">
        <v>9.9436891104358197E-4</v>
      </c>
      <c r="E36" s="69">
        <v>0.10140647087631</v>
      </c>
      <c r="F36" s="71">
        <f t="shared" si="2"/>
        <v>10.140647087630999</v>
      </c>
      <c r="G36" s="84">
        <f t="shared" si="3"/>
        <v>103.73881970646512</v>
      </c>
      <c r="H36" s="43"/>
      <c r="I36" s="8"/>
      <c r="J36" s="8"/>
      <c r="K36" s="8"/>
      <c r="L36" s="8"/>
      <c r="M36" s="8"/>
      <c r="N36" s="8"/>
      <c r="O36" s="8"/>
      <c r="P36" s="8"/>
      <c r="Q36" s="8"/>
      <c r="R36" s="8"/>
      <c r="S36" s="8"/>
      <c r="T36" s="8"/>
      <c r="U36" s="8"/>
      <c r="V36" s="8"/>
      <c r="W36" s="8"/>
      <c r="X36" s="8"/>
      <c r="Y36" s="8"/>
      <c r="Z36" s="8"/>
      <c r="AA36" s="8"/>
      <c r="AB36" s="8"/>
      <c r="AC36" s="8"/>
    </row>
    <row r="37" spans="1:29" ht="15">
      <c r="A37" s="58"/>
      <c r="B37" s="69">
        <v>7</v>
      </c>
      <c r="C37" s="43" t="s">
        <v>235</v>
      </c>
      <c r="D37" s="69">
        <v>1.06573821082762E-3</v>
      </c>
      <c r="E37" s="69">
        <v>0.101997611175841</v>
      </c>
      <c r="F37" s="71">
        <f t="shared" si="2"/>
        <v>10.199761117584099</v>
      </c>
      <c r="G37" s="84">
        <f t="shared" si="3"/>
        <v>104.34355623288533</v>
      </c>
      <c r="H37" s="43"/>
      <c r="I37" s="8"/>
      <c r="J37" s="8"/>
      <c r="K37" s="8"/>
      <c r="L37" s="8"/>
      <c r="M37" s="8"/>
      <c r="N37" s="8"/>
      <c r="O37" s="8"/>
      <c r="P37" s="8"/>
      <c r="Q37" s="8"/>
      <c r="R37" s="8"/>
      <c r="S37" s="8"/>
      <c r="T37" s="8"/>
      <c r="U37" s="8"/>
      <c r="V37" s="8"/>
      <c r="W37" s="8"/>
      <c r="X37" s="8"/>
      <c r="Y37" s="8"/>
      <c r="Z37" s="8"/>
      <c r="AA37" s="8"/>
      <c r="AB37" s="8"/>
      <c r="AC37" s="8"/>
    </row>
    <row r="38" spans="1:29" ht="15">
      <c r="A38" s="58"/>
      <c r="B38" s="69">
        <v>8</v>
      </c>
      <c r="C38" s="43" t="s">
        <v>236</v>
      </c>
      <c r="D38" s="69">
        <v>1.1422299323759499E-3</v>
      </c>
      <c r="E38" s="69">
        <v>0.10262859853463099</v>
      </c>
      <c r="F38" s="71">
        <f t="shared" si="2"/>
        <v>10.2628598534631</v>
      </c>
      <c r="G38" s="84">
        <f t="shared" si="3"/>
        <v>104.9890563009275</v>
      </c>
      <c r="H38" s="43"/>
      <c r="I38" s="8"/>
      <c r="J38" s="8"/>
      <c r="K38" s="8"/>
      <c r="L38" s="8"/>
      <c r="M38" s="8"/>
      <c r="N38" s="8"/>
      <c r="O38" s="8"/>
      <c r="P38" s="8"/>
      <c r="Q38" s="8"/>
      <c r="R38" s="8"/>
      <c r="S38" s="8"/>
      <c r="T38" s="8"/>
      <c r="U38" s="8"/>
      <c r="V38" s="8"/>
      <c r="W38" s="8"/>
      <c r="X38" s="8"/>
      <c r="Y38" s="8"/>
      <c r="Z38" s="8"/>
      <c r="AA38" s="8"/>
      <c r="AB38" s="8"/>
      <c r="AC38" s="8"/>
    </row>
    <row r="39" spans="1:29" ht="15">
      <c r="A39" s="58"/>
      <c r="B39" s="69">
        <v>9</v>
      </c>
      <c r="C39" s="43" t="s">
        <v>237</v>
      </c>
      <c r="D39" s="69">
        <v>1.22421172963517E-3</v>
      </c>
      <c r="E39" s="69">
        <v>0.103301934047852</v>
      </c>
      <c r="F39" s="71">
        <f t="shared" si="2"/>
        <v>10.3301934047852</v>
      </c>
      <c r="G39" s="84">
        <f t="shared" si="3"/>
        <v>105.6778785309526</v>
      </c>
      <c r="H39" s="43"/>
      <c r="I39" s="8"/>
      <c r="J39" s="8"/>
      <c r="K39" s="8"/>
      <c r="L39" s="8"/>
      <c r="M39" s="8"/>
      <c r="N39" s="8"/>
      <c r="O39" s="8"/>
      <c r="P39" s="8"/>
      <c r="Q39" s="8"/>
      <c r="R39" s="8"/>
      <c r="S39" s="8"/>
      <c r="T39" s="8"/>
      <c r="U39" s="8"/>
      <c r="V39" s="8"/>
      <c r="W39" s="8"/>
      <c r="X39" s="8"/>
      <c r="Y39" s="8"/>
      <c r="Z39" s="8"/>
      <c r="AA39" s="8"/>
      <c r="AB39" s="8"/>
      <c r="AC39" s="8"/>
    </row>
    <row r="40" spans="1:29" ht="15">
      <c r="A40" s="58"/>
      <c r="B40" s="69">
        <v>10</v>
      </c>
      <c r="C40" s="43" t="s">
        <v>238</v>
      </c>
      <c r="D40" s="69">
        <v>1.31207764434863E-3</v>
      </c>
      <c r="E40" s="69">
        <v>0.104020250278843</v>
      </c>
      <c r="F40" s="71">
        <f t="shared" si="2"/>
        <v>10.402025027884299</v>
      </c>
      <c r="G40" s="84">
        <f t="shared" si="3"/>
        <v>106.41271603525639</v>
      </c>
      <c r="H40" s="43"/>
      <c r="I40" s="8"/>
      <c r="J40" s="8"/>
      <c r="K40" s="8"/>
      <c r="L40" s="8"/>
      <c r="M40" s="8"/>
      <c r="N40" s="8"/>
      <c r="O40" s="8"/>
      <c r="P40" s="8"/>
      <c r="Q40" s="8"/>
      <c r="R40" s="8"/>
      <c r="S40" s="8"/>
      <c r="T40" s="8"/>
      <c r="U40" s="8"/>
      <c r="V40" s="8"/>
      <c r="W40" s="8"/>
      <c r="X40" s="8"/>
      <c r="Y40" s="8"/>
      <c r="Z40" s="8"/>
      <c r="AA40" s="8"/>
      <c r="AB40" s="8"/>
      <c r="AC40" s="8"/>
    </row>
    <row r="41" spans="1:29" ht="15">
      <c r="A41" s="58"/>
      <c r="B41" s="69">
        <v>11</v>
      </c>
      <c r="C41" s="43" t="s">
        <v>239</v>
      </c>
      <c r="D41" s="69">
        <v>1.4062499999999999E-3</v>
      </c>
      <c r="E41" s="69">
        <v>0.104786314763622</v>
      </c>
      <c r="F41" s="71">
        <f t="shared" si="2"/>
        <v>10.478631476362201</v>
      </c>
      <c r="G41" s="84">
        <f t="shared" si="3"/>
        <v>107.19640000318532</v>
      </c>
      <c r="H41" s="43"/>
      <c r="I41" s="8"/>
      <c r="J41" s="8"/>
      <c r="K41" s="8"/>
      <c r="L41" s="8"/>
      <c r="M41" s="8"/>
      <c r="N41" s="8"/>
      <c r="O41" s="8"/>
      <c r="P41" s="8"/>
      <c r="Q41" s="8"/>
      <c r="R41" s="8"/>
      <c r="S41" s="8"/>
      <c r="T41" s="8"/>
      <c r="U41" s="8"/>
      <c r="V41" s="8"/>
      <c r="W41" s="8"/>
      <c r="X41" s="8"/>
      <c r="Y41" s="8"/>
      <c r="Z41" s="8"/>
      <c r="AA41" s="8"/>
      <c r="AB41" s="8"/>
      <c r="AC41" s="8"/>
    </row>
    <row r="42" spans="1:29" ht="15">
      <c r="A42" s="58"/>
      <c r="B42" s="69">
        <v>12</v>
      </c>
      <c r="C42" s="43" t="s">
        <v>240</v>
      </c>
      <c r="D42" s="69">
        <v>1.5071814316916601E-3</v>
      </c>
      <c r="E42" s="69">
        <v>0.10560303293606001</v>
      </c>
      <c r="F42" s="71">
        <f t="shared" si="2"/>
        <v>10.560303293606001</v>
      </c>
      <c r="G42" s="84">
        <f t="shared" si="3"/>
        <v>108.03190269358939</v>
      </c>
      <c r="H42" s="43"/>
      <c r="I42" s="8"/>
      <c r="J42" s="8"/>
      <c r="K42" s="8"/>
      <c r="L42" s="8"/>
      <c r="M42" s="8"/>
      <c r="N42" s="8"/>
      <c r="O42" s="8"/>
      <c r="P42" s="8"/>
      <c r="Q42" s="8"/>
      <c r="R42" s="8"/>
      <c r="S42" s="8"/>
      <c r="T42" s="8"/>
      <c r="U42" s="8"/>
      <c r="V42" s="8"/>
      <c r="W42" s="8"/>
      <c r="X42" s="8"/>
      <c r="Y42" s="8"/>
      <c r="Z42" s="8"/>
      <c r="AA42" s="8"/>
      <c r="AB42" s="8"/>
      <c r="AC42" s="8"/>
    </row>
    <row r="43" spans="1:29" ht="15">
      <c r="A43" s="58"/>
      <c r="B43" s="69">
        <v>13</v>
      </c>
      <c r="C43" s="43" t="s">
        <v>241</v>
      </c>
      <c r="D43" s="69">
        <v>1.6153570617145801E-3</v>
      </c>
      <c r="E43" s="69">
        <v>0.106473450650493</v>
      </c>
      <c r="F43" s="71">
        <f t="shared" si="2"/>
        <v>10.647345065049301</v>
      </c>
      <c r="G43" s="84">
        <f t="shared" si="3"/>
        <v>108.92234001545434</v>
      </c>
      <c r="H43" s="43"/>
      <c r="I43" s="8"/>
      <c r="J43" s="8"/>
      <c r="K43" s="8"/>
      <c r="L43" s="8"/>
      <c r="M43" s="8"/>
      <c r="N43" s="8"/>
      <c r="O43" s="8"/>
      <c r="P43" s="8"/>
      <c r="Q43" s="8"/>
      <c r="R43" s="8"/>
      <c r="S43" s="8"/>
      <c r="T43" s="8"/>
      <c r="U43" s="8"/>
      <c r="V43" s="8"/>
      <c r="W43" s="8"/>
      <c r="X43" s="8"/>
      <c r="Y43" s="8"/>
      <c r="Z43" s="8"/>
      <c r="AA43" s="8"/>
      <c r="AB43" s="8"/>
      <c r="AC43" s="8"/>
    </row>
    <row r="44" spans="1:29" ht="15">
      <c r="A44" s="58"/>
      <c r="B44" s="69">
        <v>14</v>
      </c>
      <c r="C44" s="43" t="s">
        <v>242</v>
      </c>
      <c r="D44" s="69">
        <v>1.73129683126628E-3</v>
      </c>
      <c r="E44" s="69">
        <v>0.107400756055393</v>
      </c>
      <c r="F44" s="71">
        <f t="shared" si="2"/>
        <v>10.7400756055393</v>
      </c>
      <c r="G44" s="84">
        <f t="shared" si="3"/>
        <v>109.87097344466703</v>
      </c>
      <c r="H44" s="43"/>
      <c r="I44" s="8"/>
      <c r="J44" s="8"/>
      <c r="K44" s="8"/>
      <c r="L44" s="8"/>
      <c r="M44" s="8"/>
      <c r="N44" s="8"/>
      <c r="O44" s="8"/>
      <c r="P44" s="8"/>
      <c r="Q44" s="8"/>
      <c r="R44" s="8"/>
      <c r="S44" s="8"/>
      <c r="T44" s="8"/>
      <c r="U44" s="8"/>
      <c r="V44" s="8"/>
      <c r="W44" s="8"/>
      <c r="X44" s="8"/>
      <c r="Y44" s="8"/>
      <c r="Z44" s="8"/>
      <c r="AA44" s="8"/>
      <c r="AB44" s="8"/>
      <c r="AC44" s="8"/>
    </row>
    <row r="45" spans="1:29" ht="15">
      <c r="A45" s="58"/>
      <c r="B45" s="69">
        <v>15</v>
      </c>
      <c r="C45" s="43" t="s">
        <v>243</v>
      </c>
      <c r="D45" s="69">
        <v>1.85555799952438E-3</v>
      </c>
      <c r="E45" s="69">
        <v>0.108388280779112</v>
      </c>
      <c r="F45" s="71">
        <f t="shared" si="2"/>
        <v>10.838828077911201</v>
      </c>
      <c r="G45" s="84">
        <f t="shared" si="3"/>
        <v>110.88121123703158</v>
      </c>
      <c r="H45" s="43"/>
      <c r="I45" s="8"/>
      <c r="J45" s="8"/>
      <c r="K45" s="8"/>
      <c r="L45" s="8"/>
      <c r="M45" s="8"/>
      <c r="N45" s="8"/>
      <c r="O45" s="8"/>
      <c r="P45" s="8"/>
      <c r="Q45" s="8"/>
      <c r="R45" s="8"/>
      <c r="S45" s="8"/>
      <c r="T45" s="8"/>
      <c r="U45" s="8"/>
      <c r="V45" s="8"/>
      <c r="W45" s="8"/>
      <c r="X45" s="8"/>
      <c r="Y45" s="8"/>
      <c r="Z45" s="8"/>
      <c r="AA45" s="8"/>
      <c r="AB45" s="8"/>
      <c r="AC45" s="8"/>
    </row>
    <row r="46" spans="1:29" ht="15">
      <c r="A46" s="58"/>
      <c r="B46" s="69">
        <v>16</v>
      </c>
      <c r="C46" s="43" t="s">
        <v>244</v>
      </c>
      <c r="D46" s="69">
        <v>1.98873782208716E-3</v>
      </c>
      <c r="E46" s="69">
        <v>0.10943950023108</v>
      </c>
      <c r="F46" s="71">
        <f t="shared" si="2"/>
        <v>10.943950023108</v>
      </c>
      <c r="G46" s="84">
        <f t="shared" si="3"/>
        <v>111.95660873639484</v>
      </c>
      <c r="H46" s="43"/>
      <c r="I46" s="8"/>
      <c r="J46" s="8"/>
      <c r="K46" s="8"/>
      <c r="L46" s="8"/>
      <c r="M46" s="8"/>
      <c r="N46" s="8"/>
      <c r="O46" s="8"/>
      <c r="P46" s="8"/>
      <c r="Q46" s="8"/>
      <c r="R46" s="8"/>
      <c r="S46" s="8"/>
      <c r="T46" s="8"/>
      <c r="U46" s="8"/>
      <c r="V46" s="8"/>
      <c r="W46" s="8"/>
      <c r="X46" s="8"/>
      <c r="Y46" s="8"/>
      <c r="Z46" s="8"/>
      <c r="AA46" s="8"/>
      <c r="AB46" s="8"/>
      <c r="AC46" s="8"/>
    </row>
    <row r="47" spans="1:29" ht="15">
      <c r="A47" s="58"/>
      <c r="B47" s="69">
        <v>17</v>
      </c>
      <c r="C47" s="43" t="s">
        <v>245</v>
      </c>
      <c r="D47" s="69">
        <v>2.13147642165524E-3</v>
      </c>
      <c r="E47" s="69">
        <v>0.110558033095184</v>
      </c>
      <c r="F47" s="71">
        <f t="shared" si="2"/>
        <v>11.055803309518399</v>
      </c>
      <c r="G47" s="84">
        <f t="shared" si="3"/>
        <v>113.10086785637323</v>
      </c>
      <c r="H47" s="43"/>
      <c r="I47" s="8"/>
      <c r="J47" s="8"/>
      <c r="K47" s="8"/>
      <c r="L47" s="8"/>
      <c r="M47" s="8"/>
      <c r="N47" s="8"/>
      <c r="O47" s="8"/>
      <c r="P47" s="8"/>
      <c r="Q47" s="8"/>
      <c r="R47" s="8"/>
      <c r="S47" s="8"/>
      <c r="T47" s="8"/>
      <c r="U47" s="8"/>
      <c r="V47" s="8"/>
      <c r="W47" s="8"/>
      <c r="X47" s="8"/>
      <c r="Y47" s="8"/>
      <c r="Z47" s="8"/>
      <c r="AA47" s="8"/>
      <c r="AB47" s="8"/>
      <c r="AC47" s="8"/>
    </row>
    <row r="48" spans="1:29" ht="15">
      <c r="A48" s="58"/>
      <c r="B48" s="69">
        <v>18</v>
      </c>
      <c r="C48" s="43" t="s">
        <v>246</v>
      </c>
      <c r="D48" s="69">
        <v>2.2844598647519098E-3</v>
      </c>
      <c r="E48" s="69">
        <v>0.111747639627467</v>
      </c>
      <c r="F48" s="71">
        <f t="shared" si="2"/>
        <v>11.174763962746701</v>
      </c>
      <c r="G48" s="84">
        <f t="shared" si="3"/>
        <v>114.31783533889875</v>
      </c>
      <c r="H48" s="43"/>
      <c r="I48" s="8"/>
      <c r="J48" s="8"/>
      <c r="K48" s="8"/>
      <c r="L48" s="8"/>
      <c r="M48" s="8"/>
      <c r="N48" s="8"/>
      <c r="O48" s="8"/>
      <c r="P48" s="8"/>
      <c r="Q48" s="8"/>
      <c r="R48" s="8"/>
      <c r="S48" s="8"/>
      <c r="T48" s="8"/>
      <c r="U48" s="8"/>
      <c r="V48" s="8"/>
      <c r="W48" s="8"/>
      <c r="X48" s="8"/>
      <c r="Y48" s="8"/>
      <c r="Z48" s="8"/>
      <c r="AA48" s="8"/>
      <c r="AB48" s="8"/>
      <c r="AC48" s="8"/>
    </row>
    <row r="49" spans="1:29" ht="15">
      <c r="A49" s="58"/>
      <c r="B49" s="69">
        <v>19</v>
      </c>
      <c r="C49" s="43" t="s">
        <v>247</v>
      </c>
      <c r="D49" s="69">
        <v>2.44842345927034E-3</v>
      </c>
      <c r="E49" s="69">
        <v>0.113012218890172</v>
      </c>
      <c r="F49" s="71">
        <f t="shared" si="2"/>
        <v>11.301221889017201</v>
      </c>
      <c r="G49" s="84">
        <f t="shared" si="3"/>
        <v>115.61149992464595</v>
      </c>
      <c r="H49" s="43"/>
      <c r="I49" s="8"/>
      <c r="J49" s="8"/>
      <c r="K49" s="8"/>
      <c r="L49" s="8"/>
      <c r="M49" s="8"/>
      <c r="N49" s="8"/>
      <c r="O49" s="8"/>
      <c r="P49" s="8"/>
      <c r="Q49" s="8"/>
      <c r="R49" s="8"/>
      <c r="S49" s="8"/>
      <c r="T49" s="8"/>
      <c r="U49" s="8"/>
      <c r="V49" s="8"/>
      <c r="W49" s="8"/>
      <c r="X49" s="8"/>
      <c r="Y49" s="8"/>
      <c r="Z49" s="8"/>
      <c r="AA49" s="8"/>
      <c r="AB49" s="8"/>
      <c r="AC49" s="8"/>
    </row>
    <row r="50" spans="1:29" ht="15">
      <c r="A50" s="58"/>
      <c r="B50" s="69">
        <v>20</v>
      </c>
      <c r="C50" s="43" t="s">
        <v>248</v>
      </c>
      <c r="D50" s="69">
        <v>2.6241552886972701E-3</v>
      </c>
      <c r="E50" s="69">
        <v>0.114355804640438</v>
      </c>
      <c r="F50" s="71">
        <f t="shared" si="2"/>
        <v>11.435580464043801</v>
      </c>
      <c r="G50" s="84">
        <f t="shared" si="3"/>
        <v>116.98598814716807</v>
      </c>
      <c r="H50" s="43"/>
      <c r="I50" s="8"/>
      <c r="J50" s="8"/>
      <c r="K50" s="8"/>
      <c r="L50" s="8"/>
      <c r="M50" s="8"/>
      <c r="N50" s="8"/>
      <c r="O50" s="8"/>
      <c r="P50" s="8"/>
      <c r="Q50" s="8"/>
      <c r="R50" s="8"/>
      <c r="S50" s="8"/>
      <c r="T50" s="8"/>
      <c r="U50" s="8"/>
      <c r="V50" s="8"/>
      <c r="W50" s="8"/>
      <c r="X50" s="8"/>
      <c r="Y50" s="8"/>
      <c r="Z50" s="8"/>
      <c r="AA50" s="8"/>
      <c r="AB50" s="8"/>
      <c r="AC50" s="8"/>
    </row>
    <row r="51" spans="1:29" ht="15">
      <c r="A51" s="58"/>
      <c r="B51" s="69">
        <v>21</v>
      </c>
      <c r="C51" s="43" t="s">
        <v>249</v>
      </c>
      <c r="D51" s="69">
        <v>2.8124999999999999E-3</v>
      </c>
      <c r="E51" s="69">
        <v>0.115782559760212</v>
      </c>
      <c r="F51" s="71">
        <f t="shared" si="2"/>
        <v>11.5782559760212</v>
      </c>
      <c r="G51" s="84">
        <f t="shared" si="3"/>
        <v>118.44555863469688</v>
      </c>
      <c r="H51" s="43"/>
      <c r="I51" s="8"/>
      <c r="J51" s="8"/>
      <c r="K51" s="8"/>
      <c r="L51" s="8"/>
      <c r="M51" s="8"/>
      <c r="N51" s="8"/>
      <c r="O51" s="8"/>
      <c r="P51" s="8"/>
      <c r="Q51" s="8"/>
      <c r="R51" s="8"/>
      <c r="S51" s="8"/>
      <c r="T51" s="8"/>
      <c r="U51" s="8"/>
      <c r="V51" s="8"/>
      <c r="W51" s="8"/>
      <c r="X51" s="8"/>
      <c r="Y51" s="8"/>
      <c r="Z51" s="8"/>
      <c r="AA51" s="8"/>
      <c r="AB51" s="8"/>
      <c r="AC51" s="8"/>
    </row>
    <row r="52" spans="1:29" ht="15">
      <c r="A52" s="58"/>
      <c r="B52" s="69">
        <v>22</v>
      </c>
      <c r="C52" s="43" t="s">
        <v>250</v>
      </c>
      <c r="D52" s="69">
        <v>3.0143628633833202E-3</v>
      </c>
      <c r="E52" s="69">
        <v>0.117296769227775</v>
      </c>
      <c r="F52" s="71">
        <f t="shared" si="2"/>
        <v>11.7296769227775</v>
      </c>
      <c r="G52" s="84">
        <f t="shared" si="3"/>
        <v>119.99459492001382</v>
      </c>
      <c r="H52" s="43"/>
      <c r="I52" s="8"/>
      <c r="J52" s="8"/>
      <c r="K52" s="8"/>
      <c r="L52" s="8"/>
      <c r="M52" s="8"/>
      <c r="N52" s="8"/>
      <c r="O52" s="8"/>
      <c r="P52" s="8"/>
      <c r="Q52" s="8"/>
      <c r="R52" s="8"/>
      <c r="S52" s="8"/>
      <c r="T52" s="8"/>
      <c r="U52" s="8"/>
      <c r="V52" s="8"/>
      <c r="W52" s="8"/>
      <c r="X52" s="8"/>
      <c r="Y52" s="8"/>
      <c r="Z52" s="8"/>
      <c r="AA52" s="8"/>
      <c r="AB52" s="8"/>
      <c r="AC52" s="8"/>
    </row>
    <row r="53" spans="1:29" ht="15">
      <c r="A53" s="58"/>
      <c r="B53" s="69">
        <v>23</v>
      </c>
      <c r="C53" s="43" t="s">
        <v>251</v>
      </c>
      <c r="D53" s="69">
        <v>3.2307141234291601E-3</v>
      </c>
      <c r="E53" s="69">
        <v>0.11890283136032399</v>
      </c>
      <c r="F53" s="71">
        <f t="shared" si="2"/>
        <v>11.8902831360324</v>
      </c>
      <c r="G53" s="84">
        <f t="shared" si="3"/>
        <v>121.63759648161144</v>
      </c>
      <c r="H53" s="43"/>
      <c r="I53" s="8"/>
      <c r="J53" s="8"/>
      <c r="K53" s="8"/>
      <c r="L53" s="8"/>
      <c r="M53" s="8"/>
      <c r="N53" s="8"/>
      <c r="O53" s="8"/>
      <c r="P53" s="8"/>
      <c r="Q53" s="8"/>
      <c r="R53" s="8"/>
      <c r="S53" s="8"/>
      <c r="T53" s="8"/>
      <c r="U53" s="8"/>
      <c r="V53" s="8"/>
      <c r="W53" s="8"/>
      <c r="X53" s="8"/>
      <c r="Y53" s="8"/>
      <c r="Z53" s="8"/>
      <c r="AA53" s="8"/>
      <c r="AB53" s="8"/>
      <c r="AC53" s="8"/>
    </row>
    <row r="54" spans="1:29" ht="15">
      <c r="A54" s="58"/>
      <c r="B54" s="69">
        <v>24</v>
      </c>
      <c r="C54" s="43" t="s">
        <v>252</v>
      </c>
      <c r="D54" s="69">
        <v>3.46259366253257E-3</v>
      </c>
      <c r="E54" s="69">
        <v>0.120605247325149</v>
      </c>
      <c r="F54" s="71">
        <f t="shared" si="2"/>
        <v>12.060524732514901</v>
      </c>
      <c r="G54" s="84">
        <f t="shared" si="3"/>
        <v>123.37916801362744</v>
      </c>
      <c r="H54" s="43"/>
      <c r="I54" s="8"/>
      <c r="J54" s="8"/>
      <c r="K54" s="8"/>
      <c r="L54" s="8"/>
      <c r="M54" s="8"/>
      <c r="N54" s="8"/>
      <c r="O54" s="8"/>
      <c r="P54" s="8"/>
      <c r="Q54" s="8"/>
      <c r="R54" s="8"/>
      <c r="S54" s="8"/>
      <c r="T54" s="8"/>
      <c r="U54" s="8"/>
      <c r="V54" s="8"/>
      <c r="W54" s="8"/>
      <c r="X54" s="8"/>
      <c r="Y54" s="8"/>
      <c r="Z54" s="8"/>
      <c r="AA54" s="8"/>
      <c r="AB54" s="8"/>
      <c r="AC54" s="8"/>
    </row>
    <row r="55" spans="1:29" ht="15">
      <c r="A55" s="58"/>
      <c r="B55" s="69">
        <v>25</v>
      </c>
      <c r="C55" s="43" t="s">
        <v>253</v>
      </c>
      <c r="D55" s="69">
        <v>3.71111599904876E-3</v>
      </c>
      <c r="E55" s="69">
        <v>0.12240860877517599</v>
      </c>
      <c r="F55" s="71">
        <f t="shared" si="2"/>
        <v>12.2408608775176</v>
      </c>
      <c r="G55" s="84">
        <f t="shared" si="3"/>
        <v>125.22400677700504</v>
      </c>
      <c r="H55" s="43"/>
      <c r="I55" s="8"/>
      <c r="J55" s="8"/>
      <c r="K55" s="8"/>
      <c r="L55" s="8"/>
      <c r="M55" s="8"/>
      <c r="N55" s="8"/>
      <c r="O55" s="8"/>
      <c r="P55" s="8"/>
      <c r="Q55" s="8"/>
      <c r="R55" s="8"/>
      <c r="S55" s="8"/>
      <c r="T55" s="8"/>
      <c r="U55" s="8"/>
      <c r="V55" s="8"/>
      <c r="W55" s="8"/>
      <c r="X55" s="8"/>
      <c r="Y55" s="8"/>
      <c r="Z55" s="8"/>
      <c r="AA55" s="8"/>
      <c r="AB55" s="8"/>
      <c r="AC55" s="8"/>
    </row>
    <row r="56" spans="1:29" ht="15">
      <c r="A56" s="58"/>
      <c r="B56" s="69">
        <v>26</v>
      </c>
      <c r="C56" s="43" t="s">
        <v>254</v>
      </c>
      <c r="D56" s="69">
        <v>3.9774756441743296E-3</v>
      </c>
      <c r="E56" s="69">
        <v>0.124317583640529</v>
      </c>
      <c r="F56" s="71">
        <f t="shared" si="2"/>
        <v>12.4317583640529</v>
      </c>
      <c r="G56" s="84">
        <f t="shared" si="3"/>
        <v>127.17688806426116</v>
      </c>
      <c r="H56" s="43"/>
      <c r="I56" s="8"/>
      <c r="J56" s="8"/>
      <c r="K56" s="8"/>
      <c r="L56" s="8"/>
      <c r="M56" s="8"/>
      <c r="N56" s="8"/>
      <c r="O56" s="8"/>
      <c r="P56" s="8"/>
      <c r="Q56" s="8"/>
      <c r="R56" s="8"/>
      <c r="S56" s="8"/>
      <c r="T56" s="8"/>
      <c r="U56" s="8"/>
      <c r="V56" s="8"/>
      <c r="W56" s="8"/>
      <c r="X56" s="8"/>
      <c r="Y56" s="8"/>
      <c r="Z56" s="8"/>
      <c r="AA56" s="8"/>
      <c r="AB56" s="8"/>
      <c r="AC56" s="8"/>
    </row>
    <row r="57" spans="1:29" ht="15">
      <c r="A57" s="58"/>
      <c r="B57" s="69">
        <v>27</v>
      </c>
      <c r="C57" s="43" t="s">
        <v>255</v>
      </c>
      <c r="D57" s="69">
        <v>4.2629528433104904E-3</v>
      </c>
      <c r="E57" s="69">
        <v>0.12633689985549401</v>
      </c>
      <c r="F57" s="71">
        <f t="shared" si="2"/>
        <v>12.633689985549401</v>
      </c>
      <c r="G57" s="84">
        <f t="shared" si="3"/>
        <v>129.24264855217038</v>
      </c>
      <c r="H57" s="43"/>
      <c r="I57" s="8"/>
      <c r="J57" s="8"/>
      <c r="K57" s="8"/>
      <c r="L57" s="8"/>
      <c r="M57" s="8"/>
      <c r="N57" s="8"/>
      <c r="O57" s="8"/>
      <c r="P57" s="8"/>
      <c r="Q57" s="8"/>
      <c r="R57" s="8"/>
      <c r="S57" s="8"/>
      <c r="T57" s="8"/>
      <c r="U57" s="8"/>
      <c r="V57" s="8"/>
      <c r="W57" s="8"/>
      <c r="X57" s="8"/>
      <c r="Y57" s="8"/>
      <c r="Z57" s="8"/>
      <c r="AA57" s="8"/>
      <c r="AB57" s="8"/>
      <c r="AC57" s="8"/>
    </row>
    <row r="58" spans="1:29" ht="15">
      <c r="A58" s="58"/>
      <c r="B58" s="69">
        <v>28</v>
      </c>
      <c r="C58" s="43" t="s">
        <v>256</v>
      </c>
      <c r="D58" s="69">
        <v>4.5689197295038196E-3</v>
      </c>
      <c r="E58" s="69">
        <v>0.128471327172343</v>
      </c>
      <c r="F58" s="71">
        <f t="shared" si="2"/>
        <v>12.847132717234299</v>
      </c>
      <c r="G58" s="84">
        <f t="shared" si="3"/>
        <v>131.42616769730688</v>
      </c>
      <c r="H58" s="43"/>
      <c r="I58" s="8"/>
      <c r="J58" s="8"/>
      <c r="K58" s="8"/>
      <c r="L58" s="8"/>
      <c r="M58" s="8"/>
      <c r="N58" s="8"/>
      <c r="O58" s="8"/>
      <c r="P58" s="8"/>
      <c r="Q58" s="8"/>
      <c r="R58" s="8"/>
      <c r="S58" s="8"/>
      <c r="T58" s="8"/>
      <c r="U58" s="8"/>
      <c r="V58" s="8"/>
      <c r="W58" s="8"/>
      <c r="X58" s="8"/>
      <c r="Y58" s="8"/>
      <c r="Z58" s="8"/>
      <c r="AA58" s="8"/>
      <c r="AB58" s="8"/>
      <c r="AC58" s="8"/>
    </row>
    <row r="59" spans="1:29" ht="15">
      <c r="A59" s="58"/>
      <c r="B59" s="69">
        <v>29</v>
      </c>
      <c r="C59" s="43" t="s">
        <v>257</v>
      </c>
      <c r="D59" s="69">
        <v>4.8968469185406904E-3</v>
      </c>
      <c r="E59" s="69">
        <v>0.130725656948283</v>
      </c>
      <c r="F59" s="71">
        <f t="shared" si="2"/>
        <v>13.072565694828301</v>
      </c>
      <c r="G59" s="84">
        <f t="shared" si="3"/>
        <v>133.73234705809352</v>
      </c>
      <c r="H59" s="43"/>
      <c r="I59" s="8"/>
      <c r="J59" s="8"/>
      <c r="K59" s="8"/>
      <c r="L59" s="8"/>
      <c r="M59" s="8"/>
      <c r="N59" s="8"/>
      <c r="O59" s="8"/>
      <c r="P59" s="8"/>
      <c r="Q59" s="8"/>
      <c r="R59" s="8"/>
      <c r="S59" s="8"/>
      <c r="T59" s="8"/>
      <c r="U59" s="8"/>
      <c r="V59" s="8"/>
      <c r="W59" s="8"/>
      <c r="X59" s="8"/>
      <c r="Y59" s="8"/>
      <c r="Z59" s="8"/>
      <c r="AA59" s="8"/>
      <c r="AB59" s="8"/>
      <c r="AC59" s="8"/>
    </row>
    <row r="60" spans="1:29" ht="15">
      <c r="A60" s="58"/>
      <c r="B60" s="69">
        <v>30</v>
      </c>
      <c r="C60" s="43" t="s">
        <v>258</v>
      </c>
      <c r="D60" s="69">
        <v>5.2483105773945401E-3</v>
      </c>
      <c r="E60" s="69">
        <v>0.133104680070048</v>
      </c>
      <c r="F60" s="71">
        <f t="shared" si="2"/>
        <v>13.3104680070048</v>
      </c>
      <c r="G60" s="84">
        <f t="shared" si="3"/>
        <v>136.16608771165909</v>
      </c>
      <c r="H60" s="43"/>
      <c r="I60" s="8"/>
      <c r="J60" s="8"/>
      <c r="K60" s="8"/>
      <c r="L60" s="8"/>
      <c r="M60" s="8"/>
      <c r="N60" s="8"/>
      <c r="O60" s="8"/>
      <c r="P60" s="8"/>
      <c r="Q60" s="8"/>
      <c r="R60" s="8"/>
      <c r="S60" s="8"/>
      <c r="T60" s="8"/>
      <c r="U60" s="8"/>
      <c r="V60" s="8"/>
      <c r="W60" s="8"/>
      <c r="X60" s="8"/>
      <c r="Y60" s="8"/>
      <c r="Z60" s="8"/>
      <c r="AA60" s="8"/>
      <c r="AB60" s="8"/>
      <c r="AC60" s="8"/>
    </row>
    <row r="61" spans="1:29" ht="15">
      <c r="A61" s="58"/>
      <c r="B61" s="69">
        <v>31</v>
      </c>
      <c r="C61" s="43" t="s">
        <v>259</v>
      </c>
      <c r="D61" s="69">
        <v>5.6249999999999998E-3</v>
      </c>
      <c r="E61" s="69">
        <v>0.135613163014324</v>
      </c>
      <c r="F61" s="71">
        <f t="shared" si="2"/>
        <v>13.561316301432399</v>
      </c>
      <c r="G61" s="84">
        <f t="shared" si="3"/>
        <v>138.73226576365346</v>
      </c>
      <c r="H61" s="43"/>
      <c r="I61" s="8"/>
      <c r="J61" s="8"/>
      <c r="K61" s="8"/>
      <c r="L61" s="8"/>
      <c r="M61" s="8"/>
      <c r="N61" s="8"/>
      <c r="O61" s="8"/>
      <c r="P61" s="8"/>
      <c r="Q61" s="8"/>
      <c r="R61" s="8"/>
      <c r="S61" s="8"/>
      <c r="T61" s="8"/>
      <c r="U61" s="8"/>
      <c r="V61" s="8"/>
      <c r="W61" s="8"/>
      <c r="X61" s="8"/>
      <c r="Y61" s="8"/>
      <c r="Z61" s="8"/>
      <c r="AA61" s="8"/>
      <c r="AB61" s="8"/>
      <c r="AC61" s="8"/>
    </row>
    <row r="62" spans="1:29" ht="15">
      <c r="A62" s="58"/>
      <c r="B62" s="69">
        <v>32</v>
      </c>
      <c r="C62" s="43" t="s">
        <v>260</v>
      </c>
      <c r="D62" s="69">
        <v>6.0287257267666403E-3</v>
      </c>
      <c r="E62" s="69">
        <v>0.13825582217228599</v>
      </c>
      <c r="F62" s="71">
        <f t="shared" si="2"/>
        <v>13.825582217228598</v>
      </c>
      <c r="G62" s="84">
        <f t="shared" si="3"/>
        <v>141.43570608224857</v>
      </c>
      <c r="H62" s="43"/>
      <c r="I62" s="8"/>
      <c r="J62" s="8"/>
      <c r="K62" s="8"/>
      <c r="L62" s="8"/>
      <c r="M62" s="8"/>
      <c r="N62" s="8"/>
      <c r="O62" s="8"/>
      <c r="P62" s="8"/>
      <c r="Q62" s="8"/>
      <c r="R62" s="8"/>
      <c r="S62" s="8"/>
      <c r="T62" s="8"/>
      <c r="U62" s="8"/>
      <c r="V62" s="8"/>
      <c r="W62" s="8"/>
      <c r="X62" s="8"/>
      <c r="Y62" s="8"/>
      <c r="Z62" s="8"/>
      <c r="AA62" s="8"/>
      <c r="AB62" s="8"/>
      <c r="AC62" s="8"/>
    </row>
    <row r="63" spans="1:29" ht="15">
      <c r="A63" s="58"/>
      <c r="B63" s="69">
        <v>33</v>
      </c>
      <c r="C63" s="43" t="s">
        <v>261</v>
      </c>
      <c r="D63" s="69">
        <v>6.4614282468583202E-3</v>
      </c>
      <c r="E63" s="69">
        <v>0.14103729672555201</v>
      </c>
      <c r="F63" s="71">
        <f t="shared" si="2"/>
        <v>14.103729672555202</v>
      </c>
      <c r="G63" s="84">
        <f t="shared" si="3"/>
        <v>144.28115455023971</v>
      </c>
      <c r="H63" s="43"/>
      <c r="I63" s="8"/>
      <c r="J63" s="8"/>
      <c r="K63" s="8"/>
      <c r="L63" s="8"/>
      <c r="M63" s="8"/>
      <c r="N63" s="8"/>
      <c r="O63" s="8"/>
      <c r="P63" s="8"/>
      <c r="Q63" s="8"/>
      <c r="R63" s="8"/>
      <c r="S63" s="8"/>
      <c r="T63" s="8"/>
      <c r="U63" s="8"/>
      <c r="V63" s="8"/>
      <c r="W63" s="8"/>
      <c r="X63" s="8"/>
      <c r="Y63" s="8"/>
      <c r="Z63" s="8"/>
      <c r="AA63" s="8"/>
      <c r="AB63" s="8"/>
      <c r="AC63" s="8"/>
    </row>
    <row r="64" spans="1:29" ht="15">
      <c r="A64" s="58"/>
      <c r="B64" s="69">
        <v>34</v>
      </c>
      <c r="C64" s="43" t="s">
        <v>262</v>
      </c>
      <c r="D64" s="69">
        <v>6.9251873250651503E-3</v>
      </c>
      <c r="E64" s="69">
        <v>0.14396212019487101</v>
      </c>
      <c r="F64" s="71">
        <f t="shared" si="2"/>
        <v>14.3962120194871</v>
      </c>
      <c r="G64" s="84">
        <f t="shared" si="3"/>
        <v>147.27324895935305</v>
      </c>
      <c r="H64" s="43"/>
      <c r="I64" s="8"/>
      <c r="J64" s="8"/>
      <c r="K64" s="8"/>
      <c r="L64" s="8"/>
      <c r="M64" s="8"/>
      <c r="N64" s="8"/>
      <c r="O64" s="8"/>
      <c r="P64" s="8"/>
      <c r="Q64" s="8"/>
      <c r="R64" s="8"/>
      <c r="S64" s="8"/>
      <c r="T64" s="8"/>
      <c r="U64" s="8"/>
      <c r="V64" s="8"/>
      <c r="W64" s="8"/>
      <c r="X64" s="8"/>
      <c r="Y64" s="8"/>
      <c r="Z64" s="8"/>
      <c r="AA64" s="8"/>
      <c r="AB64" s="8"/>
      <c r="AC64" s="8"/>
    </row>
    <row r="65" spans="1:29" ht="15">
      <c r="A65" s="58"/>
      <c r="B65" s="69">
        <v>35</v>
      </c>
      <c r="C65" s="43" t="s">
        <v>263</v>
      </c>
      <c r="D65" s="69">
        <v>7.4222319980975296E-3</v>
      </c>
      <c r="E65" s="69">
        <v>0.14703469098014099</v>
      </c>
      <c r="F65" s="71">
        <f t="shared" si="2"/>
        <v>14.7034690980141</v>
      </c>
      <c r="G65" s="84">
        <f t="shared" si="3"/>
        <v>150.41648887268423</v>
      </c>
      <c r="H65" s="43"/>
      <c r="I65" s="8"/>
      <c r="J65" s="8"/>
      <c r="K65" s="8"/>
      <c r="L65" s="8"/>
      <c r="M65" s="8"/>
      <c r="N65" s="8"/>
      <c r="O65" s="8"/>
      <c r="P65" s="8"/>
      <c r="Q65" s="8"/>
      <c r="R65" s="8"/>
      <c r="S65" s="8"/>
      <c r="T65" s="8"/>
      <c r="U65" s="8"/>
      <c r="V65" s="8"/>
      <c r="W65" s="8"/>
      <c r="X65" s="8"/>
      <c r="Y65" s="8"/>
      <c r="Z65" s="8"/>
      <c r="AA65" s="8"/>
      <c r="AB65" s="8"/>
      <c r="AC65" s="8"/>
    </row>
    <row r="66" spans="1:29" ht="15">
      <c r="A66" s="58"/>
      <c r="B66" s="69">
        <v>36</v>
      </c>
      <c r="C66" s="43" t="s">
        <v>264</v>
      </c>
      <c r="D66" s="69">
        <v>7.9549512883486592E-3</v>
      </c>
      <c r="E66" s="69">
        <v>0.15025924220724199</v>
      </c>
      <c r="F66" s="71">
        <f t="shared" si="2"/>
        <v>15.0259242207242</v>
      </c>
      <c r="G66" s="84">
        <f t="shared" si="3"/>
        <v>153.71520477800854</v>
      </c>
      <c r="H66" s="43"/>
      <c r="I66" s="8"/>
      <c r="J66" s="8"/>
      <c r="K66" s="8"/>
      <c r="L66" s="8"/>
      <c r="M66" s="8"/>
      <c r="N66" s="8"/>
      <c r="O66" s="8"/>
      <c r="P66" s="8"/>
      <c r="Q66" s="8"/>
      <c r="R66" s="8"/>
      <c r="S66" s="8"/>
      <c r="T66" s="8"/>
      <c r="U66" s="8"/>
      <c r="V66" s="8"/>
      <c r="W66" s="8"/>
      <c r="X66" s="8"/>
      <c r="Y66" s="8"/>
      <c r="Z66" s="8"/>
      <c r="AA66" s="8"/>
      <c r="AB66" s="8"/>
      <c r="AC66" s="8"/>
    </row>
    <row r="67" spans="1:29" ht="15">
      <c r="A67" s="58"/>
      <c r="B67" s="69">
        <v>37</v>
      </c>
      <c r="C67" s="43" t="s">
        <v>265</v>
      </c>
      <c r="D67" s="69">
        <v>8.5259056866209808E-3</v>
      </c>
      <c r="E67" s="69">
        <v>0.153639811267546</v>
      </c>
      <c r="F67" s="71">
        <f t="shared" si="2"/>
        <v>15.3639811267546</v>
      </c>
      <c r="G67" s="84">
        <f t="shared" si="3"/>
        <v>157.17352692669957</v>
      </c>
      <c r="H67" s="43"/>
      <c r="I67" s="8"/>
      <c r="J67" s="8"/>
      <c r="K67" s="8"/>
      <c r="L67" s="8"/>
      <c r="M67" s="8"/>
      <c r="N67" s="8"/>
      <c r="O67" s="8"/>
      <c r="P67" s="8"/>
      <c r="Q67" s="8"/>
      <c r="R67" s="8"/>
      <c r="S67" s="8"/>
      <c r="T67" s="8"/>
      <c r="U67" s="8"/>
      <c r="V67" s="8"/>
      <c r="W67" s="8"/>
      <c r="X67" s="8"/>
      <c r="Y67" s="8"/>
      <c r="Z67" s="8"/>
      <c r="AA67" s="8"/>
      <c r="AB67" s="8"/>
      <c r="AC67" s="8"/>
    </row>
    <row r="68" spans="1:29" ht="15">
      <c r="A68" s="58"/>
      <c r="B68" s="69">
        <v>38</v>
      </c>
      <c r="C68" s="43" t="s">
        <v>266</v>
      </c>
      <c r="D68" s="69">
        <v>9.1378394590076496E-3</v>
      </c>
      <c r="E68" s="69">
        <v>0.15718020939116101</v>
      </c>
      <c r="F68" s="71">
        <f t="shared" si="2"/>
        <v>15.718020939116101</v>
      </c>
      <c r="G68" s="84">
        <f t="shared" si="3"/>
        <v>160.79535420715771</v>
      </c>
      <c r="H68" s="43"/>
      <c r="I68" s="8"/>
      <c r="J68" s="8"/>
      <c r="K68" s="8"/>
      <c r="L68" s="8"/>
      <c r="M68" s="8"/>
      <c r="N68" s="8"/>
      <c r="O68" s="8"/>
      <c r="P68" s="8"/>
      <c r="Q68" s="8"/>
      <c r="R68" s="8"/>
      <c r="S68" s="8"/>
      <c r="T68" s="8"/>
      <c r="U68" s="8"/>
      <c r="V68" s="8"/>
      <c r="W68" s="8"/>
      <c r="X68" s="8"/>
      <c r="Y68" s="8"/>
      <c r="Z68" s="8"/>
      <c r="AA68" s="8"/>
      <c r="AB68" s="8"/>
      <c r="AC68" s="8"/>
    </row>
    <row r="69" spans="1:29" ht="15">
      <c r="A69" s="58"/>
      <c r="B69" s="69">
        <v>39</v>
      </c>
      <c r="C69" s="43" t="s">
        <v>267</v>
      </c>
      <c r="D69" s="69">
        <v>9.7936938370813895E-3</v>
      </c>
      <c r="E69" s="69">
        <v>0.16088399179844301</v>
      </c>
      <c r="F69" s="71">
        <f t="shared" si="2"/>
        <v>16.088399179844302</v>
      </c>
      <c r="G69" s="84">
        <f t="shared" si="3"/>
        <v>164.5843236098072</v>
      </c>
      <c r="H69" s="43"/>
      <c r="I69" s="8"/>
      <c r="J69" s="8"/>
      <c r="K69" s="8"/>
      <c r="L69" s="8"/>
      <c r="M69" s="8"/>
      <c r="N69" s="8"/>
      <c r="O69" s="8"/>
      <c r="P69" s="8"/>
      <c r="Q69" s="8"/>
      <c r="R69" s="8"/>
      <c r="S69" s="8"/>
      <c r="T69" s="8"/>
      <c r="U69" s="8"/>
      <c r="V69" s="8"/>
      <c r="W69" s="8"/>
      <c r="X69" s="8"/>
      <c r="Y69" s="8"/>
      <c r="Z69" s="8"/>
      <c r="AA69" s="8"/>
      <c r="AB69" s="8"/>
      <c r="AC69" s="8"/>
    </row>
    <row r="70" spans="1:29" ht="15">
      <c r="A70" s="58"/>
      <c r="B70" s="69">
        <v>40</v>
      </c>
      <c r="C70" s="43" t="s">
        <v>268</v>
      </c>
      <c r="D70" s="69">
        <v>1.0496621154789E-2</v>
      </c>
      <c r="E70" s="69">
        <v>0.16475442871802301</v>
      </c>
      <c r="F70" s="71">
        <f t="shared" si="2"/>
        <v>16.475442871802301</v>
      </c>
      <c r="G70" s="84">
        <f t="shared" si="3"/>
        <v>168.54378057853754</v>
      </c>
      <c r="H70" s="43"/>
      <c r="I70" s="8"/>
      <c r="J70" s="8"/>
      <c r="K70" s="8"/>
      <c r="L70" s="8"/>
      <c r="M70" s="8"/>
      <c r="N70" s="8"/>
      <c r="O70" s="8"/>
      <c r="P70" s="8"/>
      <c r="Q70" s="8"/>
      <c r="R70" s="8"/>
      <c r="S70" s="8"/>
      <c r="T70" s="8"/>
      <c r="U70" s="8"/>
      <c r="V70" s="8"/>
      <c r="W70" s="8"/>
      <c r="X70" s="8"/>
      <c r="Y70" s="8"/>
      <c r="Z70" s="8"/>
      <c r="AA70" s="8"/>
      <c r="AB70" s="8"/>
      <c r="AC70" s="8"/>
    </row>
    <row r="71" spans="1:29" ht="15">
      <c r="A71" s="58"/>
      <c r="B71" s="69">
        <v>41</v>
      </c>
      <c r="C71" s="43" t="s">
        <v>269</v>
      </c>
      <c r="D71" s="69">
        <v>1.125E-2</v>
      </c>
      <c r="E71" s="69">
        <v>0.16879447802837999</v>
      </c>
      <c r="F71" s="71">
        <f t="shared" si="2"/>
        <v>16.879447802837998</v>
      </c>
      <c r="G71" s="84">
        <f t="shared" si="3"/>
        <v>172.67675102303272</v>
      </c>
      <c r="H71" s="43"/>
      <c r="I71" s="8"/>
      <c r="J71" s="8"/>
      <c r="K71" s="8"/>
      <c r="L71" s="8"/>
      <c r="M71" s="8"/>
      <c r="N71" s="8"/>
      <c r="O71" s="8"/>
      <c r="P71" s="8"/>
      <c r="Q71" s="8"/>
      <c r="R71" s="8"/>
      <c r="S71" s="8"/>
      <c r="T71" s="8"/>
      <c r="U71" s="8"/>
      <c r="V71" s="8"/>
      <c r="W71" s="8"/>
      <c r="X71" s="8"/>
      <c r="Y71" s="8"/>
      <c r="Z71" s="8"/>
      <c r="AA71" s="8"/>
      <c r="AB71" s="8"/>
      <c r="AC71" s="8"/>
    </row>
    <row r="72" spans="1:29" ht="15">
      <c r="A72" s="58"/>
      <c r="B72" s="69">
        <v>42</v>
      </c>
      <c r="C72" s="43" t="s">
        <v>270</v>
      </c>
      <c r="D72" s="69">
        <v>1.2057451453533201E-2</v>
      </c>
      <c r="E72" s="69">
        <v>0.17300675937632301</v>
      </c>
      <c r="F72" s="71">
        <f t="shared" si="2"/>
        <v>17.300675937632302</v>
      </c>
      <c r="G72" s="84">
        <f t="shared" si="3"/>
        <v>176.98591484197843</v>
      </c>
      <c r="H72" s="43"/>
      <c r="I72" s="8"/>
      <c r="J72" s="8"/>
      <c r="K72" s="8"/>
      <c r="L72" s="8"/>
      <c r="M72" s="8"/>
      <c r="N72" s="8"/>
      <c r="O72" s="8"/>
      <c r="P72" s="8"/>
      <c r="Q72" s="8"/>
      <c r="R72" s="8"/>
      <c r="S72" s="8"/>
      <c r="T72" s="8"/>
      <c r="U72" s="8"/>
      <c r="V72" s="8"/>
      <c r="W72" s="8"/>
      <c r="X72" s="8"/>
      <c r="Y72" s="8"/>
      <c r="Z72" s="8"/>
      <c r="AA72" s="8"/>
      <c r="AB72" s="8"/>
      <c r="AC72" s="8"/>
    </row>
    <row r="73" spans="1:29" ht="15">
      <c r="A73" s="58"/>
      <c r="B73" s="69">
        <v>43</v>
      </c>
      <c r="C73" s="43" t="s">
        <v>271</v>
      </c>
      <c r="D73" s="69">
        <v>1.2922856493716601E-2</v>
      </c>
      <c r="E73" s="69">
        <v>0.177393531246088</v>
      </c>
      <c r="F73" s="71">
        <f t="shared" si="2"/>
        <v>17.739353124608801</v>
      </c>
      <c r="G73" s="84">
        <f t="shared" si="3"/>
        <v>181.47358246474803</v>
      </c>
      <c r="H73" s="43"/>
      <c r="I73" s="8"/>
      <c r="J73" s="8"/>
      <c r="K73" s="8"/>
      <c r="L73" s="8"/>
      <c r="M73" s="8"/>
      <c r="N73" s="8"/>
      <c r="O73" s="8"/>
      <c r="P73" s="8"/>
      <c r="Q73" s="8"/>
      <c r="R73" s="8"/>
      <c r="S73" s="8"/>
      <c r="T73" s="8"/>
      <c r="U73" s="8"/>
      <c r="V73" s="8"/>
      <c r="W73" s="8"/>
      <c r="X73" s="8"/>
      <c r="Y73" s="8"/>
      <c r="Z73" s="8"/>
      <c r="AA73" s="8"/>
      <c r="AB73" s="8"/>
      <c r="AC73" s="8"/>
    </row>
    <row r="74" spans="1:29" ht="15">
      <c r="A74" s="58"/>
      <c r="B74" s="69">
        <v>44</v>
      </c>
      <c r="C74" s="43" t="s">
        <v>272</v>
      </c>
      <c r="D74" s="69">
        <v>1.3850374650130301E-2</v>
      </c>
      <c r="E74" s="69">
        <v>0.181956670247747</v>
      </c>
      <c r="F74" s="71">
        <f t="shared" si="2"/>
        <v>18.1956670247747</v>
      </c>
      <c r="G74" s="84">
        <f t="shared" si="3"/>
        <v>186.14167366344518</v>
      </c>
      <c r="H74" s="43"/>
      <c r="I74" s="8"/>
      <c r="J74" s="8"/>
      <c r="K74" s="8"/>
      <c r="L74" s="8"/>
      <c r="M74" s="8"/>
      <c r="N74" s="8"/>
      <c r="O74" s="8"/>
      <c r="P74" s="8"/>
      <c r="Q74" s="8"/>
      <c r="R74" s="8"/>
      <c r="S74" s="8"/>
      <c r="T74" s="8"/>
      <c r="U74" s="8"/>
      <c r="V74" s="8"/>
      <c r="W74" s="8"/>
      <c r="X74" s="8"/>
      <c r="Y74" s="8"/>
      <c r="Z74" s="8"/>
      <c r="AA74" s="8"/>
      <c r="AB74" s="8"/>
      <c r="AC74" s="8"/>
    </row>
    <row r="75" spans="1:29" ht="15">
      <c r="A75" s="58"/>
      <c r="B75" s="69">
        <v>45</v>
      </c>
      <c r="C75" s="43" t="s">
        <v>273</v>
      </c>
      <c r="D75" s="69">
        <v>1.4844463996195E-2</v>
      </c>
      <c r="E75" s="69">
        <v>0.18669765382310999</v>
      </c>
      <c r="F75" s="71">
        <f t="shared" si="2"/>
        <v>18.669765382310999</v>
      </c>
      <c r="G75" s="84">
        <f t="shared" si="3"/>
        <v>190.99169986104152</v>
      </c>
      <c r="H75" s="43"/>
      <c r="I75" s="8"/>
      <c r="J75" s="8"/>
      <c r="K75" s="8"/>
      <c r="L75" s="8"/>
      <c r="M75" s="8"/>
      <c r="N75" s="8"/>
      <c r="O75" s="8"/>
      <c r="P75" s="8"/>
      <c r="Q75" s="8"/>
      <c r="R75" s="8"/>
      <c r="S75" s="8"/>
      <c r="T75" s="8"/>
      <c r="U75" s="8"/>
      <c r="V75" s="8"/>
      <c r="W75" s="8"/>
      <c r="X75" s="8"/>
      <c r="Y75" s="8"/>
      <c r="Z75" s="8"/>
      <c r="AA75" s="8"/>
      <c r="AB75" s="8"/>
      <c r="AC75" s="8"/>
    </row>
    <row r="76" spans="1:29" ht="15">
      <c r="A76" s="58"/>
      <c r="B76" s="69">
        <v>46</v>
      </c>
      <c r="C76" s="43" t="s">
        <v>274</v>
      </c>
      <c r="D76" s="69">
        <v>1.5909902576697301E-2</v>
      </c>
      <c r="E76" s="69">
        <v>0.191617546412678</v>
      </c>
      <c r="F76" s="71">
        <f t="shared" si="2"/>
        <v>19.161754641267802</v>
      </c>
      <c r="G76" s="84">
        <f t="shared" si="3"/>
        <v>196.02474998016959</v>
      </c>
      <c r="H76" s="43"/>
      <c r="I76" s="8"/>
      <c r="J76" s="8"/>
      <c r="K76" s="8"/>
      <c r="L76" s="8"/>
      <c r="M76" s="8"/>
      <c r="N76" s="8"/>
      <c r="O76" s="8"/>
      <c r="P76" s="8"/>
      <c r="Q76" s="8"/>
      <c r="R76" s="8"/>
      <c r="S76" s="8"/>
      <c r="T76" s="8"/>
      <c r="U76" s="8"/>
      <c r="V76" s="8"/>
      <c r="W76" s="8"/>
      <c r="X76" s="8"/>
      <c r="Y76" s="8"/>
      <c r="Z76" s="8"/>
      <c r="AA76" s="8"/>
      <c r="AB76" s="8"/>
      <c r="AC76" s="8"/>
    </row>
    <row r="77" spans="1:29" ht="15">
      <c r="A77" s="58"/>
      <c r="B77" s="69">
        <v>47</v>
      </c>
      <c r="C77" s="43" t="s">
        <v>275</v>
      </c>
      <c r="D77" s="69">
        <v>1.7051811373241899E-2</v>
      </c>
      <c r="E77" s="69">
        <v>0.19671698939234999</v>
      </c>
      <c r="F77" s="71">
        <f t="shared" si="2"/>
        <v>19.671698939235</v>
      </c>
      <c r="G77" s="84">
        <f t="shared" si="3"/>
        <v>201.24148014837405</v>
      </c>
      <c r="H77" s="43"/>
      <c r="I77" s="8"/>
      <c r="J77" s="8"/>
      <c r="K77" s="8"/>
      <c r="L77" s="8"/>
      <c r="M77" s="8"/>
      <c r="N77" s="8"/>
      <c r="O77" s="8"/>
      <c r="P77" s="8"/>
      <c r="Q77" s="8"/>
      <c r="R77" s="8"/>
      <c r="S77" s="8"/>
      <c r="T77" s="8"/>
      <c r="U77" s="8"/>
      <c r="V77" s="8"/>
      <c r="W77" s="8"/>
      <c r="X77" s="8"/>
      <c r="Y77" s="8"/>
      <c r="Z77" s="8"/>
      <c r="AA77" s="8"/>
      <c r="AB77" s="8"/>
      <c r="AC77" s="8"/>
    </row>
    <row r="78" spans="1:29" ht="15">
      <c r="A78" s="58"/>
      <c r="B78" s="69">
        <v>48</v>
      </c>
      <c r="C78" s="43" t="s">
        <v>276</v>
      </c>
      <c r="D78" s="69">
        <v>1.8275678918015299E-2</v>
      </c>
      <c r="E78" s="69">
        <v>0.201996195019992</v>
      </c>
      <c r="F78" s="71">
        <f t="shared" si="2"/>
        <v>20.199619501999202</v>
      </c>
      <c r="G78" s="84">
        <f t="shared" si="3"/>
        <v>206.6421075054518</v>
      </c>
      <c r="H78" s="43"/>
      <c r="I78" s="8"/>
      <c r="J78" s="8"/>
      <c r="K78" s="8"/>
      <c r="L78" s="8"/>
      <c r="M78" s="8"/>
      <c r="N78" s="8"/>
      <c r="O78" s="8"/>
      <c r="P78" s="8"/>
      <c r="Q78" s="8"/>
      <c r="R78" s="8"/>
      <c r="S78" s="8"/>
      <c r="T78" s="8"/>
      <c r="U78" s="8"/>
      <c r="V78" s="8"/>
      <c r="W78" s="8"/>
      <c r="X78" s="8"/>
      <c r="Y78" s="8"/>
      <c r="Z78" s="8"/>
      <c r="AA78" s="8"/>
      <c r="AB78" s="8"/>
      <c r="AC78" s="8"/>
    </row>
    <row r="79" spans="1:29" ht="15">
      <c r="A79" s="58"/>
      <c r="B79" s="69">
        <v>49</v>
      </c>
      <c r="C79" s="43" t="s">
        <v>277</v>
      </c>
      <c r="D79" s="69">
        <v>1.9587387674162699E-2</v>
      </c>
      <c r="E79" s="69">
        <v>0.20745494414218801</v>
      </c>
      <c r="F79" s="71">
        <f t="shared" si="2"/>
        <v>20.7454944142188</v>
      </c>
      <c r="G79" s="84">
        <f t="shared" si="3"/>
        <v>212.22640785745833</v>
      </c>
      <c r="H79" s="43"/>
      <c r="I79" s="8"/>
      <c r="J79" s="8"/>
      <c r="K79" s="8"/>
      <c r="L79" s="8"/>
      <c r="M79" s="8"/>
      <c r="N79" s="8"/>
      <c r="O79" s="8"/>
      <c r="P79" s="8"/>
      <c r="Q79" s="8"/>
      <c r="R79" s="8"/>
      <c r="S79" s="8"/>
      <c r="T79" s="8"/>
      <c r="U79" s="8"/>
      <c r="V79" s="8"/>
      <c r="W79" s="8"/>
      <c r="X79" s="8"/>
      <c r="Y79" s="8"/>
      <c r="Z79" s="8"/>
      <c r="AA79" s="8"/>
      <c r="AB79" s="8"/>
      <c r="AC79" s="8"/>
    </row>
    <row r="80" spans="1:29" ht="15">
      <c r="A80" s="58"/>
      <c r="B80" s="69">
        <v>50</v>
      </c>
      <c r="C80" s="43" t="s">
        <v>278</v>
      </c>
      <c r="D80" s="69">
        <v>2.0993242309578102E-2</v>
      </c>
      <c r="E80" s="69">
        <v>0.213092588662085</v>
      </c>
      <c r="F80" s="71">
        <f t="shared" si="2"/>
        <v>21.309258866208499</v>
      </c>
      <c r="G80" s="84">
        <f t="shared" si="3"/>
        <v>217.99371820131296</v>
      </c>
      <c r="H80" s="43"/>
      <c r="I80" s="8"/>
      <c r="J80" s="8"/>
      <c r="K80" s="8"/>
      <c r="L80" s="8"/>
      <c r="M80" s="8"/>
      <c r="N80" s="8"/>
      <c r="O80" s="8"/>
      <c r="P80" s="8"/>
      <c r="Q80" s="8"/>
      <c r="R80" s="8"/>
      <c r="S80" s="8"/>
      <c r="T80" s="8"/>
      <c r="U80" s="8"/>
      <c r="V80" s="8"/>
      <c r="W80" s="8"/>
      <c r="X80" s="8"/>
      <c r="Y80" s="8"/>
      <c r="Z80" s="8"/>
      <c r="AA80" s="8"/>
      <c r="AB80" s="8"/>
      <c r="AC80" s="8"/>
    </row>
    <row r="81" spans="1:29" ht="15">
      <c r="A81" s="58"/>
      <c r="B81" s="69">
        <v>51</v>
      </c>
      <c r="C81" s="43" t="s">
        <v>279</v>
      </c>
      <c r="D81" s="69">
        <v>2.2499999999999999E-2</v>
      </c>
      <c r="E81" s="69">
        <v>0.21890805737493799</v>
      </c>
      <c r="F81" s="71">
        <f t="shared" si="2"/>
        <v>21.8908057374938</v>
      </c>
      <c r="G81" s="84">
        <f t="shared" si="3"/>
        <v>223.94294269456157</v>
      </c>
      <c r="H81" s="43"/>
      <c r="I81" s="8"/>
      <c r="J81" s="8"/>
      <c r="K81" s="8"/>
      <c r="L81" s="8"/>
      <c r="M81" s="8"/>
      <c r="N81" s="8"/>
      <c r="O81" s="8"/>
      <c r="P81" s="8"/>
      <c r="Q81" s="8"/>
      <c r="R81" s="8"/>
      <c r="S81" s="8"/>
      <c r="T81" s="8"/>
      <c r="U81" s="8"/>
      <c r="V81" s="8"/>
      <c r="W81" s="8"/>
      <c r="X81" s="8"/>
      <c r="Y81" s="8"/>
      <c r="Z81" s="8"/>
      <c r="AA81" s="8"/>
      <c r="AB81" s="8"/>
      <c r="AC81" s="8"/>
    </row>
    <row r="82" spans="1:29" ht="15">
      <c r="A82" s="58"/>
      <c r="B82" s="69">
        <v>52</v>
      </c>
      <c r="C82" s="43" t="s">
        <v>280</v>
      </c>
      <c r="D82" s="69">
        <v>2.4114902907066499E-2</v>
      </c>
      <c r="E82" s="69">
        <v>0.224899866367927</v>
      </c>
      <c r="F82" s="71">
        <f t="shared" si="2"/>
        <v>22.4899866367927</v>
      </c>
      <c r="G82" s="84">
        <f t="shared" si="3"/>
        <v>230.07256329438931</v>
      </c>
      <c r="H82" s="43"/>
      <c r="I82" s="8"/>
      <c r="J82" s="8"/>
      <c r="K82" s="8"/>
      <c r="L82" s="8"/>
      <c r="M82" s="8"/>
      <c r="N82" s="8"/>
      <c r="O82" s="8"/>
      <c r="P82" s="8"/>
      <c r="Q82" s="8"/>
      <c r="R82" s="8"/>
      <c r="S82" s="8"/>
      <c r="T82" s="8"/>
      <c r="U82" s="8"/>
      <c r="V82" s="8"/>
      <c r="W82" s="8"/>
      <c r="X82" s="8"/>
      <c r="Y82" s="8"/>
      <c r="Z82" s="8"/>
      <c r="AA82" s="8"/>
      <c r="AB82" s="8"/>
      <c r="AC82" s="8"/>
    </row>
    <row r="83" spans="1:29" ht="15">
      <c r="A83" s="58"/>
      <c r="B83" s="69">
        <v>53</v>
      </c>
      <c r="C83" s="43" t="s">
        <v>281</v>
      </c>
      <c r="D83" s="69">
        <v>2.5845712987433201E-2</v>
      </c>
      <c r="E83" s="69">
        <v>0.23106613277090801</v>
      </c>
      <c r="F83" s="71">
        <f t="shared" si="2"/>
        <v>23.106613277090801</v>
      </c>
      <c r="G83" s="84">
        <f t="shared" si="3"/>
        <v>236.3806538246389</v>
      </c>
      <c r="H83" s="43"/>
      <c r="I83" s="8"/>
      <c r="J83" s="8"/>
      <c r="K83" s="8"/>
      <c r="L83" s="8"/>
      <c r="M83" s="8"/>
      <c r="N83" s="8"/>
      <c r="O83" s="8"/>
      <c r="P83" s="8"/>
      <c r="Q83" s="8"/>
      <c r="R83" s="8"/>
      <c r="S83" s="8"/>
      <c r="T83" s="8"/>
      <c r="U83" s="8"/>
      <c r="V83" s="8"/>
      <c r="W83" s="8"/>
      <c r="X83" s="8"/>
      <c r="Y83" s="8"/>
      <c r="Z83" s="8"/>
      <c r="AA83" s="8"/>
      <c r="AB83" s="8"/>
      <c r="AC83" s="8"/>
    </row>
    <row r="84" spans="1:29" ht="15">
      <c r="A84" s="58"/>
      <c r="B84" s="69">
        <v>54</v>
      </c>
      <c r="C84" s="43" t="s">
        <v>282</v>
      </c>
      <c r="D84" s="69">
        <v>2.7700749300260601E-2</v>
      </c>
      <c r="E84" s="69">
        <v>0.23740459223309701</v>
      </c>
      <c r="F84" s="71">
        <f t="shared" si="2"/>
        <v>23.740459223309703</v>
      </c>
      <c r="G84" s="84">
        <f t="shared" si="3"/>
        <v>242.86489785445823</v>
      </c>
      <c r="H84" s="43"/>
      <c r="I84" s="8"/>
      <c r="J84" s="8"/>
      <c r="K84" s="8"/>
      <c r="L84" s="8"/>
      <c r="M84" s="8"/>
      <c r="N84" s="8"/>
      <c r="O84" s="8"/>
      <c r="P84" s="8"/>
      <c r="Q84" s="8"/>
      <c r="R84" s="8"/>
      <c r="S84" s="8"/>
      <c r="T84" s="8"/>
      <c r="U84" s="8"/>
      <c r="V84" s="8"/>
      <c r="W84" s="8"/>
      <c r="X84" s="8"/>
      <c r="Y84" s="8"/>
      <c r="Z84" s="8"/>
      <c r="AA84" s="8"/>
      <c r="AB84" s="8"/>
      <c r="AC84" s="8"/>
    </row>
    <row r="85" spans="1:29" ht="15">
      <c r="A85" s="58"/>
      <c r="B85" s="69">
        <v>55</v>
      </c>
      <c r="C85" s="43" t="s">
        <v>283</v>
      </c>
      <c r="D85" s="69">
        <v>2.9688927992390101E-2</v>
      </c>
      <c r="E85" s="69">
        <v>0.24391261944067399</v>
      </c>
      <c r="F85" s="71">
        <f t="shared" si="2"/>
        <v>24.391261944067399</v>
      </c>
      <c r="G85" s="84">
        <f t="shared" si="3"/>
        <v>249.52260968780951</v>
      </c>
      <c r="H85" s="43"/>
      <c r="I85" s="8"/>
      <c r="J85" s="8"/>
      <c r="K85" s="8"/>
      <c r="L85" s="8"/>
      <c r="M85" s="8"/>
      <c r="N85" s="8"/>
      <c r="O85" s="8"/>
      <c r="P85" s="8"/>
      <c r="Q85" s="8"/>
      <c r="R85" s="8"/>
      <c r="S85" s="8"/>
      <c r="T85" s="8"/>
      <c r="U85" s="8"/>
      <c r="V85" s="8"/>
      <c r="W85" s="8"/>
      <c r="X85" s="8"/>
      <c r="Y85" s="8"/>
      <c r="Z85" s="8"/>
      <c r="AA85" s="8"/>
      <c r="AB85" s="8"/>
      <c r="AC85" s="8"/>
    </row>
    <row r="86" spans="1:29" ht="15">
      <c r="A86" s="58"/>
      <c r="B86" s="69">
        <v>56</v>
      </c>
      <c r="C86" s="43" t="s">
        <v>284</v>
      </c>
      <c r="D86" s="69">
        <v>3.1819805153394602E-2</v>
      </c>
      <c r="E86" s="69">
        <v>0.25058725140181398</v>
      </c>
      <c r="F86" s="71">
        <f t="shared" si="2"/>
        <v>25.058725140181398</v>
      </c>
      <c r="G86" s="84">
        <f t="shared" si="3"/>
        <v>256.35075818405568</v>
      </c>
      <c r="H86" s="43"/>
      <c r="I86" s="8"/>
      <c r="J86" s="8"/>
      <c r="K86" s="8"/>
      <c r="L86" s="8"/>
      <c r="M86" s="8"/>
      <c r="N86" s="8"/>
      <c r="O86" s="8"/>
      <c r="P86" s="8"/>
      <c r="Q86" s="8"/>
      <c r="R86" s="8"/>
      <c r="S86" s="8"/>
      <c r="T86" s="8"/>
      <c r="U86" s="8"/>
      <c r="V86" s="8"/>
      <c r="W86" s="8"/>
      <c r="X86" s="8"/>
      <c r="Y86" s="8"/>
      <c r="Z86" s="8"/>
      <c r="AA86" s="8"/>
      <c r="AB86" s="8"/>
      <c r="AC86" s="8"/>
    </row>
    <row r="87" spans="1:29" ht="15">
      <c r="A87" s="58"/>
      <c r="B87" s="69">
        <v>57</v>
      </c>
      <c r="C87" s="43" t="s">
        <v>285</v>
      </c>
      <c r="D87" s="69">
        <v>3.4103622746483903E-2</v>
      </c>
      <c r="E87" s="69">
        <v>0.25742521311417599</v>
      </c>
      <c r="F87" s="71">
        <f t="shared" si="2"/>
        <v>25.742521311417597</v>
      </c>
      <c r="G87" s="84">
        <f t="shared" si="3"/>
        <v>263.34599301580204</v>
      </c>
      <c r="H87" s="43"/>
      <c r="I87" s="8"/>
      <c r="J87" s="8"/>
      <c r="K87" s="8"/>
      <c r="L87" s="8"/>
      <c r="M87" s="8"/>
      <c r="N87" s="8"/>
      <c r="O87" s="8"/>
      <c r="P87" s="8"/>
      <c r="Q87" s="8"/>
      <c r="R87" s="8"/>
      <c r="S87" s="8"/>
      <c r="T87" s="8"/>
      <c r="U87" s="8"/>
      <c r="V87" s="8"/>
      <c r="W87" s="8"/>
      <c r="X87" s="8"/>
      <c r="Y87" s="8"/>
      <c r="Z87" s="8"/>
      <c r="AA87" s="8"/>
      <c r="AB87" s="8"/>
      <c r="AC87" s="8"/>
    </row>
    <row r="88" spans="1:29" ht="15">
      <c r="A88" s="58"/>
      <c r="B88" s="69">
        <v>58</v>
      </c>
      <c r="C88" s="43" t="s">
        <v>286</v>
      </c>
      <c r="D88" s="69">
        <v>3.6551357836030599E-2</v>
      </c>
      <c r="E88" s="69">
        <v>0.26442294500789199</v>
      </c>
      <c r="F88" s="71">
        <f t="shared" si="2"/>
        <v>26.442294500789199</v>
      </c>
      <c r="G88" s="84">
        <f t="shared" si="3"/>
        <v>270.50467274307351</v>
      </c>
      <c r="H88" s="43"/>
      <c r="I88" s="8"/>
      <c r="J88" s="8"/>
      <c r="K88" s="8"/>
      <c r="L88" s="8"/>
      <c r="M88" s="8"/>
      <c r="N88" s="8"/>
      <c r="O88" s="8"/>
      <c r="P88" s="8"/>
      <c r="Q88" s="8"/>
      <c r="R88" s="8"/>
      <c r="S88" s="8"/>
      <c r="T88" s="8"/>
      <c r="U88" s="8"/>
      <c r="V88" s="8"/>
      <c r="W88" s="8"/>
      <c r="X88" s="8"/>
      <c r="Y88" s="8"/>
      <c r="Z88" s="8"/>
      <c r="AA88" s="8"/>
      <c r="AB88" s="8"/>
      <c r="AC88" s="8"/>
    </row>
    <row r="89" spans="1:29" ht="15">
      <c r="A89" s="58"/>
      <c r="B89" s="69">
        <v>59</v>
      </c>
      <c r="C89" s="43" t="s">
        <v>287</v>
      </c>
      <c r="D89" s="69">
        <v>3.9174775348325502E-2</v>
      </c>
      <c r="E89" s="69">
        <v>0.27157663200882898</v>
      </c>
      <c r="F89" s="71">
        <f t="shared" si="2"/>
        <v>27.157663200882897</v>
      </c>
      <c r="G89" s="84">
        <f t="shared" si="3"/>
        <v>277.82289454503206</v>
      </c>
      <c r="H89" s="43"/>
      <c r="I89" s="8"/>
      <c r="J89" s="8"/>
      <c r="K89" s="8"/>
      <c r="L89" s="8"/>
      <c r="M89" s="8"/>
      <c r="N89" s="8"/>
      <c r="O89" s="8"/>
      <c r="P89" s="8"/>
      <c r="Q89" s="8"/>
      <c r="R89" s="8"/>
      <c r="S89" s="8"/>
      <c r="T89" s="8"/>
      <c r="U89" s="8"/>
      <c r="V89" s="8"/>
      <c r="W89" s="8"/>
      <c r="X89" s="8"/>
      <c r="Y89" s="8"/>
      <c r="Z89" s="8"/>
      <c r="AA89" s="8"/>
      <c r="AB89" s="8"/>
      <c r="AC89" s="8"/>
    </row>
    <row r="90" spans="1:29" ht="15">
      <c r="A90" s="58"/>
      <c r="B90" s="69">
        <v>60</v>
      </c>
      <c r="C90" s="43" t="s">
        <v>288</v>
      </c>
      <c r="D90" s="69">
        <v>4.19864846191563E-2</v>
      </c>
      <c r="E90" s="69">
        <v>0.27888223338243601</v>
      </c>
      <c r="F90" s="71">
        <f t="shared" si="2"/>
        <v>27.888223338243602</v>
      </c>
      <c r="G90" s="84">
        <f t="shared" si="3"/>
        <v>285.29652475023204</v>
      </c>
      <c r="H90" s="43"/>
      <c r="I90" s="8"/>
      <c r="J90" s="8"/>
      <c r="K90" s="8"/>
      <c r="L90" s="8"/>
      <c r="M90" s="8"/>
      <c r="N90" s="8"/>
      <c r="O90" s="8"/>
      <c r="P90" s="8"/>
      <c r="Q90" s="8"/>
      <c r="R90" s="8"/>
      <c r="S90" s="8"/>
      <c r="T90" s="8"/>
      <c r="U90" s="8"/>
      <c r="V90" s="8"/>
      <c r="W90" s="8"/>
      <c r="X90" s="8"/>
      <c r="Y90" s="8"/>
      <c r="Z90" s="8"/>
      <c r="AA90" s="8"/>
      <c r="AB90" s="8"/>
      <c r="AC90" s="8"/>
    </row>
    <row r="91" spans="1:29" ht="15">
      <c r="A91" s="58"/>
      <c r="B91" s="69">
        <v>61</v>
      </c>
      <c r="C91" s="43" t="s">
        <v>289</v>
      </c>
      <c r="D91" s="69">
        <v>4.4999999999999998E-2</v>
      </c>
      <c r="E91" s="69">
        <v>0.28633551312092798</v>
      </c>
      <c r="F91" s="71">
        <f t="shared" si="2"/>
        <v>28.633551312092798</v>
      </c>
      <c r="G91" s="84">
        <f t="shared" si="3"/>
        <v>292.9212299227093</v>
      </c>
      <c r="H91" s="43"/>
      <c r="I91" s="8"/>
      <c r="J91" s="8"/>
      <c r="K91" s="8"/>
      <c r="L91" s="8"/>
      <c r="M91" s="8"/>
      <c r="N91" s="8"/>
      <c r="O91" s="8"/>
      <c r="P91" s="8"/>
      <c r="Q91" s="8"/>
      <c r="R91" s="8"/>
      <c r="S91" s="8"/>
      <c r="T91" s="8"/>
      <c r="U91" s="8"/>
      <c r="V91" s="8"/>
      <c r="W91" s="8"/>
      <c r="X91" s="8"/>
      <c r="Y91" s="8"/>
      <c r="Z91" s="8"/>
      <c r="AA91" s="8"/>
      <c r="AB91" s="8"/>
      <c r="AC91" s="8"/>
    </row>
    <row r="92" spans="1:29" ht="15">
      <c r="A92" s="58"/>
      <c r="B92" s="69">
        <v>62</v>
      </c>
      <c r="C92" s="43" t="s">
        <v>290</v>
      </c>
      <c r="D92" s="69">
        <v>4.8229805814133102E-2</v>
      </c>
      <c r="E92" s="69">
        <v>0.29393207042788799</v>
      </c>
      <c r="F92" s="71">
        <f t="shared" si="2"/>
        <v>29.393207042788799</v>
      </c>
      <c r="G92" s="84">
        <f t="shared" si="3"/>
        <v>300.6925080477294</v>
      </c>
      <c r="H92" s="43"/>
      <c r="I92" s="8"/>
      <c r="J92" s="8"/>
      <c r="K92" s="8"/>
      <c r="L92" s="8"/>
      <c r="M92" s="8"/>
      <c r="N92" s="8"/>
      <c r="O92" s="8"/>
      <c r="P92" s="8"/>
      <c r="Q92" s="8"/>
      <c r="R92" s="8"/>
      <c r="S92" s="8"/>
      <c r="T92" s="8"/>
      <c r="U92" s="8"/>
      <c r="V92" s="8"/>
      <c r="W92" s="8"/>
      <c r="X92" s="8"/>
      <c r="Y92" s="8"/>
      <c r="Z92" s="8"/>
      <c r="AA92" s="8"/>
      <c r="AB92" s="8"/>
      <c r="AC92" s="8"/>
    </row>
    <row r="93" spans="1:29" ht="15">
      <c r="A93" s="58"/>
      <c r="B93" s="69">
        <v>63</v>
      </c>
      <c r="C93" s="43" t="s">
        <v>291</v>
      </c>
      <c r="D93" s="69">
        <v>5.1691425974866499E-2</v>
      </c>
      <c r="E93" s="69">
        <v>0.30166736988514198</v>
      </c>
      <c r="F93" s="71">
        <f t="shared" si="2"/>
        <v>30.166736988514199</v>
      </c>
      <c r="G93" s="84">
        <f t="shared" si="3"/>
        <v>308.60571939250025</v>
      </c>
      <c r="H93" s="43"/>
      <c r="I93" s="8"/>
      <c r="J93" s="8"/>
      <c r="K93" s="8"/>
      <c r="L93" s="8"/>
      <c r="M93" s="8"/>
      <c r="N93" s="8"/>
      <c r="O93" s="8"/>
      <c r="P93" s="8"/>
      <c r="Q93" s="8"/>
      <c r="R93" s="8"/>
      <c r="S93" s="8"/>
      <c r="T93" s="8"/>
      <c r="U93" s="8"/>
      <c r="V93" s="8"/>
      <c r="W93" s="8"/>
      <c r="X93" s="8"/>
      <c r="Y93" s="8"/>
      <c r="Z93" s="8"/>
      <c r="AA93" s="8"/>
      <c r="AB93" s="8"/>
      <c r="AC93" s="8"/>
    </row>
    <row r="94" spans="1:29" ht="15">
      <c r="A94" s="58"/>
      <c r="B94" s="69">
        <v>64</v>
      </c>
      <c r="C94" s="43" t="s">
        <v>292</v>
      </c>
      <c r="D94" s="69">
        <v>5.5401498600521203E-2</v>
      </c>
      <c r="E94" s="69">
        <v>0.30953677086034198</v>
      </c>
      <c r="F94" s="71">
        <f t="shared" si="2"/>
        <v>30.953677086034197</v>
      </c>
      <c r="G94" s="84">
        <f t="shared" si="3"/>
        <v>316.65611659012984</v>
      </c>
      <c r="H94" s="43"/>
      <c r="I94" s="8"/>
      <c r="J94" s="8"/>
      <c r="K94" s="8"/>
      <c r="L94" s="8"/>
      <c r="M94" s="8"/>
      <c r="N94" s="8"/>
      <c r="O94" s="8"/>
      <c r="P94" s="8"/>
      <c r="Q94" s="8"/>
      <c r="R94" s="8"/>
      <c r="S94" s="8"/>
      <c r="T94" s="8"/>
      <c r="U94" s="8"/>
      <c r="V94" s="8"/>
      <c r="W94" s="8"/>
      <c r="X94" s="8"/>
      <c r="Y94" s="8"/>
      <c r="Z94" s="8"/>
      <c r="AA94" s="8"/>
      <c r="AB94" s="8"/>
      <c r="AC94" s="8"/>
    </row>
    <row r="95" spans="1:29" ht="15">
      <c r="A95" s="58"/>
      <c r="B95" s="69">
        <v>65</v>
      </c>
      <c r="C95" s="43" t="s">
        <v>293</v>
      </c>
      <c r="D95" s="69">
        <v>5.9377855984780202E-2</v>
      </c>
      <c r="E95" s="69">
        <v>0.31753555591627303</v>
      </c>
      <c r="F95" s="71">
        <f t="shared" si="2"/>
        <v>31.753555591627304</v>
      </c>
      <c r="G95" s="84">
        <f t="shared" si="3"/>
        <v>324.83887370234731</v>
      </c>
      <c r="H95" s="43"/>
      <c r="I95" s="8"/>
      <c r="J95" s="8"/>
      <c r="K95" s="8"/>
      <c r="L95" s="8"/>
      <c r="M95" s="8"/>
      <c r="N95" s="8"/>
      <c r="O95" s="8"/>
      <c r="P95" s="8"/>
      <c r="Q95" s="8"/>
      <c r="R95" s="8"/>
      <c r="S95" s="8"/>
      <c r="T95" s="8"/>
      <c r="U95" s="8"/>
      <c r="V95" s="8"/>
      <c r="W95" s="8"/>
      <c r="X95" s="8"/>
      <c r="Y95" s="8"/>
      <c r="Z95" s="8"/>
      <c r="AA95" s="8"/>
      <c r="AB95" s="8"/>
      <c r="AC95" s="8"/>
    </row>
    <row r="96" spans="1:29" ht="15">
      <c r="A96" s="58"/>
      <c r="B96" s="69">
        <v>66</v>
      </c>
      <c r="C96" s="43" t="s">
        <v>294</v>
      </c>
      <c r="D96" s="69">
        <v>6.3639610306789204E-2</v>
      </c>
      <c r="E96" s="69">
        <v>0.32565895804501499</v>
      </c>
      <c r="F96" s="71">
        <f t="shared" si="2"/>
        <v>32.565895804501501</v>
      </c>
      <c r="G96" s="84">
        <f t="shared" si="3"/>
        <v>333.14911408005031</v>
      </c>
      <c r="H96" s="43"/>
      <c r="I96" s="8"/>
      <c r="J96" s="8"/>
      <c r="K96" s="8"/>
      <c r="L96" s="8"/>
      <c r="M96" s="8"/>
      <c r="N96" s="8"/>
      <c r="O96" s="8"/>
      <c r="P96" s="8"/>
      <c r="Q96" s="8"/>
      <c r="R96" s="8"/>
      <c r="S96" s="8"/>
      <c r="T96" s="8"/>
      <c r="U96" s="8"/>
      <c r="V96" s="8"/>
      <c r="W96" s="8"/>
      <c r="X96" s="8"/>
      <c r="Y96" s="8"/>
      <c r="Z96" s="8"/>
      <c r="AA96" s="8"/>
      <c r="AB96" s="8"/>
      <c r="AC96" s="8"/>
    </row>
    <row r="97" spans="1:29" ht="15">
      <c r="A97" s="58"/>
      <c r="B97" s="69">
        <v>67</v>
      </c>
      <c r="C97" s="43" t="s">
        <v>295</v>
      </c>
      <c r="D97" s="69">
        <v>6.8207245492967902E-2</v>
      </c>
      <c r="E97" s="69">
        <v>0.33390218611927802</v>
      </c>
      <c r="F97" s="71">
        <f t="shared" si="2"/>
        <v>33.3902186119278</v>
      </c>
      <c r="G97" s="84">
        <f t="shared" si="3"/>
        <v>341.58193640002139</v>
      </c>
      <c r="H97" s="43"/>
      <c r="I97" s="8"/>
      <c r="J97" s="8"/>
      <c r="K97" s="8"/>
      <c r="L97" s="8"/>
      <c r="M97" s="8"/>
      <c r="N97" s="8"/>
      <c r="O97" s="8"/>
      <c r="P97" s="8"/>
      <c r="Q97" s="8"/>
      <c r="R97" s="8"/>
      <c r="S97" s="8"/>
      <c r="T97" s="8"/>
      <c r="U97" s="8"/>
      <c r="V97" s="8"/>
      <c r="W97" s="8"/>
      <c r="X97" s="8"/>
      <c r="Y97" s="8"/>
      <c r="Z97" s="8"/>
      <c r="AA97" s="8"/>
      <c r="AB97" s="8"/>
      <c r="AC97" s="8"/>
    </row>
    <row r="98" spans="1:29" ht="15">
      <c r="A98" s="58"/>
      <c r="B98" s="69">
        <v>68</v>
      </c>
      <c r="C98" s="43" t="s">
        <v>296</v>
      </c>
      <c r="D98" s="69">
        <v>7.31027156720611E-2</v>
      </c>
      <c r="E98" s="69">
        <v>0.34226044898527502</v>
      </c>
      <c r="F98" s="71">
        <f t="shared" si="2"/>
        <v>34.226044898527505</v>
      </c>
      <c r="G98" s="84">
        <f t="shared" si="3"/>
        <v>350.13243931193637</v>
      </c>
      <c r="H98" s="43"/>
      <c r="I98" s="8"/>
      <c r="J98" s="8"/>
      <c r="K98" s="8"/>
      <c r="L98" s="8"/>
      <c r="M98" s="8"/>
      <c r="N98" s="8"/>
      <c r="O98" s="8"/>
      <c r="P98" s="8"/>
      <c r="Q98" s="8"/>
      <c r="R98" s="8"/>
      <c r="S98" s="8"/>
      <c r="T98" s="8"/>
      <c r="U98" s="8"/>
      <c r="V98" s="8"/>
      <c r="W98" s="8"/>
      <c r="X98" s="8"/>
      <c r="Y98" s="8"/>
      <c r="Z98" s="8"/>
      <c r="AA98" s="8"/>
      <c r="AB98" s="8"/>
      <c r="AC98" s="8"/>
    </row>
    <row r="99" spans="1:29" ht="15">
      <c r="A99" s="58"/>
      <c r="B99" s="69">
        <v>69</v>
      </c>
      <c r="C99" s="43" t="s">
        <v>297</v>
      </c>
      <c r="D99" s="69">
        <v>7.8349550696651102E-2</v>
      </c>
      <c r="E99" s="69">
        <v>0.35072897740500403</v>
      </c>
      <c r="F99" s="71">
        <f t="shared" si="2"/>
        <v>35.072897740500402</v>
      </c>
      <c r="G99" s="84">
        <f t="shared" si="3"/>
        <v>358.7957438853191</v>
      </c>
      <c r="H99" s="43"/>
      <c r="I99" s="8"/>
      <c r="J99" s="8"/>
      <c r="K99" s="8"/>
      <c r="L99" s="8"/>
      <c r="M99" s="8"/>
      <c r="N99" s="8"/>
      <c r="O99" s="8"/>
      <c r="P99" s="8"/>
      <c r="Q99" s="8"/>
      <c r="R99" s="8"/>
      <c r="S99" s="8"/>
      <c r="T99" s="8"/>
      <c r="U99" s="8"/>
      <c r="V99" s="8"/>
      <c r="W99" s="8"/>
      <c r="X99" s="8"/>
      <c r="Y99" s="8"/>
      <c r="Z99" s="8"/>
      <c r="AA99" s="8"/>
      <c r="AB99" s="8"/>
      <c r="AC99" s="8"/>
    </row>
    <row r="100" spans="1:29" ht="15">
      <c r="A100" s="58"/>
      <c r="B100" s="69">
        <v>70</v>
      </c>
      <c r="C100" s="43" t="s">
        <v>298</v>
      </c>
      <c r="D100" s="69">
        <v>8.39729692383126E-2</v>
      </c>
      <c r="E100" s="69">
        <v>0.359303044242753</v>
      </c>
      <c r="F100" s="71">
        <f t="shared" si="2"/>
        <v>35.930304424275299</v>
      </c>
      <c r="G100" s="84">
        <f t="shared" si="3"/>
        <v>367.56701426033629</v>
      </c>
      <c r="H100" s="43"/>
      <c r="I100" s="8"/>
      <c r="J100" s="8"/>
      <c r="K100" s="8"/>
      <c r="L100" s="8"/>
      <c r="M100" s="8"/>
      <c r="N100" s="8"/>
      <c r="O100" s="8"/>
      <c r="P100" s="8"/>
      <c r="Q100" s="8"/>
      <c r="R100" s="8"/>
      <c r="S100" s="8"/>
      <c r="T100" s="8"/>
      <c r="U100" s="8"/>
      <c r="V100" s="8"/>
      <c r="W100" s="8"/>
      <c r="X100" s="8"/>
      <c r="Y100" s="8"/>
      <c r="Z100" s="8"/>
      <c r="AA100" s="8"/>
      <c r="AB100" s="8"/>
      <c r="AC100" s="8"/>
    </row>
    <row r="101" spans="1:29" ht="15">
      <c r="A101" s="58"/>
      <c r="B101" s="69">
        <v>71</v>
      </c>
      <c r="C101" s="43" t="s">
        <v>299</v>
      </c>
      <c r="D101" s="69">
        <v>0.09</v>
      </c>
      <c r="E101" s="69">
        <v>0.367977982687553</v>
      </c>
      <c r="F101" s="71">
        <f t="shared" si="2"/>
        <v>36.797798268755301</v>
      </c>
      <c r="G101" s="84">
        <f t="shared" si="3"/>
        <v>376.44147628936673</v>
      </c>
      <c r="H101" s="43"/>
      <c r="I101" s="8"/>
      <c r="J101" s="8"/>
      <c r="K101" s="8"/>
      <c r="L101" s="8"/>
      <c r="M101" s="8"/>
      <c r="N101" s="8"/>
      <c r="O101" s="8"/>
      <c r="P101" s="8"/>
      <c r="Q101" s="8"/>
      <c r="R101" s="8"/>
      <c r="S101" s="8"/>
      <c r="T101" s="8"/>
      <c r="U101" s="8"/>
      <c r="V101" s="8"/>
      <c r="W101" s="8"/>
      <c r="X101" s="8"/>
      <c r="Y101" s="8"/>
      <c r="Z101" s="8"/>
      <c r="AA101" s="8"/>
      <c r="AB101" s="8"/>
      <c r="AC101" s="8"/>
    </row>
    <row r="102" spans="1:29" ht="15">
      <c r="A102" s="58"/>
      <c r="B102" s="69">
        <v>72</v>
      </c>
      <c r="C102" s="43" t="s">
        <v>300</v>
      </c>
      <c r="D102" s="69">
        <v>9.6459611628266301E-2</v>
      </c>
      <c r="E102" s="69">
        <v>0.37674920241086002</v>
      </c>
      <c r="F102" s="71">
        <f t="shared" si="2"/>
        <v>37.674920241085999</v>
      </c>
      <c r="G102" s="84">
        <f t="shared" si="3"/>
        <v>385.41443406630981</v>
      </c>
      <c r="H102" s="43"/>
      <c r="I102" s="8"/>
      <c r="J102" s="8"/>
      <c r="K102" s="8"/>
      <c r="L102" s="8"/>
      <c r="M102" s="8"/>
      <c r="N102" s="8"/>
      <c r="O102" s="8"/>
      <c r="P102" s="8"/>
      <c r="Q102" s="8"/>
      <c r="R102" s="8"/>
      <c r="S102" s="8"/>
      <c r="T102" s="8"/>
      <c r="U102" s="8"/>
      <c r="V102" s="8"/>
      <c r="W102" s="8"/>
      <c r="X102" s="8"/>
      <c r="Y102" s="8"/>
      <c r="Z102" s="8"/>
      <c r="AA102" s="8"/>
      <c r="AB102" s="8"/>
      <c r="AC102" s="8"/>
    </row>
    <row r="103" spans="1:29" ht="15">
      <c r="A103" s="58"/>
      <c r="B103" s="69">
        <v>73</v>
      </c>
      <c r="C103" s="43" t="s">
        <v>301</v>
      </c>
      <c r="D103" s="69">
        <v>0.103382851949733</v>
      </c>
      <c r="E103" s="69">
        <v>0.38561220372741101</v>
      </c>
      <c r="F103" s="71">
        <f t="shared" si="2"/>
        <v>38.561220372741104</v>
      </c>
      <c r="G103" s="84">
        <f t="shared" si="3"/>
        <v>394.48128441314145</v>
      </c>
      <c r="H103" s="43"/>
      <c r="I103" s="8"/>
      <c r="J103" s="8"/>
      <c r="K103" s="8"/>
      <c r="L103" s="8"/>
      <c r="M103" s="8"/>
      <c r="N103" s="8"/>
      <c r="O103" s="8"/>
      <c r="P103" s="8"/>
      <c r="Q103" s="8"/>
      <c r="R103" s="8"/>
      <c r="S103" s="8"/>
      <c r="T103" s="8"/>
      <c r="U103" s="8"/>
      <c r="V103" s="8"/>
      <c r="W103" s="8"/>
      <c r="X103" s="8"/>
      <c r="Y103" s="8"/>
      <c r="Z103" s="8"/>
      <c r="AA103" s="8"/>
      <c r="AB103" s="8"/>
      <c r="AC103" s="8"/>
    </row>
    <row r="104" spans="1:29" ht="15">
      <c r="A104" s="58"/>
      <c r="B104" s="69">
        <v>74</v>
      </c>
      <c r="C104" s="43" t="s">
        <v>302</v>
      </c>
      <c r="D104" s="69">
        <v>0.110802997201042</v>
      </c>
      <c r="E104" s="69">
        <v>0.39456259024477403</v>
      </c>
      <c r="F104" s="71">
        <f t="shared" si="2"/>
        <v>39.456259024477404</v>
      </c>
      <c r="G104" s="84">
        <f t="shared" si="3"/>
        <v>403.63752982040381</v>
      </c>
      <c r="H104" s="43"/>
      <c r="I104" s="8"/>
      <c r="J104" s="8"/>
      <c r="K104" s="8"/>
      <c r="L104" s="8"/>
      <c r="M104" s="8"/>
      <c r="N104" s="8"/>
      <c r="O104" s="8"/>
      <c r="P104" s="8"/>
      <c r="Q104" s="8"/>
      <c r="R104" s="8"/>
      <c r="S104" s="8"/>
      <c r="T104" s="8"/>
      <c r="U104" s="8"/>
      <c r="V104" s="8"/>
      <c r="W104" s="8"/>
      <c r="X104" s="8"/>
      <c r="Y104" s="8"/>
      <c r="Z104" s="8"/>
      <c r="AA104" s="8"/>
      <c r="AB104" s="8"/>
      <c r="AC104" s="8"/>
    </row>
    <row r="105" spans="1:29" ht="15">
      <c r="A105" s="58"/>
      <c r="B105" s="69">
        <v>75</v>
      </c>
      <c r="C105" s="43" t="s">
        <v>303</v>
      </c>
      <c r="D105" s="69">
        <v>0.11875571196956</v>
      </c>
      <c r="E105" s="69">
        <v>0.40359607872369901</v>
      </c>
      <c r="F105" s="71">
        <f t="shared" si="2"/>
        <v>40.359607872369899</v>
      </c>
      <c r="G105" s="84">
        <f t="shared" si="3"/>
        <v>412.8787885343441</v>
      </c>
      <c r="H105" s="43"/>
      <c r="I105" s="8"/>
      <c r="J105" s="8"/>
      <c r="K105" s="8"/>
      <c r="L105" s="8"/>
      <c r="M105" s="8"/>
      <c r="N105" s="8"/>
      <c r="O105" s="8"/>
      <c r="P105" s="8"/>
      <c r="Q105" s="8"/>
      <c r="R105" s="8"/>
      <c r="S105" s="8"/>
      <c r="T105" s="8"/>
      <c r="U105" s="8"/>
      <c r="V105" s="8"/>
      <c r="W105" s="8"/>
      <c r="X105" s="8"/>
      <c r="Y105" s="8"/>
      <c r="Z105" s="8"/>
      <c r="AA105" s="8"/>
      <c r="AB105" s="8"/>
      <c r="AC105" s="8"/>
    </row>
    <row r="106" spans="1:29" ht="15">
      <c r="A106" s="58"/>
      <c r="B106" s="69">
        <v>76</v>
      </c>
      <c r="C106" s="43" t="s">
        <v>304</v>
      </c>
      <c r="D106" s="69">
        <v>0.12727922061357799</v>
      </c>
      <c r="E106" s="69">
        <v>0.41270850821962501</v>
      </c>
      <c r="F106" s="71">
        <f t="shared" si="2"/>
        <v>41.270850821962505</v>
      </c>
      <c r="G106" s="84">
        <f t="shared" si="3"/>
        <v>422.20080390867639</v>
      </c>
      <c r="H106" s="43"/>
      <c r="I106" s="8"/>
      <c r="J106" s="8"/>
      <c r="K106" s="8"/>
      <c r="L106" s="8"/>
      <c r="M106" s="8"/>
      <c r="N106" s="8"/>
      <c r="O106" s="8"/>
      <c r="P106" s="8"/>
      <c r="Q106" s="8"/>
      <c r="R106" s="8"/>
      <c r="S106" s="8"/>
      <c r="T106" s="8"/>
      <c r="U106" s="8"/>
      <c r="V106" s="8"/>
      <c r="W106" s="8"/>
      <c r="X106" s="8"/>
      <c r="Y106" s="8"/>
      <c r="Z106" s="8"/>
      <c r="AA106" s="8"/>
      <c r="AB106" s="8"/>
      <c r="AC106" s="8"/>
    </row>
    <row r="107" spans="1:29" ht="15">
      <c r="A107" s="58"/>
      <c r="B107" s="69">
        <v>77</v>
      </c>
      <c r="C107" s="43" t="s">
        <v>305</v>
      </c>
      <c r="D107" s="69">
        <v>0.136414490985935</v>
      </c>
      <c r="E107" s="69">
        <v>0.421895847253975</v>
      </c>
      <c r="F107" s="71">
        <f t="shared" si="2"/>
        <v>42.189584725397502</v>
      </c>
      <c r="G107" s="84">
        <f t="shared" si="3"/>
        <v>431.59945174081645</v>
      </c>
      <c r="H107" s="43"/>
      <c r="I107" s="8"/>
      <c r="J107" s="8"/>
      <c r="K107" s="8"/>
      <c r="L107" s="8"/>
      <c r="M107" s="8"/>
      <c r="N107" s="8"/>
      <c r="O107" s="8"/>
      <c r="P107" s="8"/>
      <c r="Q107" s="8"/>
      <c r="R107" s="8"/>
      <c r="S107" s="8"/>
      <c r="T107" s="8"/>
      <c r="U107" s="8"/>
      <c r="V107" s="8"/>
      <c r="W107" s="8"/>
      <c r="X107" s="8"/>
      <c r="Y107" s="8"/>
      <c r="Z107" s="8"/>
      <c r="AA107" s="8"/>
      <c r="AB107" s="8"/>
      <c r="AC107" s="8"/>
    </row>
    <row r="108" spans="1:29" ht="15">
      <c r="A108" s="58"/>
      <c r="B108" s="69">
        <v>78</v>
      </c>
      <c r="C108" s="43" t="s">
        <v>306</v>
      </c>
      <c r="D108" s="69">
        <v>0.14620543134412201</v>
      </c>
      <c r="E108" s="69">
        <v>0.43115419879350703</v>
      </c>
      <c r="F108" s="71">
        <f t="shared" si="2"/>
        <v>43.115419879350704</v>
      </c>
      <c r="G108" s="84">
        <f t="shared" si="3"/>
        <v>441.07074536575772</v>
      </c>
      <c r="H108" s="43"/>
      <c r="I108" s="8"/>
      <c r="J108" s="8"/>
      <c r="K108" s="8"/>
      <c r="L108" s="8"/>
      <c r="M108" s="8"/>
      <c r="N108" s="8"/>
      <c r="O108" s="8"/>
      <c r="P108" s="8"/>
      <c r="Q108" s="8"/>
      <c r="R108" s="8"/>
      <c r="S108" s="8"/>
      <c r="T108" s="8"/>
      <c r="U108" s="8"/>
      <c r="V108" s="8"/>
      <c r="W108" s="8"/>
      <c r="X108" s="8"/>
      <c r="Y108" s="8"/>
      <c r="Z108" s="8"/>
      <c r="AA108" s="8"/>
      <c r="AB108" s="8"/>
      <c r="AC108" s="8"/>
    </row>
    <row r="109" spans="1:29" ht="15">
      <c r="A109" s="58"/>
      <c r="B109" s="69">
        <v>79</v>
      </c>
      <c r="C109" s="43" t="s">
        <v>307</v>
      </c>
      <c r="D109" s="69">
        <v>0.15669910139330201</v>
      </c>
      <c r="E109" s="69">
        <v>0.44047980499277301</v>
      </c>
      <c r="F109" s="71">
        <f t="shared" si="2"/>
        <v>44.047980499277301</v>
      </c>
      <c r="G109" s="84">
        <f t="shared" si="3"/>
        <v>450.61084050760678</v>
      </c>
      <c r="H109" s="43"/>
      <c r="I109" s="8"/>
      <c r="J109" s="8"/>
      <c r="K109" s="8"/>
      <c r="L109" s="8"/>
      <c r="M109" s="8"/>
      <c r="N109" s="8"/>
      <c r="O109" s="8"/>
      <c r="P109" s="8"/>
      <c r="Q109" s="8"/>
      <c r="R109" s="8"/>
      <c r="S109" s="8"/>
      <c r="T109" s="8"/>
      <c r="U109" s="8"/>
      <c r="V109" s="8"/>
      <c r="W109" s="8"/>
      <c r="X109" s="8"/>
      <c r="Y109" s="8"/>
      <c r="Z109" s="8"/>
      <c r="AA109" s="8"/>
      <c r="AB109" s="8"/>
      <c r="AC109" s="8"/>
    </row>
    <row r="110" spans="1:29" ht="15">
      <c r="A110" s="58"/>
      <c r="B110" s="69">
        <v>80</v>
      </c>
      <c r="C110" s="43" t="s">
        <v>85</v>
      </c>
      <c r="D110" s="69">
        <v>0.16794593847662501</v>
      </c>
      <c r="E110" s="69">
        <v>0.44986904932771299</v>
      </c>
      <c r="F110" s="71">
        <f t="shared" si="2"/>
        <v>44.986904932771296</v>
      </c>
      <c r="G110" s="84">
        <f t="shared" si="3"/>
        <v>460.21603746225037</v>
      </c>
      <c r="H110" s="43"/>
      <c r="I110" s="8"/>
      <c r="J110" s="8"/>
      <c r="K110" s="8"/>
      <c r="L110" s="8"/>
      <c r="M110" s="8"/>
      <c r="N110" s="8"/>
      <c r="O110" s="8"/>
      <c r="P110" s="8"/>
      <c r="Q110" s="8"/>
      <c r="R110" s="8"/>
      <c r="S110" s="8"/>
      <c r="T110" s="8"/>
      <c r="U110" s="8"/>
      <c r="V110" s="8"/>
      <c r="W110" s="8"/>
      <c r="X110" s="8"/>
      <c r="Y110" s="8"/>
      <c r="Z110" s="8"/>
      <c r="AA110" s="8"/>
      <c r="AB110" s="8"/>
      <c r="AC110" s="8"/>
    </row>
    <row r="111" spans="1:29" ht="15">
      <c r="A111" s="58"/>
      <c r="B111" s="69">
        <v>81</v>
      </c>
      <c r="C111" s="43" t="s">
        <v>308</v>
      </c>
      <c r="D111" s="69">
        <v>0.18</v>
      </c>
      <c r="E111" s="69">
        <v>0.45931845866162102</v>
      </c>
      <c r="F111" s="71">
        <f t="shared" si="2"/>
        <v>45.931845866162099</v>
      </c>
      <c r="G111" s="84">
        <f t="shared" si="3"/>
        <v>469.88278321083828</v>
      </c>
      <c r="H111" s="43"/>
      <c r="I111" s="8"/>
      <c r="J111" s="8"/>
      <c r="K111" s="8"/>
      <c r="L111" s="8"/>
      <c r="M111" s="8"/>
      <c r="N111" s="8"/>
      <c r="O111" s="8"/>
      <c r="P111" s="8"/>
      <c r="Q111" s="8"/>
      <c r="R111" s="8"/>
      <c r="S111" s="8"/>
      <c r="T111" s="8"/>
      <c r="U111" s="8"/>
      <c r="V111" s="8"/>
      <c r="W111" s="8"/>
      <c r="X111" s="8"/>
      <c r="Y111" s="8"/>
      <c r="Z111" s="8"/>
      <c r="AA111" s="8"/>
      <c r="AB111" s="8"/>
      <c r="AC111" s="8"/>
    </row>
    <row r="112" spans="1:29" ht="15">
      <c r="A112" s="58"/>
      <c r="B112" s="69">
        <v>82</v>
      </c>
      <c r="C112" s="43" t="s">
        <v>309</v>
      </c>
      <c r="D112" s="69">
        <v>0.19291922325653199</v>
      </c>
      <c r="E112" s="69">
        <v>0.46882470375635599</v>
      </c>
      <c r="F112" s="71">
        <f t="shared" si="2"/>
        <v>46.882470375635599</v>
      </c>
      <c r="G112" s="84">
        <f t="shared" si="3"/>
        <v>479.60767194275218</v>
      </c>
      <c r="H112" s="43"/>
      <c r="I112" s="8"/>
      <c r="J112" s="8"/>
      <c r="K112" s="8"/>
      <c r="L112" s="8"/>
      <c r="M112" s="8"/>
      <c r="N112" s="8"/>
      <c r="O112" s="8"/>
      <c r="P112" s="8"/>
      <c r="Q112" s="8"/>
      <c r="R112" s="8"/>
      <c r="S112" s="8"/>
      <c r="T112" s="8"/>
      <c r="U112" s="8"/>
      <c r="V112" s="8"/>
      <c r="W112" s="8"/>
      <c r="X112" s="8"/>
      <c r="Y112" s="8"/>
      <c r="Z112" s="8"/>
      <c r="AA112" s="8"/>
      <c r="AB112" s="8"/>
      <c r="AC112" s="8"/>
    </row>
    <row r="113" spans="1:29" ht="15">
      <c r="A113" s="58"/>
      <c r="B113" s="69">
        <v>83</v>
      </c>
      <c r="C113" s="43" t="s">
        <v>87</v>
      </c>
      <c r="D113" s="69">
        <v>0.206765703899466</v>
      </c>
      <c r="E113" s="69">
        <v>0.47838459863157801</v>
      </c>
      <c r="F113" s="71">
        <f t="shared" si="2"/>
        <v>47.838459863157802</v>
      </c>
      <c r="G113" s="84">
        <f t="shared" si="3"/>
        <v>489.3874444001043</v>
      </c>
      <c r="H113" s="43"/>
      <c r="I113" s="8"/>
      <c r="J113" s="8"/>
      <c r="K113" s="8"/>
      <c r="L113" s="8"/>
      <c r="M113" s="8"/>
      <c r="N113" s="8"/>
      <c r="O113" s="8"/>
      <c r="P113" s="8"/>
      <c r="Q113" s="8"/>
      <c r="R113" s="8"/>
      <c r="S113" s="8"/>
      <c r="T113" s="8"/>
      <c r="U113" s="8"/>
      <c r="V113" s="8"/>
      <c r="W113" s="8"/>
      <c r="X113" s="8"/>
      <c r="Y113" s="8"/>
      <c r="Z113" s="8"/>
      <c r="AA113" s="8"/>
      <c r="AB113" s="8"/>
      <c r="AC113" s="8"/>
    </row>
    <row r="114" spans="1:29" ht="15">
      <c r="A114" s="58"/>
      <c r="B114" s="69">
        <v>84</v>
      </c>
      <c r="C114" s="43" t="s">
        <v>310</v>
      </c>
      <c r="D114" s="69">
        <v>0.22160599440208401</v>
      </c>
      <c r="E114" s="69">
        <v>0.48799509977769101</v>
      </c>
      <c r="F114" s="71">
        <f t="shared" si="2"/>
        <v>48.799509977769098</v>
      </c>
      <c r="G114" s="84">
        <f t="shared" si="3"/>
        <v>499.21898707257793</v>
      </c>
      <c r="H114" s="43"/>
      <c r="I114" s="8"/>
      <c r="J114" s="8"/>
      <c r="K114" s="8"/>
      <c r="L114" s="8"/>
      <c r="M114" s="8"/>
      <c r="N114" s="8"/>
      <c r="O114" s="8"/>
      <c r="P114" s="8"/>
      <c r="Q114" s="8"/>
      <c r="R114" s="8"/>
      <c r="S114" s="8"/>
      <c r="T114" s="8"/>
      <c r="U114" s="8"/>
      <c r="V114" s="8"/>
      <c r="W114" s="8"/>
      <c r="X114" s="8"/>
      <c r="Y114" s="8"/>
      <c r="Z114" s="8"/>
      <c r="AA114" s="8"/>
      <c r="AB114" s="8"/>
      <c r="AC114" s="8"/>
    </row>
    <row r="115" spans="1:29" ht="15">
      <c r="A115" s="58"/>
      <c r="B115" s="69">
        <v>85</v>
      </c>
      <c r="C115" s="43" t="s">
        <v>311</v>
      </c>
      <c r="D115" s="69">
        <v>0.23751142393912</v>
      </c>
      <c r="E115" s="69">
        <v>0.497653303924114</v>
      </c>
      <c r="F115" s="71">
        <f t="shared" si="2"/>
        <v>49.7653303924114</v>
      </c>
      <c r="G115" s="84">
        <f t="shared" si="3"/>
        <v>509.09932991436864</v>
      </c>
      <c r="H115" s="43"/>
      <c r="I115" s="8"/>
      <c r="J115" s="8"/>
      <c r="K115" s="8"/>
      <c r="L115" s="8"/>
      <c r="M115" s="8"/>
      <c r="N115" s="8"/>
      <c r="O115" s="8"/>
      <c r="P115" s="8"/>
      <c r="Q115" s="8"/>
      <c r="R115" s="8"/>
      <c r="S115" s="8"/>
      <c r="T115" s="8"/>
      <c r="U115" s="8"/>
      <c r="V115" s="8"/>
      <c r="W115" s="8"/>
      <c r="X115" s="8"/>
      <c r="Y115" s="8"/>
      <c r="Z115" s="8"/>
      <c r="AA115" s="8"/>
      <c r="AB115" s="8"/>
      <c r="AC115" s="8"/>
    </row>
    <row r="116" spans="1:29" ht="15">
      <c r="A116" s="58"/>
      <c r="B116" s="69">
        <v>86</v>
      </c>
      <c r="C116" s="43" t="s">
        <v>312</v>
      </c>
      <c r="D116" s="69">
        <v>0.25455844122715698</v>
      </c>
      <c r="E116" s="69">
        <v>0.50735644578245798</v>
      </c>
      <c r="F116" s="71">
        <f t="shared" si="2"/>
        <v>50.735644578245797</v>
      </c>
      <c r="G116" s="84">
        <f t="shared" si="3"/>
        <v>519.02564403545455</v>
      </c>
      <c r="H116" s="43"/>
      <c r="I116" s="8"/>
      <c r="J116" s="8"/>
      <c r="K116" s="8"/>
      <c r="L116" s="8"/>
      <c r="M116" s="8"/>
      <c r="N116" s="8"/>
      <c r="O116" s="8"/>
      <c r="P116" s="8"/>
      <c r="Q116" s="8"/>
      <c r="R116" s="8"/>
      <c r="S116" s="8"/>
      <c r="T116" s="8"/>
      <c r="U116" s="8"/>
      <c r="V116" s="8"/>
      <c r="W116" s="8"/>
      <c r="X116" s="8"/>
      <c r="Y116" s="8"/>
      <c r="Z116" s="8"/>
      <c r="AA116" s="8"/>
      <c r="AB116" s="8"/>
      <c r="AC116" s="8"/>
    </row>
    <row r="117" spans="1:29" ht="15">
      <c r="A117" s="58"/>
      <c r="B117" s="69">
        <v>87</v>
      </c>
      <c r="C117" s="43" t="s">
        <v>313</v>
      </c>
      <c r="D117" s="69">
        <v>0.272828981971871</v>
      </c>
      <c r="E117" s="69">
        <v>0.51710189488436598</v>
      </c>
      <c r="F117" s="71">
        <f t="shared" si="2"/>
        <v>51.710189488436598</v>
      </c>
      <c r="G117" s="84">
        <f t="shared" si="3"/>
        <v>528.99523846670638</v>
      </c>
      <c r="H117" s="43"/>
      <c r="I117" s="8"/>
      <c r="J117" s="8"/>
      <c r="K117" s="8"/>
      <c r="L117" s="8"/>
      <c r="M117" s="8"/>
      <c r="N117" s="8"/>
      <c r="O117" s="8"/>
      <c r="P117" s="8"/>
      <c r="Q117" s="8"/>
      <c r="R117" s="8"/>
      <c r="S117" s="8"/>
      <c r="T117" s="8"/>
      <c r="U117" s="8"/>
      <c r="V117" s="8"/>
      <c r="W117" s="8"/>
      <c r="X117" s="8"/>
      <c r="Y117" s="8"/>
      <c r="Z117" s="8"/>
      <c r="AA117" s="8"/>
      <c r="AB117" s="8"/>
      <c r="AC117" s="8"/>
    </row>
    <row r="118" spans="1:29" ht="15">
      <c r="A118" s="58"/>
      <c r="B118" s="69">
        <v>88</v>
      </c>
      <c r="C118" s="43" t="s">
        <v>314</v>
      </c>
      <c r="D118" s="69">
        <v>0.29241086268824401</v>
      </c>
      <c r="E118" s="69">
        <v>0.52688715215999304</v>
      </c>
      <c r="F118" s="71">
        <f t="shared" si="2"/>
        <v>52.688715215999302</v>
      </c>
      <c r="G118" s="84">
        <f t="shared" si="3"/>
        <v>539.00555665967283</v>
      </c>
      <c r="H118" s="43"/>
      <c r="I118" s="8"/>
      <c r="J118" s="8"/>
      <c r="K118" s="8"/>
      <c r="L118" s="8"/>
      <c r="M118" s="8"/>
      <c r="N118" s="8"/>
      <c r="O118" s="8"/>
      <c r="P118" s="8"/>
      <c r="Q118" s="8"/>
      <c r="R118" s="8"/>
      <c r="S118" s="8"/>
      <c r="T118" s="8"/>
      <c r="U118" s="8"/>
      <c r="V118" s="8"/>
      <c r="W118" s="8"/>
      <c r="X118" s="8"/>
      <c r="Y118" s="8"/>
      <c r="Z118" s="8"/>
      <c r="AA118" s="8"/>
      <c r="AB118" s="8"/>
      <c r="AC118" s="8"/>
    </row>
    <row r="119" spans="1:29" ht="15">
      <c r="A119" s="58"/>
      <c r="B119" s="69">
        <v>89</v>
      </c>
      <c r="C119" s="43" t="s">
        <v>315</v>
      </c>
      <c r="D119" s="69">
        <v>0.31339820278660402</v>
      </c>
      <c r="E119" s="69">
        <v>0.53670984632586605</v>
      </c>
      <c r="F119" s="71">
        <f t="shared" si="2"/>
        <v>53.670984632586602</v>
      </c>
      <c r="G119" s="84">
        <f t="shared" si="3"/>
        <v>549.054172791361</v>
      </c>
      <c r="H119" s="43"/>
      <c r="I119" s="8"/>
      <c r="J119" s="8"/>
      <c r="K119" s="8"/>
      <c r="L119" s="8"/>
      <c r="M119" s="8"/>
      <c r="N119" s="8"/>
      <c r="O119" s="8"/>
      <c r="P119" s="8"/>
      <c r="Q119" s="8"/>
      <c r="R119" s="8"/>
      <c r="S119" s="8"/>
      <c r="T119" s="8"/>
      <c r="U119" s="8"/>
      <c r="V119" s="8"/>
      <c r="W119" s="8"/>
      <c r="X119" s="8"/>
      <c r="Y119" s="8"/>
      <c r="Z119" s="8"/>
      <c r="AA119" s="8"/>
      <c r="AB119" s="8"/>
      <c r="AC119" s="8"/>
    </row>
    <row r="120" spans="1:29" ht="15">
      <c r="A120" s="58"/>
      <c r="B120" s="69">
        <v>90</v>
      </c>
      <c r="C120" s="43" t="s">
        <v>316</v>
      </c>
      <c r="D120" s="69">
        <v>0.33589187695325001</v>
      </c>
      <c r="E120" s="69">
        <v>0.54656772969247902</v>
      </c>
      <c r="F120" s="71">
        <f t="shared" si="2"/>
        <v>54.656772969247903</v>
      </c>
      <c r="G120" s="84">
        <f t="shared" si="3"/>
        <v>559.13878747540605</v>
      </c>
      <c r="H120" s="43"/>
      <c r="I120" s="8"/>
      <c r="J120" s="8"/>
      <c r="K120" s="8"/>
      <c r="L120" s="8"/>
      <c r="M120" s="8"/>
      <c r="N120" s="8"/>
      <c r="O120" s="8"/>
      <c r="P120" s="8"/>
      <c r="Q120" s="8"/>
      <c r="R120" s="8"/>
      <c r="S120" s="8"/>
      <c r="T120" s="8"/>
      <c r="U120" s="8"/>
      <c r="V120" s="8"/>
      <c r="W120" s="8"/>
      <c r="X120" s="8"/>
      <c r="Y120" s="8"/>
      <c r="Z120" s="8"/>
      <c r="AA120" s="8"/>
      <c r="AB120" s="8"/>
      <c r="AC120" s="8"/>
    </row>
    <row r="121" spans="1:29" ht="15">
      <c r="A121" s="58"/>
      <c r="B121" s="69">
        <v>91</v>
      </c>
      <c r="C121" s="43" t="s">
        <v>317</v>
      </c>
      <c r="D121" s="69">
        <v>0.36</v>
      </c>
      <c r="E121" s="69">
        <v>0.55645867390904602</v>
      </c>
      <c r="F121" s="71">
        <f t="shared" si="2"/>
        <v>55.645867390904598</v>
      </c>
      <c r="G121" s="84">
        <f t="shared" si="3"/>
        <v>569.25722340895413</v>
      </c>
      <c r="H121" s="43"/>
      <c r="I121" s="8"/>
      <c r="J121" s="8"/>
      <c r="K121" s="8"/>
      <c r="L121" s="8"/>
      <c r="M121" s="8"/>
      <c r="N121" s="8"/>
      <c r="O121" s="8"/>
      <c r="P121" s="8"/>
      <c r="Q121" s="8"/>
      <c r="R121" s="8"/>
      <c r="S121" s="8"/>
      <c r="T121" s="8"/>
      <c r="U121" s="8"/>
      <c r="V121" s="8"/>
      <c r="W121" s="8"/>
      <c r="X121" s="8"/>
      <c r="Y121" s="8"/>
      <c r="Z121" s="8"/>
      <c r="AA121" s="8"/>
      <c r="AB121" s="8"/>
      <c r="AC121" s="8"/>
    </row>
    <row r="122" spans="1:29" ht="15">
      <c r="A122" s="58"/>
      <c r="B122" s="69">
        <v>92</v>
      </c>
      <c r="C122" s="43" t="s">
        <v>318</v>
      </c>
      <c r="D122" s="69">
        <v>0.38583844651306498</v>
      </c>
      <c r="E122" s="69">
        <v>0.56638066571449497</v>
      </c>
      <c r="F122" s="71">
        <f t="shared" si="2"/>
        <v>56.6380665714495</v>
      </c>
      <c r="G122" s="84">
        <f t="shared" si="3"/>
        <v>579.40742102592833</v>
      </c>
      <c r="H122" s="43"/>
      <c r="I122" s="8"/>
      <c r="J122" s="8"/>
      <c r="K122" s="8"/>
      <c r="L122" s="8"/>
      <c r="M122" s="8"/>
      <c r="N122" s="8"/>
      <c r="O122" s="8"/>
      <c r="P122" s="8"/>
      <c r="Q122" s="8"/>
      <c r="R122" s="8"/>
      <c r="S122" s="8"/>
      <c r="T122" s="8"/>
      <c r="U122" s="8"/>
      <c r="V122" s="8"/>
      <c r="W122" s="8"/>
      <c r="X122" s="8"/>
      <c r="Y122" s="8"/>
      <c r="Z122" s="8"/>
      <c r="AA122" s="8"/>
      <c r="AB122" s="8"/>
      <c r="AC122" s="8"/>
    </row>
    <row r="123" spans="1:29" ht="15">
      <c r="A123" s="58"/>
      <c r="B123" s="69">
        <v>93</v>
      </c>
      <c r="C123" s="43" t="s">
        <v>319</v>
      </c>
      <c r="D123" s="69">
        <v>0.41353140779893199</v>
      </c>
      <c r="E123" s="69">
        <v>0.57633180229570602</v>
      </c>
      <c r="F123" s="71">
        <f t="shared" si="2"/>
        <v>57.633180229570598</v>
      </c>
      <c r="G123" s="84">
        <f t="shared" si="3"/>
        <v>589.58743374850724</v>
      </c>
      <c r="H123" s="43"/>
      <c r="I123" s="8"/>
      <c r="J123" s="8"/>
      <c r="K123" s="8"/>
      <c r="L123" s="8"/>
      <c r="M123" s="8"/>
      <c r="N123" s="8"/>
      <c r="O123" s="8"/>
      <c r="P123" s="8"/>
      <c r="Q123" s="8"/>
      <c r="R123" s="8"/>
      <c r="S123" s="8"/>
      <c r="T123" s="8"/>
      <c r="U123" s="8"/>
      <c r="V123" s="8"/>
      <c r="W123" s="8"/>
      <c r="X123" s="8"/>
      <c r="Y123" s="8"/>
      <c r="Z123" s="8"/>
      <c r="AA123" s="8"/>
      <c r="AB123" s="8"/>
      <c r="AC123" s="8"/>
    </row>
    <row r="124" spans="1:29" ht="15">
      <c r="A124" s="58"/>
      <c r="B124" s="69">
        <v>94</v>
      </c>
      <c r="C124" s="43" t="s">
        <v>320</v>
      </c>
      <c r="D124" s="69">
        <v>0.44321198880416901</v>
      </c>
      <c r="E124" s="69">
        <v>0.58631028678353703</v>
      </c>
      <c r="F124" s="71">
        <f t="shared" si="2"/>
        <v>58.631028678353701</v>
      </c>
      <c r="G124" s="84">
        <f t="shared" si="3"/>
        <v>599.79542337955843</v>
      </c>
      <c r="H124" s="43"/>
      <c r="I124" s="8"/>
      <c r="J124" s="8"/>
      <c r="K124" s="8"/>
      <c r="L124" s="8"/>
      <c r="M124" s="8"/>
      <c r="N124" s="8"/>
      <c r="O124" s="8"/>
      <c r="P124" s="8"/>
      <c r="Q124" s="8"/>
      <c r="R124" s="8"/>
      <c r="S124" s="8"/>
      <c r="T124" s="8"/>
      <c r="U124" s="8"/>
      <c r="V124" s="8"/>
      <c r="W124" s="8"/>
      <c r="X124" s="8"/>
      <c r="Y124" s="8"/>
      <c r="Z124" s="8"/>
      <c r="AA124" s="8"/>
      <c r="AB124" s="8"/>
      <c r="AC124" s="8"/>
    </row>
    <row r="125" spans="1:29" ht="15">
      <c r="A125" s="58"/>
      <c r="B125" s="69">
        <v>95</v>
      </c>
      <c r="C125" s="43" t="s">
        <v>321</v>
      </c>
      <c r="D125" s="69">
        <v>0.47502284787824101</v>
      </c>
      <c r="E125" s="69">
        <v>0.59631442373963095</v>
      </c>
      <c r="F125" s="71">
        <f t="shared" si="2"/>
        <v>59.631442373963097</v>
      </c>
      <c r="G125" s="84">
        <f t="shared" si="3"/>
        <v>610.02965548564248</v>
      </c>
      <c r="H125" s="43"/>
      <c r="I125" s="8"/>
      <c r="J125" s="8"/>
      <c r="K125" s="8"/>
      <c r="L125" s="8"/>
      <c r="M125" s="8"/>
      <c r="N125" s="8"/>
      <c r="O125" s="8"/>
      <c r="P125" s="8"/>
      <c r="Q125" s="8"/>
      <c r="R125" s="8"/>
      <c r="S125" s="8"/>
      <c r="T125" s="8"/>
      <c r="U125" s="8"/>
      <c r="V125" s="8"/>
      <c r="W125" s="8"/>
      <c r="X125" s="8"/>
      <c r="Y125" s="8"/>
      <c r="Z125" s="8"/>
      <c r="AA125" s="8"/>
      <c r="AB125" s="8"/>
      <c r="AC125" s="8"/>
    </row>
    <row r="126" spans="1:29" ht="15">
      <c r="A126" s="58"/>
      <c r="B126" s="69">
        <v>96</v>
      </c>
      <c r="C126" s="43" t="s">
        <v>322</v>
      </c>
      <c r="D126" s="69">
        <v>0.50911688245431397</v>
      </c>
      <c r="E126" s="69">
        <v>0.60634261455531901</v>
      </c>
      <c r="F126" s="71">
        <f t="shared" si="2"/>
        <v>60.634261455531899</v>
      </c>
      <c r="G126" s="84">
        <f t="shared" si="3"/>
        <v>620.2884946900914</v>
      </c>
      <c r="H126" s="43"/>
      <c r="I126" s="8"/>
      <c r="J126" s="8"/>
      <c r="K126" s="8"/>
      <c r="L126" s="8"/>
      <c r="M126" s="8"/>
      <c r="N126" s="8"/>
      <c r="O126" s="8"/>
      <c r="P126" s="8"/>
      <c r="Q126" s="8"/>
      <c r="R126" s="8"/>
      <c r="S126" s="8"/>
      <c r="T126" s="8"/>
      <c r="U126" s="8"/>
      <c r="V126" s="8"/>
      <c r="W126" s="8"/>
      <c r="X126" s="8"/>
      <c r="Y126" s="8"/>
      <c r="Z126" s="8"/>
      <c r="AA126" s="8"/>
      <c r="AB126" s="8"/>
      <c r="AC126" s="8"/>
    </row>
    <row r="127" spans="1:29" ht="15">
      <c r="A127" s="58"/>
      <c r="B127" s="69">
        <v>97</v>
      </c>
      <c r="C127" s="43" t="s">
        <v>323</v>
      </c>
      <c r="D127" s="69">
        <v>0.545657963943743</v>
      </c>
      <c r="E127" s="69">
        <v>0.61639335296993703</v>
      </c>
      <c r="F127" s="71">
        <f t="shared" si="2"/>
        <v>61.6393352969937</v>
      </c>
      <c r="G127" s="84">
        <f t="shared" si="3"/>
        <v>630.57040008824561</v>
      </c>
      <c r="H127" s="43"/>
      <c r="I127" s="8"/>
      <c r="J127" s="8"/>
      <c r="K127" s="8"/>
      <c r="L127" s="8"/>
      <c r="M127" s="8"/>
      <c r="N127" s="8"/>
      <c r="O127" s="8"/>
      <c r="P127" s="8"/>
      <c r="Q127" s="8"/>
      <c r="R127" s="8"/>
      <c r="S127" s="8"/>
      <c r="T127" s="8"/>
      <c r="U127" s="8"/>
      <c r="V127" s="8"/>
      <c r="W127" s="8"/>
      <c r="X127" s="8"/>
      <c r="Y127" s="8"/>
      <c r="Z127" s="8"/>
      <c r="AA127" s="8"/>
      <c r="AB127" s="8"/>
      <c r="AC127" s="8"/>
    </row>
    <row r="128" spans="1:29" ht="15">
      <c r="A128" s="58"/>
      <c r="B128" s="69">
        <v>98</v>
      </c>
      <c r="C128" s="43" t="s">
        <v>324</v>
      </c>
      <c r="D128" s="69">
        <v>0.58482172537648902</v>
      </c>
      <c r="E128" s="69">
        <v>0.62646522077171096</v>
      </c>
      <c r="F128" s="71">
        <f t="shared" si="2"/>
        <v>62.646522077171099</v>
      </c>
      <c r="G128" s="84">
        <f t="shared" si="3"/>
        <v>640.87392084946032</v>
      </c>
      <c r="H128" s="43"/>
      <c r="I128" s="8"/>
      <c r="J128" s="8"/>
      <c r="K128" s="8"/>
      <c r="L128" s="8"/>
      <c r="M128" s="8"/>
      <c r="N128" s="8"/>
      <c r="O128" s="8"/>
      <c r="P128" s="8"/>
      <c r="Q128" s="8"/>
      <c r="R128" s="8"/>
      <c r="S128" s="8"/>
      <c r="T128" s="8"/>
      <c r="U128" s="8"/>
      <c r="V128" s="8"/>
      <c r="W128" s="8"/>
      <c r="X128" s="8"/>
      <c r="Y128" s="8"/>
      <c r="Z128" s="8"/>
      <c r="AA128" s="8"/>
      <c r="AB128" s="8"/>
      <c r="AC128" s="8"/>
    </row>
    <row r="129" spans="1:29" ht="15">
      <c r="A129" s="58"/>
      <c r="B129" s="69">
        <v>99</v>
      </c>
      <c r="C129" s="43" t="s">
        <v>325</v>
      </c>
      <c r="D129" s="69">
        <v>0.62679640557320904</v>
      </c>
      <c r="E129" s="69">
        <v>0.63655688323460402</v>
      </c>
      <c r="F129" s="71">
        <f t="shared" si="2"/>
        <v>63.655688323460403</v>
      </c>
      <c r="G129" s="84">
        <f t="shared" si="3"/>
        <v>651.19769154899996</v>
      </c>
      <c r="H129" s="43"/>
      <c r="I129" s="8"/>
      <c r="J129" s="8"/>
      <c r="K129" s="8"/>
      <c r="L129" s="8"/>
      <c r="M129" s="8"/>
      <c r="N129" s="8"/>
      <c r="O129" s="8"/>
      <c r="P129" s="8"/>
      <c r="Q129" s="8"/>
      <c r="R129" s="8"/>
      <c r="S129" s="8"/>
      <c r="T129" s="8"/>
      <c r="U129" s="8"/>
      <c r="V129" s="8"/>
      <c r="W129" s="8"/>
      <c r="X129" s="8"/>
      <c r="Y129" s="8"/>
      <c r="Z129" s="8"/>
      <c r="AA129" s="8"/>
      <c r="AB129" s="8"/>
      <c r="AC129" s="8"/>
    </row>
    <row r="130" spans="1:29" ht="15">
      <c r="A130" s="58"/>
      <c r="B130" s="69">
        <v>100</v>
      </c>
      <c r="C130" s="43" t="s">
        <v>326</v>
      </c>
      <c r="D130" s="69">
        <v>0.67178375390650102</v>
      </c>
      <c r="E130" s="69">
        <v>0.64666708509835502</v>
      </c>
      <c r="F130" s="71">
        <f t="shared" si="2"/>
        <v>64.666708509835502</v>
      </c>
      <c r="G130" s="84">
        <f t="shared" si="3"/>
        <v>661.54042805561721</v>
      </c>
      <c r="H130" s="43"/>
      <c r="I130" s="8"/>
      <c r="J130" s="8"/>
      <c r="K130" s="8"/>
      <c r="L130" s="8"/>
      <c r="M130" s="8"/>
      <c r="N130" s="8"/>
      <c r="O130" s="8"/>
      <c r="P130" s="8"/>
      <c r="Q130" s="8"/>
      <c r="R130" s="8"/>
      <c r="S130" s="8"/>
      <c r="T130" s="8"/>
      <c r="U130" s="8"/>
      <c r="V130" s="8"/>
      <c r="W130" s="8"/>
      <c r="X130" s="8"/>
      <c r="Y130" s="8"/>
      <c r="Z130" s="8"/>
      <c r="AA130" s="8"/>
      <c r="AB130" s="8"/>
      <c r="AC130" s="8"/>
    </row>
    <row r="131" spans="1:29" ht="15">
      <c r="A131" s="58"/>
      <c r="B131" s="69">
        <v>101</v>
      </c>
      <c r="C131" s="43" t="s">
        <v>327</v>
      </c>
      <c r="D131" s="69">
        <v>0.72</v>
      </c>
      <c r="E131" s="69">
        <v>0.65679464640808305</v>
      </c>
      <c r="F131" s="71">
        <f t="shared" si="2"/>
        <v>65.679464640808305</v>
      </c>
      <c r="G131" s="84">
        <f t="shared" si="3"/>
        <v>671.90092327546893</v>
      </c>
      <c r="H131" s="43"/>
      <c r="I131" s="8"/>
      <c r="J131" s="8"/>
      <c r="K131" s="8"/>
      <c r="L131" s="8"/>
      <c r="M131" s="8"/>
      <c r="N131" s="8"/>
      <c r="O131" s="8"/>
      <c r="P131" s="8"/>
      <c r="Q131" s="8"/>
      <c r="R131" s="8"/>
      <c r="S131" s="8"/>
      <c r="T131" s="8"/>
      <c r="U131" s="8"/>
      <c r="V131" s="8"/>
      <c r="W131" s="8"/>
      <c r="X131" s="8"/>
      <c r="Y131" s="8"/>
      <c r="Z131" s="8"/>
      <c r="AA131" s="8"/>
      <c r="AB131" s="8"/>
      <c r="AC131" s="8"/>
    </row>
    <row r="132" spans="1:29" ht="15">
      <c r="A132" s="58"/>
      <c r="B132" s="69">
        <v>102</v>
      </c>
      <c r="C132" s="43" t="s">
        <v>328</v>
      </c>
      <c r="D132" s="69">
        <v>0.77167689302613096</v>
      </c>
      <c r="E132" s="69">
        <v>0.66693845850423705</v>
      </c>
      <c r="F132" s="71">
        <f t="shared" si="2"/>
        <v>66.693845850423699</v>
      </c>
      <c r="G132" s="84">
        <f t="shared" si="3"/>
        <v>682.27804304983454</v>
      </c>
      <c r="H132" s="43"/>
      <c r="I132" s="8"/>
      <c r="J132" s="8"/>
      <c r="K132" s="8"/>
      <c r="L132" s="8"/>
      <c r="M132" s="8"/>
      <c r="N132" s="8"/>
      <c r="O132" s="8"/>
      <c r="P132" s="8"/>
      <c r="Q132" s="8"/>
      <c r="R132" s="8"/>
      <c r="S132" s="8"/>
      <c r="T132" s="8"/>
      <c r="U132" s="8"/>
      <c r="V132" s="8"/>
      <c r="W132" s="8"/>
      <c r="X132" s="8"/>
      <c r="Y132" s="8"/>
      <c r="Z132" s="8"/>
      <c r="AA132" s="8"/>
      <c r="AB132" s="8"/>
      <c r="AC132" s="8"/>
    </row>
    <row r="133" spans="1:29" ht="15">
      <c r="A133" s="58"/>
      <c r="B133" s="69">
        <v>103</v>
      </c>
      <c r="C133" s="43" t="s">
        <v>329</v>
      </c>
      <c r="D133" s="69">
        <v>0.82706281559786499</v>
      </c>
      <c r="E133" s="69">
        <v>0.67709748025570005</v>
      </c>
      <c r="F133" s="71">
        <f t="shared" si="2"/>
        <v>67.709748025570008</v>
      </c>
      <c r="G133" s="84">
        <f t="shared" si="3"/>
        <v>692.67072230158112</v>
      </c>
      <c r="H133" s="43"/>
      <c r="I133" s="8"/>
      <c r="J133" s="8"/>
      <c r="K133" s="8"/>
      <c r="L133" s="8"/>
      <c r="M133" s="8"/>
      <c r="N133" s="8"/>
      <c r="O133" s="8"/>
      <c r="P133" s="8"/>
      <c r="Q133" s="8"/>
      <c r="R133" s="8"/>
      <c r="S133" s="8"/>
      <c r="T133" s="8"/>
      <c r="U133" s="8"/>
      <c r="V133" s="8"/>
      <c r="W133" s="8"/>
      <c r="X133" s="8"/>
      <c r="Y133" s="8"/>
      <c r="Z133" s="8"/>
      <c r="AA133" s="8"/>
      <c r="AB133" s="8"/>
      <c r="AC133" s="8"/>
    </row>
    <row r="134" spans="1:29" ht="15">
      <c r="A134" s="58"/>
      <c r="B134" s="69">
        <v>104</v>
      </c>
      <c r="C134" s="43" t="s">
        <v>330</v>
      </c>
      <c r="D134" s="69">
        <v>0.88642397760833902</v>
      </c>
      <c r="E134" s="69">
        <v>0.68727073430550001</v>
      </c>
      <c r="F134" s="71">
        <f t="shared" si="2"/>
        <v>68.727073430550007</v>
      </c>
      <c r="G134" s="84">
        <f t="shared" si="3"/>
        <v>703.07796119452655</v>
      </c>
      <c r="H134" s="43"/>
      <c r="I134" s="8"/>
      <c r="J134" s="8"/>
      <c r="K134" s="8"/>
      <c r="L134" s="8"/>
      <c r="M134" s="8"/>
      <c r="N134" s="8"/>
      <c r="O134" s="8"/>
      <c r="P134" s="8"/>
      <c r="Q134" s="8"/>
      <c r="R134" s="8"/>
      <c r="S134" s="8"/>
      <c r="T134" s="8"/>
      <c r="U134" s="8"/>
      <c r="V134" s="8"/>
      <c r="W134" s="8"/>
      <c r="X134" s="8"/>
      <c r="Y134" s="8"/>
      <c r="Z134" s="8"/>
      <c r="AA134" s="8"/>
      <c r="AB134" s="8"/>
      <c r="AC134" s="8"/>
    </row>
    <row r="135" spans="1:29" ht="15">
      <c r="A135" s="58"/>
      <c r="B135" s="69">
        <v>105</v>
      </c>
      <c r="C135" s="43" t="s">
        <v>331</v>
      </c>
      <c r="D135" s="69">
        <v>0.95004569575648301</v>
      </c>
      <c r="E135" s="69">
        <v>0.69745730359791602</v>
      </c>
      <c r="F135" s="71">
        <f t="shared" si="2"/>
        <v>69.745730359791608</v>
      </c>
      <c r="G135" s="84">
        <f t="shared" si="3"/>
        <v>713.49882158066805</v>
      </c>
      <c r="H135" s="43"/>
      <c r="I135" s="8"/>
      <c r="J135" s="8"/>
      <c r="K135" s="8"/>
      <c r="L135" s="8"/>
      <c r="M135" s="8"/>
      <c r="N135" s="8"/>
      <c r="O135" s="8"/>
      <c r="P135" s="8"/>
      <c r="Q135" s="8"/>
      <c r="R135" s="8"/>
      <c r="S135" s="8"/>
      <c r="T135" s="8"/>
      <c r="U135" s="8"/>
      <c r="V135" s="8"/>
      <c r="W135" s="8"/>
      <c r="X135" s="8"/>
      <c r="Y135" s="8"/>
      <c r="Z135" s="8"/>
      <c r="AA135" s="8"/>
      <c r="AB135" s="8"/>
      <c r="AC135" s="8"/>
    </row>
    <row r="136" spans="1:29" ht="15">
      <c r="A136" s="58"/>
      <c r="B136" s="69">
        <v>106</v>
      </c>
      <c r="C136" s="43" t="s">
        <v>332</v>
      </c>
      <c r="D136" s="69">
        <v>1.0182337649086199</v>
      </c>
      <c r="E136" s="69">
        <v>0.70765632792286703</v>
      </c>
      <c r="F136" s="71">
        <f t="shared" si="2"/>
        <v>70.765632792286709</v>
      </c>
      <c r="G136" s="84">
        <f t="shared" si="3"/>
        <v>723.93242346509294</v>
      </c>
      <c r="H136" s="43"/>
      <c r="I136" s="8"/>
      <c r="J136" s="8"/>
      <c r="K136" s="8"/>
      <c r="L136" s="8"/>
      <c r="M136" s="8"/>
      <c r="N136" s="8"/>
      <c r="O136" s="8"/>
      <c r="P136" s="8"/>
      <c r="Q136" s="8"/>
      <c r="R136" s="8"/>
      <c r="S136" s="8"/>
      <c r="T136" s="8"/>
      <c r="U136" s="8"/>
      <c r="V136" s="8"/>
      <c r="W136" s="8"/>
      <c r="X136" s="8"/>
      <c r="Y136" s="8"/>
      <c r="Z136" s="8"/>
      <c r="AA136" s="8"/>
      <c r="AB136" s="8"/>
      <c r="AC136" s="8"/>
    </row>
    <row r="137" spans="1:29" ht="15">
      <c r="A137" s="58"/>
      <c r="B137" s="69">
        <v>107</v>
      </c>
      <c r="C137" s="43" t="s">
        <v>333</v>
      </c>
      <c r="D137" s="69">
        <v>1.09131592788748</v>
      </c>
      <c r="E137" s="69">
        <v>0.71786700070932896</v>
      </c>
      <c r="F137" s="71">
        <f t="shared" si="2"/>
        <v>71.786700070932895</v>
      </c>
      <c r="G137" s="84">
        <f t="shared" si="3"/>
        <v>734.3779417256435</v>
      </c>
      <c r="H137" s="43"/>
      <c r="I137" s="8"/>
      <c r="J137" s="8"/>
      <c r="K137" s="8"/>
      <c r="L137" s="8"/>
      <c r="M137" s="8"/>
      <c r="N137" s="8"/>
      <c r="O137" s="8"/>
      <c r="P137" s="8"/>
      <c r="Q137" s="8"/>
      <c r="R137" s="8"/>
      <c r="S137" s="8"/>
      <c r="T137" s="8"/>
      <c r="U137" s="8"/>
      <c r="V137" s="8"/>
      <c r="W137" s="8"/>
      <c r="X137" s="8"/>
      <c r="Y137" s="8"/>
      <c r="Z137" s="8"/>
      <c r="AA137" s="8"/>
      <c r="AB137" s="8"/>
      <c r="AC137" s="8"/>
    </row>
    <row r="138" spans="1:29" ht="15">
      <c r="A138" s="58"/>
      <c r="B138" s="69">
        <v>108</v>
      </c>
      <c r="C138" s="43" t="s">
        <v>334</v>
      </c>
      <c r="D138" s="69">
        <v>1.16964345075297</v>
      </c>
      <c r="E138" s="69">
        <v>0.72808856594246996</v>
      </c>
      <c r="F138" s="71">
        <f t="shared" si="2"/>
        <v>72.80885659424699</v>
      </c>
      <c r="G138" s="84">
        <f t="shared" si="3"/>
        <v>744.83460295914676</v>
      </c>
      <c r="H138" s="43"/>
      <c r="I138" s="8"/>
      <c r="J138" s="8"/>
      <c r="K138" s="8"/>
      <c r="L138" s="8"/>
      <c r="M138" s="8"/>
      <c r="N138" s="8"/>
      <c r="O138" s="8"/>
      <c r="P138" s="8"/>
      <c r="Q138" s="8"/>
      <c r="R138" s="8"/>
      <c r="S138" s="8"/>
      <c r="T138" s="8"/>
      <c r="U138" s="8"/>
      <c r="V138" s="8"/>
      <c r="W138" s="8"/>
      <c r="X138" s="8"/>
      <c r="Y138" s="8"/>
      <c r="Z138" s="8"/>
      <c r="AA138" s="8"/>
      <c r="AB138" s="8"/>
      <c r="AC138" s="8"/>
    </row>
    <row r="139" spans="1:29" ht="15">
      <c r="A139" s="58"/>
      <c r="B139" s="69">
        <v>109</v>
      </c>
      <c r="C139" s="43" t="s">
        <v>335</v>
      </c>
      <c r="D139" s="69">
        <v>1.2535928111464101</v>
      </c>
      <c r="E139" s="69">
        <v>0.738320315096474</v>
      </c>
      <c r="F139" s="71">
        <f t="shared" si="2"/>
        <v>73.832031509647393</v>
      </c>
      <c r="G139" s="84">
        <f t="shared" si="3"/>
        <v>755.30168234369285</v>
      </c>
      <c r="H139" s="43"/>
      <c r="I139" s="8"/>
      <c r="J139" s="8"/>
      <c r="K139" s="8"/>
      <c r="L139" s="8"/>
      <c r="M139" s="8"/>
      <c r="N139" s="8"/>
      <c r="O139" s="8"/>
      <c r="P139" s="8"/>
      <c r="Q139" s="8"/>
      <c r="R139" s="8"/>
      <c r="S139" s="8"/>
      <c r="T139" s="8"/>
      <c r="U139" s="8"/>
      <c r="V139" s="8"/>
      <c r="W139" s="8"/>
      <c r="X139" s="8"/>
      <c r="Y139" s="8"/>
      <c r="Z139" s="8"/>
      <c r="AA139" s="8"/>
      <c r="AB139" s="8"/>
      <c r="AC139" s="8"/>
    </row>
    <row r="140" spans="1:29" ht="15">
      <c r="A140" s="58"/>
      <c r="B140" s="69">
        <v>110</v>
      </c>
      <c r="C140" s="43" t="s">
        <v>336</v>
      </c>
      <c r="D140" s="69">
        <v>1.3435675078130001</v>
      </c>
      <c r="E140" s="69">
        <v>0.74856158465523104</v>
      </c>
      <c r="F140" s="71">
        <f t="shared" si="2"/>
        <v>74.856158465523109</v>
      </c>
      <c r="G140" s="84">
        <f t="shared" si="3"/>
        <v>765.77850110230133</v>
      </c>
      <c r="H140" s="43"/>
      <c r="I140" s="8"/>
      <c r="J140" s="8"/>
      <c r="K140" s="8"/>
      <c r="L140" s="8"/>
      <c r="M140" s="8"/>
      <c r="N140" s="8"/>
      <c r="O140" s="8"/>
      <c r="P140" s="8"/>
      <c r="Q140" s="8"/>
      <c r="R140" s="8"/>
      <c r="S140" s="8"/>
      <c r="T140" s="8"/>
      <c r="U140" s="8"/>
      <c r="V140" s="8"/>
      <c r="W140" s="8"/>
      <c r="X140" s="8"/>
      <c r="Y140" s="8"/>
      <c r="Z140" s="8"/>
      <c r="AA140" s="8"/>
      <c r="AB140" s="8"/>
      <c r="AC140" s="8"/>
    </row>
    <row r="141" spans="1:29" ht="15">
      <c r="A141" s="58"/>
      <c r="B141" s="69">
        <v>111</v>
      </c>
      <c r="C141" s="43" t="s">
        <v>337</v>
      </c>
      <c r="D141" s="69">
        <v>1.44</v>
      </c>
      <c r="E141" s="69">
        <v>0.758811752923778</v>
      </c>
      <c r="F141" s="71">
        <f t="shared" si="2"/>
        <v>75.881175292377804</v>
      </c>
      <c r="G141" s="84">
        <f t="shared" si="3"/>
        <v>776.26442324102493</v>
      </c>
      <c r="H141" s="43"/>
      <c r="I141" s="8"/>
      <c r="J141" s="8"/>
      <c r="K141" s="8"/>
      <c r="L141" s="8"/>
      <c r="M141" s="8"/>
      <c r="N141" s="8"/>
      <c r="O141" s="8"/>
      <c r="P141" s="8"/>
      <c r="Q141" s="8"/>
      <c r="R141" s="8"/>
      <c r="S141" s="8"/>
      <c r="T141" s="8"/>
      <c r="U141" s="8"/>
      <c r="V141" s="8"/>
      <c r="W141" s="8"/>
      <c r="X141" s="8"/>
      <c r="Y141" s="8"/>
      <c r="Z141" s="8"/>
      <c r="AA141" s="8"/>
      <c r="AB141" s="8"/>
      <c r="AC141" s="8"/>
    </row>
    <row r="142" spans="1:29" ht="15">
      <c r="A142" s="58"/>
      <c r="B142" s="69">
        <v>112</v>
      </c>
      <c r="C142" s="43" t="s">
        <v>338</v>
      </c>
      <c r="D142" s="69">
        <v>1.5433537860522599</v>
      </c>
      <c r="E142" s="69">
        <v>0.76907023801472296</v>
      </c>
      <c r="F142" s="71">
        <f t="shared" si="2"/>
        <v>76.907023801472292</v>
      </c>
      <c r="G142" s="84">
        <f t="shared" si="3"/>
        <v>786.75885348906161</v>
      </c>
      <c r="H142" s="43"/>
      <c r="I142" s="8"/>
      <c r="J142" s="8"/>
      <c r="K142" s="8"/>
      <c r="L142" s="8"/>
      <c r="M142" s="8"/>
      <c r="N142" s="8"/>
      <c r="O142" s="8"/>
      <c r="P142" s="8"/>
      <c r="Q142" s="8"/>
      <c r="R142" s="8"/>
      <c r="S142" s="8"/>
      <c r="T142" s="8"/>
      <c r="U142" s="8"/>
      <c r="V142" s="8"/>
      <c r="W142" s="8"/>
      <c r="X142" s="8"/>
      <c r="Y142" s="8"/>
      <c r="Z142" s="8"/>
      <c r="AA142" s="8"/>
      <c r="AB142" s="8"/>
      <c r="AC142" s="8"/>
    </row>
    <row r="143" spans="1:29" ht="15">
      <c r="A143" s="58"/>
      <c r="B143" s="69">
        <v>113</v>
      </c>
      <c r="C143" s="43" t="s">
        <v>339</v>
      </c>
      <c r="D143" s="69">
        <v>1.65412563119573</v>
      </c>
      <c r="E143" s="69">
        <v>0.77933649513810699</v>
      </c>
      <c r="F143" s="71">
        <f t="shared" si="2"/>
        <v>77.933649513810693</v>
      </c>
      <c r="G143" s="84">
        <f t="shared" si="3"/>
        <v>797.26123452628349</v>
      </c>
      <c r="H143" s="43"/>
      <c r="I143" s="8"/>
      <c r="J143" s="8"/>
      <c r="K143" s="8"/>
      <c r="L143" s="8"/>
      <c r="M143" s="8"/>
      <c r="N143" s="8"/>
      <c r="O143" s="8"/>
      <c r="P143" s="8"/>
      <c r="Q143" s="8"/>
      <c r="R143" s="8"/>
      <c r="S143" s="8"/>
      <c r="T143" s="8"/>
      <c r="U143" s="8"/>
      <c r="V143" s="8"/>
      <c r="W143" s="8"/>
      <c r="X143" s="8"/>
      <c r="Y143" s="8"/>
      <c r="Z143" s="8"/>
      <c r="AA143" s="8"/>
      <c r="AB143" s="8"/>
      <c r="AC143" s="8"/>
    </row>
    <row r="144" spans="1:29" ht="15">
      <c r="A144" s="58"/>
      <c r="B144" s="69">
        <v>114</v>
      </c>
      <c r="C144" s="43" t="s">
        <v>340</v>
      </c>
      <c r="D144" s="69">
        <v>1.77284795521667</v>
      </c>
      <c r="E144" s="69">
        <v>0.78961001447474599</v>
      </c>
      <c r="F144" s="71">
        <f t="shared" si="2"/>
        <v>78.961001447474601</v>
      </c>
      <c r="G144" s="84">
        <f t="shared" si="3"/>
        <v>807.77104480766513</v>
      </c>
      <c r="H144" s="43"/>
      <c r="I144" s="8"/>
      <c r="J144" s="8"/>
      <c r="K144" s="8"/>
      <c r="L144" s="8"/>
      <c r="M144" s="8"/>
      <c r="N144" s="8"/>
      <c r="O144" s="8"/>
      <c r="P144" s="8"/>
      <c r="Q144" s="8"/>
      <c r="R144" s="8"/>
      <c r="S144" s="8"/>
      <c r="T144" s="8"/>
      <c r="U144" s="8"/>
      <c r="V144" s="8"/>
      <c r="W144" s="8"/>
      <c r="X144" s="8"/>
      <c r="Y144" s="8"/>
      <c r="Z144" s="8"/>
      <c r="AA144" s="8"/>
      <c r="AB144" s="8"/>
      <c r="AC144" s="8"/>
    </row>
    <row r="145" spans="1:29" ht="15">
      <c r="A145" s="58"/>
      <c r="B145" s="69">
        <v>115</v>
      </c>
      <c r="C145" s="43" t="s">
        <v>341</v>
      </c>
      <c r="D145" s="69">
        <v>1.90009139151296</v>
      </c>
      <c r="E145" s="69">
        <v>0.79989031901664098</v>
      </c>
      <c r="F145" s="71">
        <f t="shared" si="2"/>
        <v>79.989031901664092</v>
      </c>
      <c r="G145" s="84">
        <f t="shared" si="3"/>
        <v>818.28779635402373</v>
      </c>
      <c r="H145" s="43"/>
      <c r="I145" s="8"/>
      <c r="J145" s="8"/>
      <c r="K145" s="8"/>
      <c r="L145" s="8"/>
      <c r="M145" s="8"/>
      <c r="N145" s="8"/>
      <c r="O145" s="8"/>
      <c r="P145" s="8"/>
      <c r="Q145" s="8"/>
      <c r="R145" s="8"/>
      <c r="S145" s="8"/>
      <c r="T145" s="8"/>
      <c r="U145" s="8"/>
      <c r="V145" s="8"/>
      <c r="W145" s="8"/>
      <c r="X145" s="8"/>
      <c r="Y145" s="8"/>
      <c r="Z145" s="8"/>
      <c r="AA145" s="8"/>
      <c r="AB145" s="8"/>
      <c r="AC145" s="8"/>
    </row>
    <row r="146" spans="1:29" ht="15">
      <c r="A146" s="58"/>
      <c r="B146" s="69">
        <v>116</v>
      </c>
      <c r="C146" s="43" t="s">
        <v>342</v>
      </c>
      <c r="D146" s="69">
        <v>2.0364675298172501</v>
      </c>
      <c r="E146" s="69">
        <v>0.81017696233558101</v>
      </c>
      <c r="F146" s="71">
        <f t="shared" si="2"/>
        <v>81.017696233558098</v>
      </c>
      <c r="G146" s="84">
        <f t="shared" si="3"/>
        <v>828.81103246929933</v>
      </c>
      <c r="H146" s="43"/>
      <c r="I146" s="8"/>
      <c r="J146" s="8"/>
      <c r="K146" s="8"/>
      <c r="L146" s="8"/>
      <c r="M146" s="8"/>
      <c r="N146" s="8"/>
      <c r="O146" s="8"/>
      <c r="P146" s="8"/>
      <c r="Q146" s="8"/>
      <c r="R146" s="8"/>
      <c r="S146" s="8"/>
      <c r="T146" s="8"/>
      <c r="U146" s="8"/>
      <c r="V146" s="8"/>
      <c r="W146" s="8"/>
      <c r="X146" s="8"/>
      <c r="Y146" s="8"/>
      <c r="Z146" s="8"/>
      <c r="AA146" s="8"/>
      <c r="AB146" s="8"/>
      <c r="AC146" s="8"/>
    </row>
    <row r="147" spans="1:29" ht="15">
      <c r="A147" s="58"/>
      <c r="B147" s="69">
        <v>117</v>
      </c>
      <c r="C147" s="43" t="s">
        <v>343</v>
      </c>
      <c r="D147" s="69">
        <v>2.1826318557749702</v>
      </c>
      <c r="E147" s="69">
        <v>0.82046952710100796</v>
      </c>
      <c r="F147" s="71">
        <f t="shared" si="2"/>
        <v>82.046952710100797</v>
      </c>
      <c r="G147" s="84">
        <f t="shared" si="3"/>
        <v>839.34032622433119</v>
      </c>
      <c r="H147" s="43"/>
      <c r="I147" s="8"/>
      <c r="J147" s="8"/>
      <c r="K147" s="8"/>
      <c r="L147" s="8"/>
      <c r="M147" s="8"/>
      <c r="N147" s="8"/>
      <c r="O147" s="8"/>
      <c r="P147" s="8"/>
      <c r="Q147" s="8"/>
      <c r="R147" s="8"/>
      <c r="S147" s="8"/>
      <c r="T147" s="8"/>
      <c r="U147" s="8"/>
      <c r="V147" s="8"/>
      <c r="W147" s="8"/>
      <c r="X147" s="8"/>
      <c r="Y147" s="8"/>
      <c r="Z147" s="8"/>
      <c r="AA147" s="8"/>
      <c r="AB147" s="8"/>
      <c r="AC147" s="8"/>
    </row>
    <row r="148" spans="1:29" ht="15">
      <c r="A148" s="58"/>
      <c r="B148" s="69">
        <v>118</v>
      </c>
      <c r="C148" s="43" t="s">
        <v>344</v>
      </c>
      <c r="D148" s="69">
        <v>2.3392869015059499</v>
      </c>
      <c r="E148" s="69">
        <v>0.83076762291398698</v>
      </c>
      <c r="F148" s="71">
        <f t="shared" si="2"/>
        <v>83.076762291398694</v>
      </c>
      <c r="G148" s="84">
        <f t="shared" si="3"/>
        <v>849.87527824100869</v>
      </c>
      <c r="H148" s="43"/>
      <c r="I148" s="8"/>
      <c r="J148" s="8"/>
      <c r="K148" s="8"/>
      <c r="L148" s="8"/>
      <c r="M148" s="8"/>
      <c r="N148" s="8"/>
      <c r="O148" s="8"/>
      <c r="P148" s="8"/>
      <c r="Q148" s="8"/>
      <c r="R148" s="8"/>
      <c r="S148" s="8"/>
      <c r="T148" s="8"/>
      <c r="U148" s="8"/>
      <c r="V148" s="8"/>
      <c r="W148" s="8"/>
      <c r="X148" s="8"/>
      <c r="Y148" s="8"/>
      <c r="Z148" s="8"/>
      <c r="AA148" s="8"/>
      <c r="AB148" s="8"/>
      <c r="AC148" s="8"/>
    </row>
    <row r="149" spans="1:29" ht="15">
      <c r="A149" s="58"/>
      <c r="B149" s="69">
        <v>119</v>
      </c>
      <c r="C149" s="43" t="s">
        <v>345</v>
      </c>
      <c r="D149" s="69">
        <v>2.5071856222928299</v>
      </c>
      <c r="E149" s="69">
        <v>0.84107088466440205</v>
      </c>
      <c r="F149" s="71">
        <f t="shared" si="2"/>
        <v>84.107088466440203</v>
      </c>
      <c r="G149" s="84">
        <f t="shared" si="3"/>
        <v>860.41551501168328</v>
      </c>
      <c r="H149" s="43"/>
      <c r="I149" s="8"/>
      <c r="J149" s="8"/>
      <c r="K149" s="8"/>
      <c r="L149" s="8"/>
      <c r="M149" s="8"/>
      <c r="N149" s="8"/>
      <c r="O149" s="8"/>
      <c r="P149" s="8"/>
      <c r="Q149" s="8"/>
      <c r="R149" s="8"/>
      <c r="S149" s="8"/>
      <c r="T149" s="8"/>
      <c r="U149" s="8"/>
      <c r="V149" s="8"/>
      <c r="W149" s="8"/>
      <c r="X149" s="8"/>
      <c r="Y149" s="8"/>
      <c r="Z149" s="8"/>
      <c r="AA149" s="8"/>
      <c r="AB149" s="8"/>
      <c r="AC149" s="8"/>
    </row>
    <row r="150" spans="1:29" ht="15">
      <c r="A150" s="58"/>
      <c r="B150" s="69">
        <v>120</v>
      </c>
      <c r="C150" s="43" t="s">
        <v>346</v>
      </c>
      <c r="D150" s="69">
        <v>2.6871350156260001</v>
      </c>
      <c r="E150" s="69">
        <v>0.851378971230213</v>
      </c>
      <c r="F150" s="71">
        <f t="shared" si="2"/>
        <v>85.137897123021304</v>
      </c>
      <c r="G150" s="84">
        <f t="shared" si="3"/>
        <v>870.96068756850786</v>
      </c>
      <c r="H150" s="43"/>
      <c r="I150" s="8"/>
      <c r="J150" s="8"/>
      <c r="K150" s="8"/>
      <c r="L150" s="8"/>
      <c r="M150" s="8"/>
      <c r="N150" s="8"/>
      <c r="O150" s="8"/>
      <c r="P150" s="8"/>
      <c r="Q150" s="8"/>
      <c r="R150" s="8"/>
      <c r="S150" s="8"/>
      <c r="T150" s="8"/>
      <c r="U150" s="8"/>
      <c r="V150" s="8"/>
      <c r="W150" s="8"/>
      <c r="X150" s="8"/>
      <c r="Y150" s="8"/>
      <c r="Z150" s="8"/>
      <c r="AA150" s="8"/>
      <c r="AB150" s="8"/>
      <c r="AC150" s="8"/>
    </row>
    <row r="151" spans="1:29" ht="15">
      <c r="A151" s="58"/>
      <c r="B151" s="69">
        <v>121</v>
      </c>
      <c r="C151" s="43" t="s">
        <v>347</v>
      </c>
      <c r="D151" s="69">
        <v>2.88</v>
      </c>
      <c r="E151" s="69">
        <v>0.86169156344639297</v>
      </c>
      <c r="F151" s="71">
        <f t="shared" si="2"/>
        <v>86.169156344639291</v>
      </c>
      <c r="G151" s="84">
        <f t="shared" si="3"/>
        <v>881.51046940566005</v>
      </c>
      <c r="H151" s="43"/>
      <c r="I151" s="8"/>
      <c r="J151" s="8"/>
      <c r="K151" s="8"/>
      <c r="L151" s="8"/>
      <c r="M151" s="8"/>
      <c r="N151" s="8"/>
      <c r="O151" s="8"/>
      <c r="P151" s="8"/>
      <c r="Q151" s="8"/>
      <c r="R151" s="8"/>
      <c r="S151" s="8"/>
      <c r="T151" s="8"/>
      <c r="U151" s="8"/>
      <c r="V151" s="8"/>
      <c r="W151" s="8"/>
      <c r="X151" s="8"/>
      <c r="Y151" s="8"/>
      <c r="Z151" s="8"/>
      <c r="AA151" s="8"/>
      <c r="AB151" s="8"/>
      <c r="AC151" s="8"/>
    </row>
    <row r="152" spans="1:29" ht="15">
      <c r="A152" s="58"/>
      <c r="B152" s="69">
        <v>122</v>
      </c>
      <c r="C152" s="43" t="s">
        <v>348</v>
      </c>
      <c r="D152" s="69">
        <v>3.0867075721045198</v>
      </c>
      <c r="E152" s="69">
        <v>0.87200836320846298</v>
      </c>
      <c r="F152" s="71">
        <f t="shared" si="2"/>
        <v>87.200836320846292</v>
      </c>
      <c r="G152" s="84">
        <f t="shared" si="3"/>
        <v>892.06455556225762</v>
      </c>
      <c r="H152" s="43"/>
      <c r="I152" s="8"/>
      <c r="J152" s="8"/>
      <c r="K152" s="8"/>
      <c r="L152" s="8"/>
      <c r="M152" s="8"/>
      <c r="N152" s="8"/>
      <c r="O152" s="8"/>
      <c r="P152" s="8"/>
      <c r="Q152" s="8"/>
      <c r="R152" s="8"/>
      <c r="S152" s="8"/>
      <c r="T152" s="8"/>
      <c r="U152" s="8"/>
      <c r="V152" s="8"/>
      <c r="W152" s="8"/>
      <c r="X152" s="8"/>
      <c r="Y152" s="8"/>
      <c r="Z152" s="8"/>
      <c r="AA152" s="8"/>
      <c r="AB152" s="8"/>
      <c r="AC152" s="8"/>
    </row>
    <row r="153" spans="1:29" ht="15">
      <c r="A153" s="58"/>
      <c r="B153" s="69">
        <v>123</v>
      </c>
      <c r="C153" s="43" t="s">
        <v>349</v>
      </c>
      <c r="D153" s="69">
        <v>3.3082512623914599</v>
      </c>
      <c r="E153" s="69">
        <v>0.882329091826071</v>
      </c>
      <c r="F153" s="71">
        <f t="shared" si="2"/>
        <v>88.232909182607102</v>
      </c>
      <c r="G153" s="84">
        <f t="shared" si="3"/>
        <v>902.62266093807068</v>
      </c>
      <c r="H153" s="43"/>
      <c r="I153" s="8"/>
      <c r="J153" s="8"/>
      <c r="K153" s="8"/>
      <c r="L153" s="8"/>
      <c r="M153" s="8"/>
      <c r="N153" s="8"/>
      <c r="O153" s="8"/>
      <c r="P153" s="8"/>
      <c r="Q153" s="8"/>
      <c r="R153" s="8"/>
      <c r="S153" s="8"/>
      <c r="T153" s="8"/>
      <c r="U153" s="8"/>
      <c r="V153" s="8"/>
      <c r="W153" s="8"/>
      <c r="X153" s="8"/>
      <c r="Y153" s="8"/>
      <c r="Z153" s="8"/>
      <c r="AA153" s="8"/>
      <c r="AB153" s="8"/>
      <c r="AC153" s="8"/>
    </row>
    <row r="154" spans="1:29" ht="15">
      <c r="A154" s="58"/>
      <c r="B154" s="69">
        <v>124</v>
      </c>
      <c r="C154" s="43" t="s">
        <v>350</v>
      </c>
      <c r="D154" s="69">
        <v>3.5456959104333499</v>
      </c>
      <c r="E154" s="69">
        <v>0.892653488915091</v>
      </c>
      <c r="F154" s="71">
        <f t="shared" si="2"/>
        <v>89.265348891509106</v>
      </c>
      <c r="G154" s="84">
        <f t="shared" si="3"/>
        <v>913.18451916013805</v>
      </c>
      <c r="H154" s="43"/>
      <c r="I154" s="8"/>
      <c r="J154" s="8"/>
      <c r="K154" s="8"/>
      <c r="L154" s="8"/>
      <c r="M154" s="8"/>
      <c r="N154" s="8"/>
      <c r="O154" s="8"/>
      <c r="P154" s="8"/>
      <c r="Q154" s="8"/>
      <c r="R154" s="8"/>
      <c r="S154" s="8"/>
      <c r="T154" s="8"/>
      <c r="U154" s="8"/>
      <c r="V154" s="8"/>
      <c r="W154" s="8"/>
      <c r="X154" s="8"/>
      <c r="Y154" s="8"/>
      <c r="Z154" s="8"/>
      <c r="AA154" s="8"/>
      <c r="AB154" s="8"/>
      <c r="AC154" s="8"/>
    </row>
    <row r="155" spans="1:29" ht="15">
      <c r="A155" s="58"/>
      <c r="B155" s="69">
        <v>125</v>
      </c>
      <c r="C155" s="43" t="s">
        <v>351</v>
      </c>
      <c r="D155" s="69">
        <v>3.8001827830259298</v>
      </c>
      <c r="E155" s="69">
        <v>0.90298131116902702</v>
      </c>
      <c r="F155" s="71">
        <f t="shared" si="2"/>
        <v>90.298131116902709</v>
      </c>
      <c r="G155" s="84">
        <f t="shared" si="3"/>
        <v>923.74988132591466</v>
      </c>
      <c r="H155" s="43"/>
      <c r="I155" s="8"/>
      <c r="J155" s="8"/>
      <c r="K155" s="8"/>
      <c r="L155" s="8"/>
      <c r="M155" s="8"/>
      <c r="N155" s="8"/>
      <c r="O155" s="8"/>
      <c r="P155" s="8"/>
      <c r="Q155" s="8"/>
      <c r="R155" s="8"/>
      <c r="S155" s="8"/>
      <c r="T155" s="8"/>
      <c r="U155" s="8"/>
      <c r="V155" s="8"/>
      <c r="W155" s="8"/>
      <c r="X155" s="8"/>
      <c r="Y155" s="8"/>
      <c r="Z155" s="8"/>
      <c r="AA155" s="8"/>
      <c r="AB155" s="8"/>
      <c r="AC155" s="8"/>
    </row>
    <row r="156" spans="1:29" ht="15">
      <c r="A156" s="58"/>
      <c r="B156" s="69">
        <v>126</v>
      </c>
      <c r="C156" s="43" t="s">
        <v>352</v>
      </c>
      <c r="D156" s="69">
        <v>4.07293505963451</v>
      </c>
      <c r="E156" s="69">
        <v>0.91331233124631195</v>
      </c>
      <c r="F156" s="71">
        <f t="shared" si="2"/>
        <v>91.331233124631197</v>
      </c>
      <c r="G156" s="84">
        <f t="shared" si="3"/>
        <v>934.31851486497715</v>
      </c>
      <c r="H156" s="43"/>
      <c r="I156" s="8"/>
      <c r="J156" s="8"/>
      <c r="K156" s="8"/>
      <c r="L156" s="8"/>
      <c r="M156" s="8"/>
      <c r="N156" s="8"/>
      <c r="O156" s="8"/>
      <c r="P156" s="8"/>
      <c r="Q156" s="8"/>
      <c r="R156" s="8"/>
      <c r="S156" s="8"/>
      <c r="T156" s="8"/>
      <c r="U156" s="8"/>
      <c r="V156" s="8"/>
      <c r="W156" s="8"/>
      <c r="X156" s="8"/>
      <c r="Y156" s="8"/>
      <c r="Z156" s="8"/>
      <c r="AA156" s="8"/>
      <c r="AB156" s="8"/>
      <c r="AC156" s="8"/>
    </row>
    <row r="157" spans="1:29" ht="15">
      <c r="A157" s="58"/>
      <c r="B157" s="69">
        <v>127</v>
      </c>
      <c r="C157" s="43" t="s">
        <v>353</v>
      </c>
      <c r="D157" s="69">
        <v>4.3652637115499404</v>
      </c>
      <c r="E157" s="69">
        <v>0.92364633677553798</v>
      </c>
      <c r="F157" s="71">
        <f t="shared" si="2"/>
        <v>92.364633677553797</v>
      </c>
      <c r="G157" s="84">
        <f t="shared" si="3"/>
        <v>944.89020252137539</v>
      </c>
      <c r="H157" s="43"/>
      <c r="I157" s="8"/>
      <c r="J157" s="8"/>
      <c r="K157" s="8"/>
      <c r="L157" s="8"/>
      <c r="M157" s="8"/>
      <c r="N157" s="8"/>
      <c r="O157" s="8"/>
      <c r="P157" s="8"/>
      <c r="Q157" s="8"/>
      <c r="R157" s="8"/>
      <c r="S157" s="8"/>
      <c r="T157" s="8"/>
      <c r="U157" s="8"/>
      <c r="V157" s="8"/>
      <c r="W157" s="8"/>
      <c r="X157" s="8"/>
      <c r="Y157" s="8"/>
      <c r="Z157" s="8"/>
      <c r="AA157" s="8"/>
      <c r="AB157" s="8"/>
      <c r="AC157" s="8"/>
    </row>
    <row r="158" spans="1:29" ht="15">
      <c r="A158" s="58"/>
      <c r="B158" s="69">
        <v>128</v>
      </c>
      <c r="C158" s="43" t="s">
        <v>354</v>
      </c>
      <c r="D158" s="69">
        <v>4.6785738030119104</v>
      </c>
      <c r="E158" s="69">
        <v>0.93398312938080197</v>
      </c>
      <c r="F158" s="71">
        <f t="shared" si="2"/>
        <v>93.398312938080196</v>
      </c>
      <c r="G158" s="84">
        <f t="shared" si="3"/>
        <v>955.46474135656047</v>
      </c>
      <c r="H158" s="43"/>
      <c r="I158" s="8"/>
      <c r="J158" s="8"/>
      <c r="K158" s="8"/>
      <c r="L158" s="8"/>
      <c r="M158" s="8"/>
      <c r="N158" s="8"/>
      <c r="O158" s="8"/>
      <c r="P158" s="8"/>
      <c r="Q158" s="8"/>
      <c r="R158" s="8"/>
      <c r="S158" s="8"/>
      <c r="T158" s="8"/>
      <c r="U158" s="8"/>
      <c r="V158" s="8"/>
      <c r="W158" s="8"/>
      <c r="X158" s="8"/>
      <c r="Y158" s="8"/>
      <c r="Z158" s="8"/>
      <c r="AA158" s="8"/>
      <c r="AB158" s="8"/>
      <c r="AC158" s="8"/>
    </row>
    <row r="159" spans="1:29" ht="15">
      <c r="A159" s="58"/>
      <c r="B159" s="69">
        <v>129</v>
      </c>
      <c r="C159" s="43" t="s">
        <v>355</v>
      </c>
      <c r="D159" s="69">
        <v>5.0143712445856696</v>
      </c>
      <c r="E159" s="69">
        <v>0.94432252382158099</v>
      </c>
      <c r="F159" s="71">
        <f t="shared" si="2"/>
        <v>94.432252382158097</v>
      </c>
      <c r="G159" s="84">
        <f t="shared" si="3"/>
        <v>966.04194186947734</v>
      </c>
      <c r="H159" s="43"/>
      <c r="I159" s="8"/>
      <c r="J159" s="8"/>
      <c r="K159" s="8"/>
      <c r="L159" s="8"/>
      <c r="M159" s="8"/>
      <c r="N159" s="8"/>
      <c r="O159" s="8"/>
      <c r="P159" s="8"/>
      <c r="Q159" s="8"/>
      <c r="R159" s="8"/>
      <c r="S159" s="8"/>
      <c r="T159" s="8"/>
      <c r="U159" s="8"/>
      <c r="V159" s="8"/>
      <c r="W159" s="8"/>
      <c r="X159" s="8"/>
      <c r="Y159" s="8"/>
      <c r="Z159" s="8"/>
      <c r="AA159" s="8"/>
      <c r="AB159" s="8"/>
      <c r="AC159" s="8"/>
    </row>
    <row r="160" spans="1:29" ht="15">
      <c r="A160" s="58"/>
      <c r="B160" s="69">
        <v>130</v>
      </c>
      <c r="C160" s="43" t="s">
        <v>356</v>
      </c>
      <c r="D160" s="69">
        <v>5.37427003125201</v>
      </c>
      <c r="E160" s="69">
        <v>0.95466434698403702</v>
      </c>
      <c r="F160" s="71">
        <f t="shared" si="2"/>
        <v>95.466434698403702</v>
      </c>
      <c r="G160" s="84">
        <f t="shared" si="3"/>
        <v>976.62162696466987</v>
      </c>
      <c r="H160" s="43"/>
      <c r="I160" s="8"/>
      <c r="J160" s="8"/>
      <c r="K160" s="8"/>
      <c r="L160" s="8"/>
      <c r="M160" s="8"/>
      <c r="N160" s="8"/>
      <c r="O160" s="8"/>
      <c r="P160" s="8"/>
      <c r="Q160" s="8"/>
      <c r="R160" s="8"/>
      <c r="S160" s="8"/>
      <c r="T160" s="8"/>
      <c r="U160" s="8"/>
      <c r="V160" s="8"/>
      <c r="W160" s="8"/>
      <c r="X160" s="8"/>
      <c r="Y160" s="8"/>
      <c r="Z160" s="8"/>
      <c r="AA160" s="8"/>
      <c r="AB160" s="8"/>
      <c r="AC160" s="8"/>
    </row>
    <row r="161" spans="1:29" ht="15">
      <c r="A161" s="58"/>
      <c r="B161" s="69">
        <v>131</v>
      </c>
      <c r="C161" s="43" t="s">
        <v>357</v>
      </c>
      <c r="D161" s="69">
        <v>5.76</v>
      </c>
      <c r="E161" s="69">
        <v>0.96500843730976804</v>
      </c>
      <c r="F161" s="71">
        <f t="shared" si="2"/>
        <v>96.500843730976811</v>
      </c>
      <c r="G161" s="84">
        <f t="shared" si="3"/>
        <v>987.20363136789274</v>
      </c>
      <c r="H161" s="43"/>
      <c r="I161" s="8"/>
      <c r="J161" s="8"/>
      <c r="K161" s="8"/>
      <c r="L161" s="8"/>
      <c r="M161" s="8"/>
      <c r="N161" s="8"/>
      <c r="O161" s="8"/>
      <c r="P161" s="8"/>
      <c r="Q161" s="8"/>
      <c r="R161" s="8"/>
      <c r="S161" s="8"/>
      <c r="T161" s="8"/>
      <c r="U161" s="8"/>
      <c r="V161" s="8"/>
      <c r="W161" s="8"/>
      <c r="X161" s="8"/>
      <c r="Y161" s="8"/>
      <c r="Z161" s="8"/>
      <c r="AA161" s="8"/>
      <c r="AB161" s="8"/>
      <c r="AC161" s="8"/>
    </row>
    <row r="162" spans="1:29" ht="15">
      <c r="A162" s="58"/>
      <c r="B162" s="69">
        <v>132</v>
      </c>
      <c r="C162" s="43" t="s">
        <v>358</v>
      </c>
      <c r="D162" s="69">
        <v>6.1734151442090397</v>
      </c>
      <c r="E162" s="69">
        <v>0.97535464383394699</v>
      </c>
      <c r="F162" s="71">
        <f t="shared" si="2"/>
        <v>97.535464383394697</v>
      </c>
      <c r="G162" s="84">
        <f t="shared" si="3"/>
        <v>997.78780064212776</v>
      </c>
      <c r="H162" s="43"/>
      <c r="I162" s="8"/>
      <c r="J162" s="8"/>
      <c r="K162" s="8"/>
      <c r="L162" s="8"/>
      <c r="M162" s="8"/>
      <c r="N162" s="8"/>
      <c r="O162" s="8"/>
      <c r="P162" s="8"/>
      <c r="Q162" s="8"/>
      <c r="R162" s="8"/>
      <c r="S162" s="8"/>
      <c r="T162" s="8"/>
      <c r="U162" s="8"/>
      <c r="V162" s="8"/>
      <c r="W162" s="8"/>
      <c r="X162" s="8"/>
      <c r="Y162" s="8"/>
      <c r="Z162" s="8"/>
      <c r="AA162" s="8"/>
      <c r="AB162" s="8"/>
      <c r="AC162" s="8"/>
    </row>
    <row r="163" spans="1:29" ht="15">
      <c r="A163" s="58"/>
      <c r="B163" s="69">
        <v>133</v>
      </c>
      <c r="C163" s="43" t="s">
        <v>359</v>
      </c>
      <c r="D163" s="69">
        <v>6.6165025247829199</v>
      </c>
      <c r="E163" s="69">
        <v>0.98570282564864797</v>
      </c>
      <c r="F163" s="71">
        <f t="shared" si="2"/>
        <v>98.570282564864797</v>
      </c>
      <c r="G163" s="84">
        <f t="shared" si="3"/>
        <v>1008.3739906385669</v>
      </c>
      <c r="H163" s="43"/>
      <c r="I163" s="8"/>
      <c r="J163" s="8"/>
      <c r="K163" s="8"/>
      <c r="L163" s="8"/>
      <c r="M163" s="8"/>
      <c r="N163" s="8"/>
      <c r="O163" s="8"/>
      <c r="P163" s="8"/>
      <c r="Q163" s="8"/>
      <c r="R163" s="8"/>
      <c r="S163" s="8"/>
      <c r="T163" s="8"/>
      <c r="U163" s="8"/>
      <c r="V163" s="8"/>
      <c r="W163" s="8"/>
      <c r="X163" s="8"/>
      <c r="Y163" s="8"/>
      <c r="Z163" s="8"/>
      <c r="AA163" s="8"/>
      <c r="AB163" s="8"/>
      <c r="AC163" s="8"/>
    </row>
    <row r="164" spans="1:29" ht="15">
      <c r="A164" s="58"/>
      <c r="B164" s="69">
        <v>134</v>
      </c>
      <c r="C164" s="43" t="s">
        <v>360</v>
      </c>
      <c r="D164" s="69">
        <v>7.0913918208667104</v>
      </c>
      <c r="E164" s="69">
        <v>0.99605285112907704</v>
      </c>
      <c r="F164" s="71">
        <f t="shared" si="2"/>
        <v>99.605285112907708</v>
      </c>
      <c r="G164" s="84">
        <f t="shared" si="3"/>
        <v>1018.9620667050458</v>
      </c>
      <c r="H164" s="43" t="s">
        <v>709</v>
      </c>
      <c r="I164" s="8"/>
      <c r="J164" s="8"/>
      <c r="K164" s="8"/>
      <c r="L164" s="8"/>
      <c r="M164" s="8"/>
      <c r="N164" s="8"/>
      <c r="O164" s="8"/>
      <c r="P164" s="8"/>
      <c r="Q164" s="8"/>
      <c r="R164" s="8"/>
      <c r="S164" s="8"/>
      <c r="T164" s="8"/>
      <c r="U164" s="8"/>
      <c r="V164" s="8"/>
      <c r="W164" s="8"/>
      <c r="X164" s="8"/>
      <c r="Y164" s="8"/>
      <c r="Z164" s="8"/>
      <c r="AA164" s="8"/>
      <c r="AB164" s="8"/>
      <c r="AC164" s="8"/>
    </row>
    <row r="165" spans="1:29" ht="15">
      <c r="A165" s="58"/>
      <c r="B165" s="69">
        <v>135</v>
      </c>
      <c r="C165" s="117" t="s">
        <v>361</v>
      </c>
      <c r="D165" s="118">
        <v>7.6003655660518703</v>
      </c>
      <c r="E165" s="118">
        <v>1.00640459741273</v>
      </c>
      <c r="F165" s="119">
        <f t="shared" si="2"/>
        <v>100.64045974127301</v>
      </c>
      <c r="G165" s="120">
        <f t="shared" si="3"/>
        <v>1029.5519031532228</v>
      </c>
      <c r="H165" s="117"/>
      <c r="I165" s="8"/>
      <c r="J165" s="8"/>
      <c r="K165" s="8"/>
      <c r="L165" s="8"/>
      <c r="M165" s="8"/>
      <c r="N165" s="8"/>
      <c r="O165" s="8"/>
      <c r="P165" s="8"/>
      <c r="Q165" s="8"/>
      <c r="R165" s="8"/>
      <c r="S165" s="8"/>
      <c r="T165" s="8"/>
      <c r="U165" s="8"/>
      <c r="V165" s="8"/>
      <c r="W165" s="8"/>
      <c r="X165" s="8"/>
      <c r="Y165" s="8"/>
      <c r="Z165" s="8"/>
      <c r="AA165" s="8"/>
      <c r="AB165" s="8"/>
      <c r="AC165" s="8"/>
    </row>
    <row r="166" spans="1:29" ht="15">
      <c r="A166" s="58"/>
      <c r="B166" s="69">
        <v>136</v>
      </c>
      <c r="C166" s="117" t="s">
        <v>362</v>
      </c>
      <c r="D166" s="118">
        <v>8.1458701192690199</v>
      </c>
      <c r="E166" s="118">
        <v>1.01675794978039</v>
      </c>
      <c r="F166" s="119">
        <f t="shared" si="2"/>
        <v>101.67579497803901</v>
      </c>
      <c r="G166" s="120">
        <f t="shared" si="3"/>
        <v>1040.143382625339</v>
      </c>
      <c r="H166" s="117"/>
      <c r="I166" s="8"/>
      <c r="J166" s="8"/>
      <c r="K166" s="8"/>
      <c r="L166" s="8"/>
      <c r="M166" s="8"/>
      <c r="N166" s="8"/>
      <c r="O166" s="8"/>
      <c r="P166" s="8"/>
      <c r="Q166" s="8"/>
      <c r="R166" s="8"/>
      <c r="S166" s="8"/>
      <c r="T166" s="8"/>
      <c r="U166" s="8"/>
      <c r="V166" s="8"/>
      <c r="W166" s="8"/>
      <c r="X166" s="8"/>
      <c r="Y166" s="8"/>
      <c r="Z166" s="8"/>
      <c r="AA166" s="8"/>
      <c r="AB166" s="8"/>
      <c r="AC166" s="8"/>
    </row>
    <row r="167" spans="1:29" ht="15">
      <c r="A167" s="58"/>
      <c r="B167" s="69">
        <v>137</v>
      </c>
      <c r="C167" s="117" t="s">
        <v>363</v>
      </c>
      <c r="D167" s="118">
        <v>8.7305274230998897</v>
      </c>
      <c r="E167" s="118">
        <v>1.0271128011343</v>
      </c>
      <c r="F167" s="119">
        <f t="shared" si="2"/>
        <v>102.71128011343001</v>
      </c>
      <c r="G167" s="120">
        <f t="shared" si="3"/>
        <v>1050.7363955603889</v>
      </c>
      <c r="H167" s="117"/>
      <c r="I167" s="8"/>
      <c r="J167" s="8"/>
      <c r="K167" s="8"/>
      <c r="L167" s="8"/>
      <c r="M167" s="8"/>
      <c r="N167" s="8"/>
      <c r="O167" s="8"/>
      <c r="P167" s="8"/>
      <c r="Q167" s="8"/>
      <c r="R167" s="8"/>
      <c r="S167" s="8"/>
      <c r="T167" s="8"/>
      <c r="U167" s="8"/>
      <c r="V167" s="8"/>
      <c r="W167" s="8"/>
      <c r="X167" s="8"/>
      <c r="Y167" s="8"/>
      <c r="Z167" s="8"/>
      <c r="AA167" s="8"/>
      <c r="AB167" s="8"/>
      <c r="AC167" s="8"/>
    </row>
    <row r="168" spans="1:29" ht="15">
      <c r="A168" s="58"/>
      <c r="B168" s="69">
        <v>138</v>
      </c>
      <c r="C168" s="117" t="s">
        <v>364</v>
      </c>
      <c r="D168" s="118">
        <v>9.3571476060238297</v>
      </c>
      <c r="E168" s="118">
        <v>1.0374690514749301</v>
      </c>
      <c r="F168" s="119">
        <f t="shared" si="2"/>
        <v>103.74690514749301</v>
      </c>
      <c r="G168" s="120">
        <f t="shared" si="3"/>
        <v>1061.3308396588534</v>
      </c>
      <c r="H168" s="117"/>
      <c r="I168" s="8"/>
      <c r="J168" s="8"/>
      <c r="K168" s="8"/>
      <c r="L168" s="8"/>
      <c r="M168" s="8"/>
      <c r="N168" s="8"/>
      <c r="O168" s="8"/>
      <c r="P168" s="8"/>
      <c r="Q168" s="8"/>
      <c r="R168" s="8"/>
      <c r="S168" s="8"/>
      <c r="T168" s="8"/>
      <c r="U168" s="8"/>
      <c r="V168" s="8"/>
      <c r="W168" s="8"/>
      <c r="X168" s="8"/>
      <c r="Y168" s="8"/>
      <c r="Z168" s="8"/>
      <c r="AA168" s="8"/>
      <c r="AB168" s="8"/>
      <c r="AC168" s="8"/>
    </row>
    <row r="169" spans="1:29" ht="15">
      <c r="A169" s="58"/>
      <c r="B169" s="69">
        <v>139</v>
      </c>
      <c r="C169" s="117" t="s">
        <v>365</v>
      </c>
      <c r="D169" s="118">
        <v>10.0287424891713</v>
      </c>
      <c r="E169" s="118">
        <v>1.04782660747055</v>
      </c>
      <c r="F169" s="119">
        <f t="shared" si="2"/>
        <v>104.782660747055</v>
      </c>
      <c r="G169" s="120">
        <f t="shared" si="3"/>
        <v>1071.9266194423726</v>
      </c>
      <c r="H169" s="117"/>
      <c r="I169" s="8"/>
      <c r="J169" s="8"/>
      <c r="K169" s="8"/>
      <c r="L169" s="8"/>
      <c r="M169" s="8"/>
      <c r="N169" s="8"/>
      <c r="O169" s="8"/>
      <c r="P169" s="8"/>
      <c r="Q169" s="8"/>
      <c r="R169" s="8"/>
      <c r="S169" s="8"/>
      <c r="T169" s="8"/>
      <c r="U169" s="8"/>
      <c r="V169" s="8"/>
      <c r="W169" s="8"/>
      <c r="X169" s="8"/>
      <c r="Y169" s="8"/>
      <c r="Z169" s="8"/>
      <c r="AA169" s="8"/>
      <c r="AB169" s="8"/>
      <c r="AC169" s="8"/>
    </row>
    <row r="170" spans="1:29" ht="15">
      <c r="A170" s="58"/>
      <c r="B170" s="69">
        <v>140</v>
      </c>
      <c r="C170" s="117" t="s">
        <v>366</v>
      </c>
      <c r="D170" s="118">
        <v>10.748540062504</v>
      </c>
      <c r="E170" s="118">
        <v>1.0581853819118601</v>
      </c>
      <c r="F170" s="119">
        <f t="shared" si="2"/>
        <v>105.81853819118601</v>
      </c>
      <c r="G170" s="120">
        <f t="shared" si="3"/>
        <v>1082.5236456958328</v>
      </c>
      <c r="H170" s="117"/>
      <c r="I170" s="8"/>
      <c r="J170" s="8"/>
      <c r="K170" s="8"/>
      <c r="L170" s="8"/>
      <c r="M170" s="8"/>
      <c r="N170" s="8"/>
      <c r="O170" s="8"/>
      <c r="P170" s="8"/>
      <c r="Q170" s="8"/>
      <c r="R170" s="8"/>
      <c r="S170" s="8"/>
      <c r="T170" s="8"/>
      <c r="U170" s="8"/>
      <c r="V170" s="8"/>
      <c r="W170" s="8"/>
      <c r="X170" s="8"/>
      <c r="Y170" s="8"/>
      <c r="Z170" s="8"/>
      <c r="AA170" s="8"/>
      <c r="AB170" s="8"/>
      <c r="AC170" s="8"/>
    </row>
    <row r="171" spans="1:29" ht="15">
      <c r="A171" s="58"/>
      <c r="B171" s="69">
        <v>141</v>
      </c>
      <c r="C171" s="117" t="s">
        <v>367</v>
      </c>
      <c r="D171" s="118">
        <v>11.52</v>
      </c>
      <c r="E171" s="118">
        <v>1.0685452935997399</v>
      </c>
      <c r="F171" s="119">
        <f t="shared" si="2"/>
        <v>106.85452935997399</v>
      </c>
      <c r="G171" s="120">
        <f t="shared" si="3"/>
        <v>1093.1218353525339</v>
      </c>
      <c r="H171" s="117"/>
      <c r="I171" s="8"/>
      <c r="J171" s="8"/>
      <c r="K171" s="8"/>
      <c r="L171" s="8"/>
      <c r="M171" s="8"/>
      <c r="N171" s="8"/>
      <c r="O171" s="8"/>
      <c r="P171" s="8"/>
      <c r="Q171" s="8"/>
      <c r="R171" s="8"/>
      <c r="S171" s="8"/>
      <c r="T171" s="8"/>
      <c r="U171" s="8"/>
      <c r="V171" s="8"/>
      <c r="W171" s="8"/>
      <c r="X171" s="8"/>
      <c r="Y171" s="8"/>
      <c r="Z171" s="8"/>
      <c r="AA171" s="8"/>
      <c r="AB171" s="8"/>
      <c r="AC171" s="8"/>
    </row>
    <row r="172" spans="1:29" ht="15">
      <c r="A172" s="58"/>
      <c r="B172" s="69">
        <v>142</v>
      </c>
      <c r="C172" s="117" t="s">
        <v>368</v>
      </c>
      <c r="D172" s="118">
        <v>12.346830288417999</v>
      </c>
      <c r="E172" s="118">
        <v>1.0789062665093001</v>
      </c>
      <c r="F172" s="119">
        <f t="shared" si="2"/>
        <v>107.89062665093002</v>
      </c>
      <c r="G172" s="120">
        <f t="shared" si="3"/>
        <v>1103.7211106390141</v>
      </c>
      <c r="H172" s="117"/>
      <c r="I172" s="8"/>
      <c r="J172" s="8"/>
      <c r="K172" s="8"/>
      <c r="L172" s="8"/>
      <c r="M172" s="8"/>
      <c r="N172" s="8"/>
      <c r="O172" s="8"/>
      <c r="P172" s="8"/>
      <c r="Q172" s="8"/>
      <c r="R172" s="8"/>
      <c r="S172" s="8"/>
      <c r="T172" s="8"/>
      <c r="U172" s="8"/>
      <c r="V172" s="8"/>
      <c r="W172" s="8"/>
      <c r="X172" s="8"/>
      <c r="Y172" s="8"/>
      <c r="Z172" s="8"/>
      <c r="AA172" s="8"/>
      <c r="AB172" s="8"/>
      <c r="AC172" s="8"/>
    </row>
    <row r="173" spans="1:29" ht="15">
      <c r="A173" s="58"/>
      <c r="B173" s="69">
        <v>143</v>
      </c>
      <c r="C173" s="117" t="s">
        <v>369</v>
      </c>
      <c r="D173" s="118">
        <v>13.233005049565801</v>
      </c>
      <c r="E173" s="118">
        <v>1.0892682297510701</v>
      </c>
      <c r="F173" s="119">
        <f t="shared" si="2"/>
        <v>108.926822975107</v>
      </c>
      <c r="G173" s="120">
        <f t="shared" si="3"/>
        <v>1114.3213990353447</v>
      </c>
      <c r="H173" s="117"/>
      <c r="I173" s="8"/>
      <c r="J173" s="8"/>
      <c r="K173" s="8"/>
      <c r="L173" s="8"/>
      <c r="M173" s="8"/>
      <c r="N173" s="8"/>
      <c r="O173" s="8"/>
      <c r="P173" s="8"/>
      <c r="Q173" s="8"/>
      <c r="R173" s="8"/>
      <c r="S173" s="8"/>
      <c r="T173" s="8"/>
      <c r="U173" s="8"/>
      <c r="V173" s="8"/>
      <c r="W173" s="8"/>
      <c r="X173" s="8"/>
      <c r="Y173" s="8"/>
      <c r="Z173" s="8"/>
      <c r="AA173" s="8"/>
      <c r="AB173" s="8"/>
      <c r="AC173" s="8"/>
    </row>
    <row r="174" spans="1:29" ht="15">
      <c r="A174" s="58"/>
      <c r="B174" s="69">
        <v>144</v>
      </c>
      <c r="C174" s="117" t="s">
        <v>370</v>
      </c>
      <c r="D174" s="118">
        <v>14.182783641733399</v>
      </c>
      <c r="E174" s="118">
        <v>1.09963111719853</v>
      </c>
      <c r="F174" s="119">
        <f t="shared" si="2"/>
        <v>109.963111719853</v>
      </c>
      <c r="G174" s="120">
        <f t="shared" si="3"/>
        <v>1124.9226328940963</v>
      </c>
      <c r="H174" s="117"/>
      <c r="I174" s="8"/>
      <c r="J174" s="8"/>
      <c r="K174" s="8"/>
      <c r="L174" s="8"/>
      <c r="M174" s="8"/>
      <c r="N174" s="8"/>
      <c r="O174" s="8"/>
      <c r="P174" s="8"/>
      <c r="Q174" s="8"/>
      <c r="R174" s="8"/>
      <c r="S174" s="8"/>
      <c r="T174" s="8"/>
      <c r="U174" s="8"/>
      <c r="V174" s="8"/>
      <c r="W174" s="8"/>
      <c r="X174" s="8"/>
      <c r="Y174" s="8"/>
      <c r="Z174" s="8"/>
      <c r="AA174" s="8"/>
      <c r="AB174" s="8"/>
      <c r="AC174" s="8"/>
    </row>
    <row r="175" spans="1:29" ht="15">
      <c r="A175" s="58"/>
      <c r="B175" s="69">
        <v>145</v>
      </c>
      <c r="C175" s="117" t="s">
        <v>371</v>
      </c>
      <c r="D175" s="118">
        <v>15.2007311321037</v>
      </c>
      <c r="E175" s="118">
        <v>1.1099948671382101</v>
      </c>
      <c r="F175" s="119">
        <f t="shared" si="2"/>
        <v>110.999486713821</v>
      </c>
      <c r="G175" s="120">
        <f t="shared" si="3"/>
        <v>1135.5247490823888</v>
      </c>
      <c r="H175" s="117"/>
      <c r="I175" s="8"/>
      <c r="J175" s="8"/>
      <c r="K175" s="8"/>
      <c r="L175" s="8"/>
      <c r="M175" s="8"/>
      <c r="N175" s="8"/>
      <c r="O175" s="8"/>
      <c r="P175" s="8"/>
      <c r="Q175" s="8"/>
      <c r="R175" s="8"/>
      <c r="S175" s="8"/>
      <c r="T175" s="8"/>
      <c r="U175" s="8"/>
      <c r="V175" s="8"/>
      <c r="W175" s="8"/>
      <c r="X175" s="8"/>
      <c r="Y175" s="8"/>
      <c r="Z175" s="8"/>
      <c r="AA175" s="8"/>
      <c r="AB175" s="8"/>
      <c r="AC175" s="8"/>
    </row>
    <row r="176" spans="1:29" ht="15">
      <c r="A176" s="58"/>
      <c r="B176" s="69">
        <v>146</v>
      </c>
      <c r="C176" s="117" t="s">
        <v>372</v>
      </c>
      <c r="D176" s="118">
        <v>16.291740238538001</v>
      </c>
      <c r="E176" s="118">
        <v>1.12035942195829</v>
      </c>
      <c r="F176" s="119">
        <f t="shared" si="2"/>
        <v>112.03594219582899</v>
      </c>
      <c r="G176" s="120">
        <f t="shared" si="3"/>
        <v>1146.1276886633307</v>
      </c>
      <c r="H176" s="117"/>
      <c r="I176" s="8"/>
      <c r="J176" s="8"/>
      <c r="K176" s="8"/>
      <c r="L176" s="8"/>
      <c r="M176" s="8"/>
      <c r="N176" s="8"/>
      <c r="O176" s="8"/>
      <c r="P176" s="8"/>
      <c r="Q176" s="8"/>
      <c r="R176" s="8"/>
      <c r="S176" s="8"/>
      <c r="T176" s="8"/>
      <c r="U176" s="8"/>
      <c r="V176" s="8"/>
      <c r="W176" s="8"/>
      <c r="X176" s="8"/>
      <c r="Y176" s="8"/>
      <c r="Z176" s="8"/>
      <c r="AA176" s="8"/>
      <c r="AB176" s="8"/>
      <c r="AC176" s="8"/>
    </row>
    <row r="177" spans="1:29" ht="15">
      <c r="A177" s="58"/>
      <c r="B177" s="69">
        <v>147</v>
      </c>
      <c r="C177" s="117" t="s">
        <v>373</v>
      </c>
      <c r="D177" s="118">
        <v>17.461054846199701</v>
      </c>
      <c r="E177" s="118">
        <v>1.13072472782205</v>
      </c>
      <c r="F177" s="119">
        <f t="shared" si="2"/>
        <v>113.072472782205</v>
      </c>
      <c r="G177" s="120">
        <f t="shared" si="3"/>
        <v>1156.7313965619571</v>
      </c>
      <c r="H177" s="117"/>
      <c r="I177" s="8"/>
      <c r="J177" s="8"/>
      <c r="K177" s="8"/>
      <c r="L177" s="8"/>
      <c r="M177" s="8"/>
      <c r="N177" s="8"/>
      <c r="O177" s="8"/>
      <c r="P177" s="8"/>
      <c r="Q177" s="8"/>
      <c r="R177" s="8"/>
      <c r="S177" s="8"/>
      <c r="T177" s="8"/>
      <c r="U177" s="8"/>
      <c r="V177" s="8"/>
      <c r="W177" s="8"/>
      <c r="X177" s="8"/>
      <c r="Y177" s="8"/>
      <c r="Z177" s="8"/>
      <c r="AA177" s="8"/>
      <c r="AB177" s="8"/>
      <c r="AC177" s="8"/>
    </row>
    <row r="178" spans="1:29" ht="15">
      <c r="A178" s="58"/>
      <c r="B178" s="69">
        <v>148</v>
      </c>
      <c r="C178" s="117" t="s">
        <v>374</v>
      </c>
      <c r="D178" s="118">
        <v>18.714295212047599</v>
      </c>
      <c r="E178" s="118">
        <v>1.14109073447848</v>
      </c>
      <c r="F178" s="119">
        <f t="shared" si="2"/>
        <v>114.109073447848</v>
      </c>
      <c r="G178" s="120">
        <f t="shared" si="3"/>
        <v>1167.3358213714851</v>
      </c>
      <c r="H178" s="117"/>
      <c r="I178" s="8"/>
      <c r="J178" s="8"/>
      <c r="K178" s="8"/>
      <c r="L178" s="8"/>
      <c r="M178" s="8"/>
      <c r="N178" s="8"/>
      <c r="O178" s="8"/>
      <c r="P178" s="8"/>
      <c r="Q178" s="8"/>
      <c r="R178" s="8"/>
      <c r="S178" s="8"/>
      <c r="T178" s="8"/>
      <c r="U178" s="8"/>
      <c r="V178" s="8"/>
      <c r="W178" s="8"/>
      <c r="X178" s="8"/>
      <c r="Y178" s="8"/>
      <c r="Z178" s="8"/>
      <c r="AA178" s="8"/>
      <c r="AB178" s="8"/>
      <c r="AC178" s="8"/>
    </row>
    <row r="179" spans="1:29" ht="15">
      <c r="A179" s="58"/>
      <c r="B179" s="69">
        <v>149</v>
      </c>
      <c r="C179" s="117" t="s">
        <v>375</v>
      </c>
      <c r="D179" s="118">
        <v>20.0574849783426</v>
      </c>
      <c r="E179" s="118">
        <v>1.15145739522422</v>
      </c>
      <c r="F179" s="119">
        <f t="shared" si="2"/>
        <v>115.14573952242199</v>
      </c>
      <c r="G179" s="120">
        <f t="shared" si="3"/>
        <v>1177.940915314377</v>
      </c>
      <c r="H179" s="117"/>
      <c r="I179" s="8"/>
      <c r="J179" s="8"/>
      <c r="K179" s="8"/>
      <c r="L179" s="8"/>
      <c r="M179" s="8"/>
      <c r="N179" s="8"/>
      <c r="O179" s="8"/>
      <c r="P179" s="8"/>
      <c r="Q179" s="8"/>
      <c r="R179" s="8"/>
      <c r="S179" s="8"/>
      <c r="T179" s="8"/>
      <c r="U179" s="8"/>
      <c r="V179" s="8"/>
      <c r="W179" s="8"/>
      <c r="X179" s="8"/>
      <c r="Y179" s="8"/>
      <c r="Z179" s="8"/>
      <c r="AA179" s="8"/>
      <c r="AB179" s="8"/>
      <c r="AC179" s="8"/>
    </row>
    <row r="180" spans="1:29" ht="15">
      <c r="A180" s="58"/>
      <c r="B180" s="69">
        <v>150</v>
      </c>
      <c r="C180" s="117" t="s">
        <v>376</v>
      </c>
      <c r="D180" s="118">
        <v>21.497080125008001</v>
      </c>
      <c r="E180" s="118">
        <v>1.16182466625255</v>
      </c>
      <c r="F180" s="119">
        <f t="shared" si="2"/>
        <v>116.182466625255</v>
      </c>
      <c r="G180" s="120">
        <f t="shared" si="3"/>
        <v>1188.5466335763585</v>
      </c>
      <c r="H180" s="117"/>
      <c r="I180" s="8"/>
      <c r="J180" s="8"/>
      <c r="K180" s="8"/>
      <c r="L180" s="8"/>
      <c r="M180" s="8"/>
      <c r="N180" s="8"/>
      <c r="O180" s="8"/>
      <c r="P180" s="8"/>
      <c r="Q180" s="8"/>
      <c r="R180" s="8"/>
      <c r="S180" s="8"/>
      <c r="T180" s="8"/>
      <c r="U180" s="8"/>
      <c r="V180" s="8"/>
      <c r="W180" s="8"/>
      <c r="X180" s="8"/>
      <c r="Y180" s="8"/>
      <c r="Z180" s="8"/>
      <c r="AA180" s="8"/>
      <c r="AB180" s="8"/>
      <c r="AC180" s="8"/>
    </row>
    <row r="181" spans="1:29" ht="15">
      <c r="A181" s="58"/>
      <c r="B181" s="69">
        <v>151</v>
      </c>
      <c r="C181" s="117" t="s">
        <v>377</v>
      </c>
      <c r="D181" s="118">
        <v>23.04</v>
      </c>
      <c r="E181" s="118">
        <v>1.1721925067083001</v>
      </c>
      <c r="F181" s="119">
        <f t="shared" si="2"/>
        <v>117.21925067083001</v>
      </c>
      <c r="G181" s="120">
        <f t="shared" si="3"/>
        <v>1199.1529343625909</v>
      </c>
      <c r="H181" s="117"/>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117" t="s">
        <v>378</v>
      </c>
      <c r="D182" s="118">
        <v>24.693660576836098</v>
      </c>
      <c r="E182" s="118">
        <v>1.1825608786222499</v>
      </c>
      <c r="F182" s="119">
        <f t="shared" si="2"/>
        <v>118.25608786222499</v>
      </c>
      <c r="G182" s="120">
        <f t="shared" si="3"/>
        <v>1209.7597788305616</v>
      </c>
      <c r="H182" s="117"/>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117" t="s">
        <v>379</v>
      </c>
      <c r="D183" s="118">
        <v>26.466010099131601</v>
      </c>
      <c r="E183" s="118">
        <v>1.19292974636968</v>
      </c>
      <c r="F183" s="119">
        <f t="shared" si="2"/>
        <v>119.292974636968</v>
      </c>
      <c r="G183" s="120">
        <f t="shared" si="3"/>
        <v>1220.3671305361827</v>
      </c>
      <c r="H183" s="117"/>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117" t="s">
        <v>380</v>
      </c>
      <c r="D184" s="118">
        <v>28.365567283466799</v>
      </c>
      <c r="E184" s="118">
        <v>1.20329907681113</v>
      </c>
      <c r="F184" s="119">
        <f t="shared" si="2"/>
        <v>120.329907681113</v>
      </c>
      <c r="G184" s="120">
        <f t="shared" si="3"/>
        <v>1230.974955577786</v>
      </c>
      <c r="H184" s="117"/>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117" t="s">
        <v>381</v>
      </c>
      <c r="D185" s="118">
        <v>30.401462264207399</v>
      </c>
      <c r="E185" s="118">
        <v>1.2136688390277399</v>
      </c>
      <c r="F185" s="119">
        <f t="shared" si="2"/>
        <v>121.36688390277399</v>
      </c>
      <c r="G185" s="120">
        <f t="shared" si="3"/>
        <v>1241.5832223253778</v>
      </c>
      <c r="H185" s="117"/>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117" t="s">
        <v>382</v>
      </c>
      <c r="D186" s="118">
        <v>32.583480477076101</v>
      </c>
      <c r="E186" s="118">
        <v>1.22403900415442</v>
      </c>
      <c r="F186" s="119">
        <f t="shared" si="2"/>
        <v>122.403900415442</v>
      </c>
      <c r="G186" s="120">
        <f t="shared" si="3"/>
        <v>1252.1919012499716</v>
      </c>
      <c r="H186" s="117"/>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117" t="s">
        <v>383</v>
      </c>
      <c r="D187" s="118">
        <v>34.922109692399502</v>
      </c>
      <c r="E187" s="118">
        <v>1.2344095451457999</v>
      </c>
      <c r="F187" s="119">
        <f t="shared" si="2"/>
        <v>123.44095451458</v>
      </c>
      <c r="G187" s="120">
        <f t="shared" si="3"/>
        <v>1262.8009646841533</v>
      </c>
      <c r="H187" s="117"/>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117" t="s">
        <v>384</v>
      </c>
      <c r="D188" s="118">
        <v>37.428590424095297</v>
      </c>
      <c r="E188" s="118">
        <v>1.2447804369275</v>
      </c>
      <c r="F188" s="119">
        <f t="shared" si="2"/>
        <v>124.47804369274999</v>
      </c>
      <c r="G188" s="120">
        <f t="shared" si="3"/>
        <v>1273.4103869768323</v>
      </c>
      <c r="H188" s="117"/>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117" t="s">
        <v>385</v>
      </c>
      <c r="D189" s="118">
        <v>40.1149699566853</v>
      </c>
      <c r="E189" s="118">
        <v>1.2551516560479501</v>
      </c>
      <c r="F189" s="119">
        <f t="shared" si="2"/>
        <v>125.51516560479502</v>
      </c>
      <c r="G189" s="120">
        <f t="shared" si="3"/>
        <v>1284.020144137053</v>
      </c>
      <c r="H189" s="117"/>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117" t="s">
        <v>386</v>
      </c>
      <c r="D190" s="118">
        <v>42.994160250016002</v>
      </c>
      <c r="E190" s="118">
        <v>1.2655231805312399</v>
      </c>
      <c r="F190" s="119">
        <f t="shared" si="2"/>
        <v>126.552318053124</v>
      </c>
      <c r="G190" s="120">
        <f t="shared" si="3"/>
        <v>1294.6302136834584</v>
      </c>
      <c r="H190" s="117"/>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117" t="s">
        <v>387</v>
      </c>
      <c r="D191" s="118">
        <v>46.08</v>
      </c>
      <c r="E191" s="118">
        <v>1.2758949899952301</v>
      </c>
      <c r="F191" s="119">
        <f t="shared" si="2"/>
        <v>127.58949899952302</v>
      </c>
      <c r="G191" s="120">
        <f t="shared" si="3"/>
        <v>1305.2405747651203</v>
      </c>
      <c r="H191" s="117"/>
      <c r="I191" s="8"/>
      <c r="J191" s="8"/>
      <c r="K191" s="8"/>
      <c r="L191" s="8"/>
      <c r="M191" s="8"/>
      <c r="N191" s="8"/>
      <c r="O191" s="8"/>
      <c r="P191" s="8"/>
      <c r="Q191" s="8"/>
      <c r="R191" s="8"/>
      <c r="S191" s="8"/>
      <c r="T191" s="8"/>
      <c r="U191" s="8"/>
      <c r="V191" s="8"/>
      <c r="W191" s="8"/>
      <c r="X191" s="8"/>
      <c r="Y191" s="8"/>
      <c r="Z191" s="8"/>
      <c r="AA191" s="8"/>
      <c r="AB191" s="8"/>
      <c r="AC191" s="8"/>
    </row>
    <row r="192" spans="1:29"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D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81.6640625" customWidth="1"/>
    <col min="9" max="9" width="3.6640625" customWidth="1"/>
  </cols>
  <sheetData>
    <row r="1" spans="1:30" ht="13">
      <c r="A1" s="8"/>
      <c r="B1" s="9"/>
      <c r="C1" s="9"/>
      <c r="D1" s="9"/>
      <c r="E1" s="9"/>
      <c r="F1" s="9"/>
      <c r="G1" s="9"/>
      <c r="H1" s="9"/>
      <c r="I1" s="8"/>
      <c r="J1" s="8"/>
      <c r="K1" s="8"/>
      <c r="L1" s="8"/>
      <c r="M1" s="8"/>
      <c r="N1" s="8"/>
      <c r="O1" s="8"/>
      <c r="P1" s="8"/>
      <c r="Q1" s="8"/>
      <c r="R1" s="8"/>
      <c r="S1" s="8"/>
      <c r="T1" s="8"/>
      <c r="U1" s="8"/>
      <c r="V1" s="8"/>
      <c r="W1" s="8"/>
      <c r="X1" s="8"/>
      <c r="Y1" s="8"/>
      <c r="Z1" s="8"/>
      <c r="AA1" s="8"/>
      <c r="AB1" s="8"/>
      <c r="AC1" s="8"/>
      <c r="AD1" s="8"/>
    </row>
    <row r="2" spans="1:30" ht="29.25" customHeight="1">
      <c r="A2" s="8"/>
      <c r="B2" s="56"/>
      <c r="C2" s="12" t="s">
        <v>710</v>
      </c>
      <c r="D2" s="174" t="s">
        <v>142</v>
      </c>
      <c r="E2" s="170"/>
      <c r="F2" s="170"/>
      <c r="G2" s="171"/>
      <c r="H2" s="16" t="s">
        <v>711</v>
      </c>
      <c r="I2" s="8"/>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c r="F4" s="18">
        <f>E4*100</f>
        <v>0</v>
      </c>
      <c r="G4" s="33">
        <f>E4*1023</f>
        <v>0</v>
      </c>
      <c r="H4" s="16" t="s">
        <v>161</v>
      </c>
      <c r="I4" s="8"/>
      <c r="J4" s="64" t="s">
        <v>162</v>
      </c>
      <c r="K4" s="8"/>
      <c r="L4" s="8"/>
      <c r="M4" s="8"/>
      <c r="O4" s="8"/>
      <c r="P4" s="8"/>
      <c r="Q4" s="8"/>
      <c r="R4" s="8"/>
      <c r="S4" s="8"/>
      <c r="T4" s="8"/>
      <c r="U4" s="8"/>
      <c r="V4" s="8"/>
      <c r="W4" s="8"/>
      <c r="X4" s="8"/>
      <c r="Y4" s="8"/>
      <c r="Z4" s="8"/>
      <c r="AA4" s="8"/>
      <c r="AB4" s="8"/>
      <c r="AC4" s="8"/>
      <c r="AD4" s="8"/>
    </row>
    <row r="5" spans="1:30" ht="13">
      <c r="A5" s="58"/>
      <c r="B5" s="50">
        <v>2</v>
      </c>
      <c r="C5" s="16" t="s">
        <v>76</v>
      </c>
      <c r="D5" s="17">
        <v>7.0312499999999997E-4</v>
      </c>
      <c r="E5" s="43"/>
      <c r="F5" s="18">
        <v>5</v>
      </c>
      <c r="G5" s="33">
        <v>106</v>
      </c>
      <c r="H5" s="16" t="s">
        <v>164</v>
      </c>
      <c r="I5" s="8"/>
      <c r="J5" s="56" t="s">
        <v>165</v>
      </c>
      <c r="K5" s="8"/>
      <c r="L5" s="8"/>
      <c r="M5" s="8"/>
      <c r="O5" s="8"/>
      <c r="P5" s="8"/>
      <c r="Q5" s="8"/>
      <c r="R5" s="8"/>
      <c r="S5" s="8"/>
      <c r="T5" s="8"/>
      <c r="U5" s="8"/>
      <c r="V5" s="8"/>
      <c r="W5" s="8"/>
      <c r="X5" s="8"/>
      <c r="Y5" s="8"/>
      <c r="Z5" s="8"/>
      <c r="AA5" s="8"/>
      <c r="AB5" s="8"/>
      <c r="AC5" s="8"/>
      <c r="AD5" s="8"/>
    </row>
    <row r="6" spans="1:30" ht="13">
      <c r="A6" s="58"/>
      <c r="B6" s="50">
        <v>3</v>
      </c>
      <c r="C6" s="16" t="s">
        <v>77</v>
      </c>
      <c r="D6" s="17">
        <v>1.4062499999999999E-3</v>
      </c>
      <c r="E6" s="43"/>
      <c r="F6" s="18">
        <v>5</v>
      </c>
      <c r="G6" s="33">
        <v>109</v>
      </c>
      <c r="H6" s="12"/>
      <c r="I6" s="8"/>
      <c r="J6" s="8"/>
      <c r="K6" s="8"/>
      <c r="L6" s="8"/>
      <c r="M6" s="8"/>
      <c r="O6" s="8"/>
      <c r="P6" s="8"/>
      <c r="Q6" s="8"/>
      <c r="R6" s="8"/>
      <c r="S6" s="8"/>
      <c r="T6" s="8"/>
      <c r="U6" s="8"/>
      <c r="V6" s="8"/>
      <c r="W6" s="8"/>
      <c r="X6" s="8"/>
      <c r="Y6" s="8"/>
      <c r="Z6" s="8"/>
      <c r="AA6" s="8"/>
      <c r="AB6" s="8"/>
      <c r="AC6" s="8"/>
      <c r="AD6" s="8"/>
    </row>
    <row r="7" spans="1:30" ht="15">
      <c r="A7" s="58"/>
      <c r="B7" s="50">
        <v>4</v>
      </c>
      <c r="C7" s="16" t="s">
        <v>78</v>
      </c>
      <c r="D7" s="17">
        <v>2.8124999999999999E-3</v>
      </c>
      <c r="E7" s="43"/>
      <c r="F7" s="18">
        <v>6</v>
      </c>
      <c r="G7" s="33">
        <v>114</v>
      </c>
      <c r="H7" s="107" t="s">
        <v>712</v>
      </c>
      <c r="I7" s="8"/>
      <c r="J7" s="2" t="s">
        <v>713</v>
      </c>
      <c r="K7" s="8"/>
      <c r="L7" s="8"/>
      <c r="M7" s="8"/>
      <c r="O7" s="8"/>
      <c r="P7" s="8"/>
      <c r="Q7" s="8"/>
      <c r="R7" s="8"/>
      <c r="S7" s="8"/>
      <c r="T7" s="8"/>
      <c r="U7" s="8"/>
      <c r="V7" s="8"/>
      <c r="W7" s="8"/>
      <c r="X7" s="8"/>
      <c r="Y7" s="8"/>
      <c r="Z7" s="8"/>
      <c r="AA7" s="8"/>
      <c r="AB7" s="8"/>
      <c r="AC7" s="8"/>
      <c r="AD7" s="8"/>
    </row>
    <row r="8" spans="1:30" ht="13">
      <c r="A8" s="58"/>
      <c r="B8" s="50">
        <v>5</v>
      </c>
      <c r="C8" s="16" t="s">
        <v>79</v>
      </c>
      <c r="D8" s="17">
        <v>5.6249999999999998E-3</v>
      </c>
      <c r="E8" s="43"/>
      <c r="F8" s="18">
        <v>7</v>
      </c>
      <c r="G8" s="33">
        <v>124</v>
      </c>
      <c r="H8" s="16"/>
      <c r="I8" s="8"/>
      <c r="J8" s="2" t="s">
        <v>714</v>
      </c>
      <c r="K8" s="8"/>
      <c r="L8" s="8"/>
      <c r="M8" s="8"/>
      <c r="O8" s="8"/>
      <c r="P8" s="8"/>
      <c r="Q8" s="8"/>
      <c r="R8" s="8"/>
      <c r="S8" s="8"/>
      <c r="T8" s="8"/>
      <c r="U8" s="8"/>
      <c r="V8" s="8"/>
      <c r="W8" s="8"/>
      <c r="X8" s="8"/>
      <c r="Y8" s="8"/>
      <c r="Z8" s="8"/>
      <c r="AA8" s="8"/>
      <c r="AB8" s="8"/>
      <c r="AC8" s="8"/>
      <c r="AD8" s="8"/>
    </row>
    <row r="9" spans="1:30" ht="13">
      <c r="A9" s="58"/>
      <c r="B9" s="50">
        <v>6</v>
      </c>
      <c r="C9" s="16" t="s">
        <v>80</v>
      </c>
      <c r="D9" s="17">
        <v>1.125E-2</v>
      </c>
      <c r="E9" s="43"/>
      <c r="F9" s="18">
        <v>9</v>
      </c>
      <c r="G9" s="33">
        <v>144</v>
      </c>
      <c r="H9" s="16"/>
      <c r="I9" s="8"/>
      <c r="J9" s="8" t="s">
        <v>715</v>
      </c>
      <c r="K9" s="8"/>
      <c r="L9" s="8"/>
      <c r="M9" s="8"/>
      <c r="O9" s="8"/>
      <c r="P9" s="8"/>
      <c r="Q9" s="8"/>
      <c r="R9" s="8"/>
      <c r="S9" s="8"/>
      <c r="T9" s="8"/>
      <c r="U9" s="8"/>
      <c r="V9" s="8"/>
      <c r="W9" s="8"/>
      <c r="X9" s="8"/>
      <c r="Y9" s="8"/>
      <c r="Z9" s="8"/>
      <c r="AA9" s="8"/>
      <c r="AB9" s="8"/>
      <c r="AC9" s="8"/>
      <c r="AD9" s="8"/>
    </row>
    <row r="10" spans="1:30" ht="13">
      <c r="A10" s="58"/>
      <c r="B10" s="50">
        <v>7</v>
      </c>
      <c r="C10" s="16" t="s">
        <v>81</v>
      </c>
      <c r="D10" s="17">
        <v>2.2499999999999999E-2</v>
      </c>
      <c r="E10" s="43"/>
      <c r="F10" s="18">
        <v>14</v>
      </c>
      <c r="G10" s="33">
        <v>184</v>
      </c>
      <c r="H10" s="16"/>
      <c r="I10" s="8"/>
      <c r="J10" s="8" t="s">
        <v>716</v>
      </c>
      <c r="K10" s="8"/>
      <c r="L10" s="8"/>
      <c r="M10" s="8"/>
      <c r="O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c r="F11" s="18">
        <v>23</v>
      </c>
      <c r="G11" s="33">
        <v>264</v>
      </c>
      <c r="H11" s="16"/>
      <c r="I11" s="8"/>
      <c r="J11" s="8" t="s">
        <v>717</v>
      </c>
      <c r="K11" s="8"/>
      <c r="L11" s="8"/>
      <c r="M11" s="8"/>
      <c r="P11" s="8"/>
      <c r="Q11" s="8"/>
      <c r="R11" s="8"/>
      <c r="S11" s="8"/>
      <c r="T11" s="8"/>
      <c r="U11" s="8"/>
      <c r="V11" s="8"/>
      <c r="W11" s="8"/>
      <c r="X11" s="8"/>
      <c r="Y11" s="8"/>
      <c r="Z11" s="8"/>
      <c r="AA11" s="8"/>
      <c r="AB11" s="8"/>
      <c r="AC11" s="8"/>
      <c r="AD11" s="8"/>
    </row>
    <row r="12" spans="1:30" ht="13">
      <c r="A12" s="58"/>
      <c r="B12" s="50">
        <v>9</v>
      </c>
      <c r="C12" s="16" t="s">
        <v>83</v>
      </c>
      <c r="D12" s="17">
        <v>0.09</v>
      </c>
      <c r="E12" s="43"/>
      <c r="F12" s="18">
        <v>36</v>
      </c>
      <c r="G12" s="33">
        <v>377</v>
      </c>
      <c r="H12" s="16"/>
      <c r="I12" s="8"/>
      <c r="J12" s="121" t="s">
        <v>718</v>
      </c>
      <c r="K12" s="8"/>
      <c r="L12" s="8"/>
      <c r="M12" s="8"/>
      <c r="O12" s="8"/>
      <c r="P12" s="8"/>
      <c r="Q12" s="8"/>
      <c r="R12" s="8"/>
      <c r="S12" s="8"/>
      <c r="T12" s="8"/>
      <c r="U12" s="8"/>
      <c r="V12" s="8"/>
      <c r="W12" s="8"/>
      <c r="X12" s="8"/>
      <c r="Y12" s="8"/>
      <c r="Z12" s="8"/>
      <c r="AA12" s="8"/>
      <c r="AB12" s="8"/>
      <c r="AC12" s="8"/>
      <c r="AD12" s="8"/>
    </row>
    <row r="13" spans="1:30" ht="13">
      <c r="A13" s="58"/>
      <c r="B13" s="50">
        <v>10</v>
      </c>
      <c r="C13" s="16" t="s">
        <v>84</v>
      </c>
      <c r="D13" s="17">
        <v>0.13500000000000001</v>
      </c>
      <c r="E13" s="43"/>
      <c r="F13" s="18">
        <f t="shared" ref="F13:F14" si="0">E13*100</f>
        <v>0</v>
      </c>
      <c r="G13" s="33">
        <f t="shared" ref="G13:G14" si="1">E13*1023</f>
        <v>0</v>
      </c>
      <c r="H13" s="16" t="s">
        <v>214</v>
      </c>
      <c r="I13" s="8"/>
      <c r="K13" s="8"/>
      <c r="L13" s="8"/>
      <c r="M13" s="8"/>
      <c r="O13" s="8"/>
      <c r="P13" s="8"/>
      <c r="Q13" s="8"/>
      <c r="R13" s="8"/>
      <c r="S13" s="8"/>
      <c r="T13" s="8"/>
      <c r="U13" s="8"/>
      <c r="V13" s="8"/>
      <c r="W13" s="8"/>
      <c r="X13" s="8"/>
      <c r="Y13" s="8"/>
      <c r="Z13" s="8"/>
      <c r="AA13" s="8"/>
      <c r="AB13" s="8"/>
      <c r="AC13" s="8"/>
      <c r="AD13" s="8"/>
    </row>
    <row r="14" spans="1:30" ht="13">
      <c r="A14" s="58"/>
      <c r="B14" s="50">
        <v>11</v>
      </c>
      <c r="C14" s="43" t="s">
        <v>85</v>
      </c>
      <c r="D14" s="69">
        <f>0.18*2^-0.1</f>
        <v>0.16794593847662534</v>
      </c>
      <c r="E14" s="43"/>
      <c r="F14" s="18">
        <f t="shared" si="0"/>
        <v>0</v>
      </c>
      <c r="G14" s="33">
        <f t="shared" si="1"/>
        <v>0</v>
      </c>
      <c r="H14" s="16" t="s">
        <v>719</v>
      </c>
      <c r="I14" s="8"/>
      <c r="J14" s="8"/>
      <c r="K14" s="8"/>
      <c r="L14" s="8"/>
      <c r="M14" s="8"/>
      <c r="O14" s="8"/>
      <c r="P14" s="8"/>
      <c r="Q14" s="8"/>
      <c r="R14" s="8"/>
      <c r="S14" s="8"/>
      <c r="T14" s="8"/>
      <c r="U14" s="8"/>
      <c r="V14" s="8"/>
      <c r="W14" s="8"/>
      <c r="X14" s="8"/>
      <c r="Y14" s="8"/>
      <c r="Z14" s="8"/>
      <c r="AA14" s="8"/>
      <c r="AB14" s="8"/>
      <c r="AC14" s="8"/>
      <c r="AD14" s="8"/>
    </row>
    <row r="15" spans="1:30" ht="13">
      <c r="A15" s="58"/>
      <c r="B15" s="50">
        <v>12</v>
      </c>
      <c r="C15" s="16" t="s">
        <v>86</v>
      </c>
      <c r="D15" s="17">
        <v>0.18</v>
      </c>
      <c r="E15" s="43"/>
      <c r="F15" s="18">
        <v>50</v>
      </c>
      <c r="G15" s="33">
        <v>502</v>
      </c>
      <c r="H15" s="16"/>
      <c r="I15" s="8"/>
      <c r="J15" s="8"/>
      <c r="K15" s="8"/>
      <c r="L15" s="8"/>
      <c r="M15" s="8"/>
      <c r="O15" s="8"/>
      <c r="P15" s="8"/>
      <c r="Q15" s="8"/>
      <c r="R15" s="8"/>
      <c r="S15" s="8"/>
      <c r="T15" s="8"/>
      <c r="U15" s="8"/>
      <c r="V15" s="8"/>
      <c r="W15" s="8"/>
      <c r="X15" s="8"/>
      <c r="Y15" s="8"/>
      <c r="Z15" s="8"/>
      <c r="AA15" s="8"/>
      <c r="AB15" s="8"/>
      <c r="AC15" s="8"/>
      <c r="AD15" s="8"/>
    </row>
    <row r="16" spans="1:30" ht="13">
      <c r="A16" s="58"/>
      <c r="B16" s="50">
        <v>13</v>
      </c>
      <c r="C16" s="43" t="s">
        <v>87</v>
      </c>
      <c r="D16" s="69">
        <f>0.18*2^0.2</f>
        <v>0.2067657038994663</v>
      </c>
      <c r="E16" s="43"/>
      <c r="F16" s="18">
        <f t="shared" ref="F16:F17" si="2">E16*100</f>
        <v>0</v>
      </c>
      <c r="G16" s="33">
        <f t="shared" ref="G16:G17" si="3">E16*1023</f>
        <v>0</v>
      </c>
      <c r="H16" s="16" t="s">
        <v>720</v>
      </c>
      <c r="I16" s="8"/>
      <c r="K16" s="8"/>
      <c r="L16" s="8"/>
      <c r="M16" s="8"/>
      <c r="O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c r="F17" s="18">
        <f t="shared" si="2"/>
        <v>0</v>
      </c>
      <c r="G17" s="33">
        <f t="shared" si="3"/>
        <v>0</v>
      </c>
      <c r="H17" s="16" t="s">
        <v>214</v>
      </c>
      <c r="I17" s="8"/>
      <c r="K17" s="8"/>
      <c r="L17" s="8"/>
      <c r="M17" s="8"/>
      <c r="O17" s="8"/>
      <c r="P17" s="8"/>
      <c r="Q17" s="8"/>
      <c r="R17" s="8"/>
      <c r="S17" s="8"/>
      <c r="T17" s="8"/>
      <c r="U17" s="8"/>
      <c r="V17" s="8"/>
      <c r="W17" s="8"/>
      <c r="X17" s="8"/>
      <c r="Y17" s="8"/>
      <c r="Z17" s="8"/>
      <c r="AA17" s="8"/>
      <c r="AB17" s="8"/>
      <c r="AC17" s="8"/>
      <c r="AD17" s="8"/>
    </row>
    <row r="18" spans="1:30" ht="13">
      <c r="A18" s="58"/>
      <c r="B18" s="50">
        <v>15</v>
      </c>
      <c r="C18" s="16" t="s">
        <v>89</v>
      </c>
      <c r="D18" s="17">
        <v>0.36</v>
      </c>
      <c r="E18" s="43"/>
      <c r="F18" s="18">
        <v>65</v>
      </c>
      <c r="G18" s="33">
        <v>633</v>
      </c>
      <c r="H18" s="16"/>
      <c r="I18" s="8"/>
      <c r="K18" s="8"/>
      <c r="L18" s="8"/>
      <c r="M18" s="8"/>
      <c r="O18" s="8"/>
      <c r="P18" s="8"/>
      <c r="Q18" s="8"/>
      <c r="R18" s="8"/>
      <c r="S18" s="8"/>
      <c r="T18" s="8"/>
      <c r="U18" s="8"/>
      <c r="V18" s="8"/>
      <c r="W18" s="8"/>
      <c r="X18" s="8"/>
      <c r="Y18" s="8"/>
      <c r="Z18" s="8"/>
      <c r="AA18" s="8"/>
      <c r="AB18" s="8"/>
      <c r="AC18" s="8"/>
      <c r="AD18" s="8"/>
    </row>
    <row r="19" spans="1:30" ht="13">
      <c r="A19" s="58"/>
      <c r="B19" s="50">
        <v>16</v>
      </c>
      <c r="C19" s="16" t="s">
        <v>90</v>
      </c>
      <c r="D19" s="17">
        <v>0.72</v>
      </c>
      <c r="E19" s="43"/>
      <c r="F19" s="18">
        <v>79</v>
      </c>
      <c r="G19" s="33">
        <v>757</v>
      </c>
      <c r="H19" s="16"/>
      <c r="I19" s="8"/>
      <c r="K19" s="8"/>
      <c r="L19" s="8"/>
      <c r="M19" s="8"/>
      <c r="O19" s="8"/>
      <c r="P19" s="8"/>
      <c r="Q19" s="8"/>
      <c r="R19" s="8"/>
      <c r="S19" s="8"/>
      <c r="T19" s="8"/>
      <c r="U19" s="8"/>
      <c r="V19" s="8"/>
      <c r="W19" s="8"/>
      <c r="X19" s="8"/>
      <c r="Y19" s="8"/>
      <c r="Z19" s="8"/>
      <c r="AA19" s="8"/>
      <c r="AB19" s="8"/>
      <c r="AC19" s="8"/>
      <c r="AD19" s="8"/>
    </row>
    <row r="20" spans="1:30" ht="13">
      <c r="A20" s="58"/>
      <c r="B20" s="82">
        <v>17</v>
      </c>
      <c r="C20" s="73" t="s">
        <v>91</v>
      </c>
      <c r="D20" s="74">
        <v>0.9</v>
      </c>
      <c r="E20" s="43"/>
      <c r="F20" s="76">
        <v>83</v>
      </c>
      <c r="G20" s="77">
        <v>795</v>
      </c>
      <c r="H20" s="73" t="s">
        <v>205</v>
      </c>
      <c r="I20" s="8"/>
      <c r="J20" s="8"/>
      <c r="K20" s="8"/>
      <c r="L20" s="8"/>
      <c r="M20" s="8"/>
      <c r="O20" s="8"/>
      <c r="P20" s="8"/>
      <c r="Q20" s="8"/>
      <c r="R20" s="8"/>
      <c r="S20" s="8"/>
      <c r="T20" s="8"/>
      <c r="U20" s="8"/>
      <c r="V20" s="8"/>
      <c r="W20" s="8"/>
      <c r="X20" s="8"/>
      <c r="Y20" s="8"/>
      <c r="Z20" s="8"/>
      <c r="AA20" s="8"/>
      <c r="AB20" s="8"/>
      <c r="AC20" s="8"/>
      <c r="AD20" s="8"/>
    </row>
    <row r="21" spans="1:30" ht="13">
      <c r="A21" s="58"/>
      <c r="B21" s="50">
        <v>18</v>
      </c>
      <c r="C21" s="16" t="s">
        <v>92</v>
      </c>
      <c r="D21" s="17">
        <v>1.44</v>
      </c>
      <c r="E21" s="43"/>
      <c r="F21" s="18">
        <v>92</v>
      </c>
      <c r="G21" s="33">
        <v>870</v>
      </c>
      <c r="H21" s="16"/>
      <c r="I21" s="8"/>
      <c r="J21" s="8"/>
      <c r="K21" s="8"/>
      <c r="L21" s="8"/>
      <c r="M21" s="8"/>
      <c r="O21" s="8"/>
      <c r="P21" s="8"/>
      <c r="Q21" s="8"/>
      <c r="R21" s="8"/>
      <c r="S21" s="8"/>
      <c r="T21" s="8"/>
      <c r="U21" s="8"/>
      <c r="V21" s="8"/>
      <c r="W21" s="8"/>
      <c r="X21" s="8"/>
      <c r="Y21" s="8"/>
      <c r="Z21" s="8"/>
      <c r="AA21" s="8"/>
      <c r="AB21" s="8"/>
      <c r="AC21" s="8"/>
      <c r="AD21" s="8"/>
    </row>
    <row r="22" spans="1:30" ht="13">
      <c r="A22" s="58"/>
      <c r="B22" s="50">
        <v>19</v>
      </c>
      <c r="C22" s="16" t="s">
        <v>93</v>
      </c>
      <c r="D22" s="17">
        <v>2.88</v>
      </c>
      <c r="E22" s="43"/>
      <c r="F22" s="18">
        <v>103</v>
      </c>
      <c r="G22" s="33">
        <v>970</v>
      </c>
      <c r="H22" s="16" t="s">
        <v>721</v>
      </c>
      <c r="I22" s="8"/>
      <c r="J22" s="8"/>
      <c r="K22" s="8"/>
      <c r="L22" s="8"/>
      <c r="M22" s="8"/>
      <c r="O22" s="8"/>
      <c r="P22" s="8"/>
      <c r="Q22" s="8"/>
      <c r="R22" s="8"/>
      <c r="S22" s="8"/>
      <c r="T22" s="8"/>
      <c r="U22" s="8"/>
      <c r="V22" s="8"/>
      <c r="W22" s="8"/>
      <c r="X22" s="8"/>
      <c r="Y22" s="8"/>
      <c r="Z22" s="8"/>
      <c r="AA22" s="8"/>
      <c r="AB22" s="8"/>
      <c r="AC22" s="8"/>
      <c r="AD22" s="8"/>
    </row>
    <row r="23" spans="1:30" ht="13">
      <c r="A23" s="58"/>
      <c r="B23" s="50">
        <v>20</v>
      </c>
      <c r="C23" s="16" t="s">
        <v>94</v>
      </c>
      <c r="D23" s="17">
        <v>5.76</v>
      </c>
      <c r="E23" s="43"/>
      <c r="F23" s="18">
        <f t="shared" ref="F23:F26" si="4">E23*100</f>
        <v>0</v>
      </c>
      <c r="G23" s="33">
        <f t="shared" ref="G23:G26" si="5">E23*1023</f>
        <v>0</v>
      </c>
      <c r="H23" s="16"/>
      <c r="I23" s="8"/>
      <c r="J23" s="8"/>
      <c r="K23" s="8"/>
      <c r="L23" s="8"/>
      <c r="M23" s="8"/>
      <c r="O23" s="8"/>
      <c r="P23" s="8"/>
      <c r="Q23" s="8"/>
      <c r="R23" s="8"/>
      <c r="S23" s="8"/>
      <c r="T23" s="8"/>
      <c r="U23" s="8"/>
      <c r="V23" s="8"/>
      <c r="W23" s="8"/>
      <c r="X23" s="8"/>
      <c r="Y23" s="8"/>
      <c r="Z23" s="8"/>
      <c r="AA23" s="8"/>
      <c r="AB23" s="8"/>
      <c r="AC23" s="8"/>
      <c r="AD23" s="8"/>
    </row>
    <row r="24" spans="1:30" ht="13">
      <c r="A24" s="58"/>
      <c r="B24" s="50">
        <v>21</v>
      </c>
      <c r="C24" s="16" t="s">
        <v>95</v>
      </c>
      <c r="D24" s="17">
        <v>11.52</v>
      </c>
      <c r="E24" s="43"/>
      <c r="F24" s="18">
        <f t="shared" si="4"/>
        <v>0</v>
      </c>
      <c r="G24" s="33">
        <f t="shared" si="5"/>
        <v>0</v>
      </c>
      <c r="H24" s="16"/>
      <c r="I24" s="8"/>
      <c r="K24" s="8"/>
      <c r="L24" s="8"/>
      <c r="M24" s="8"/>
      <c r="O24" s="8"/>
      <c r="P24" s="8"/>
      <c r="Q24" s="8"/>
      <c r="R24" s="8"/>
      <c r="S24" s="8"/>
      <c r="T24" s="8"/>
      <c r="U24" s="8"/>
      <c r="V24" s="8"/>
      <c r="W24" s="8"/>
      <c r="X24" s="8"/>
      <c r="Y24" s="8"/>
      <c r="Z24" s="8"/>
      <c r="AA24" s="8"/>
      <c r="AB24" s="8"/>
      <c r="AC24" s="8"/>
      <c r="AD24" s="8"/>
    </row>
    <row r="25" spans="1:30" ht="13">
      <c r="A25" s="58"/>
      <c r="B25" s="50">
        <v>22</v>
      </c>
      <c r="C25" s="16" t="s">
        <v>96</v>
      </c>
      <c r="D25" s="17">
        <v>23.04</v>
      </c>
      <c r="E25" s="43"/>
      <c r="F25" s="18">
        <f t="shared" si="4"/>
        <v>0</v>
      </c>
      <c r="G25" s="33">
        <f t="shared" si="5"/>
        <v>0</v>
      </c>
      <c r="H25" s="16"/>
      <c r="I25" s="8"/>
      <c r="K25" s="8"/>
      <c r="L25" s="8"/>
      <c r="M25" s="8"/>
      <c r="O25" s="8"/>
      <c r="P25" s="8"/>
      <c r="Q25" s="8"/>
      <c r="R25" s="8"/>
      <c r="S25" s="8"/>
      <c r="T25" s="8"/>
      <c r="U25" s="8"/>
      <c r="V25" s="8"/>
      <c r="W25" s="8"/>
      <c r="X25" s="8"/>
      <c r="Y25" s="8"/>
      <c r="Z25" s="8"/>
      <c r="AA25" s="8"/>
      <c r="AB25" s="8"/>
      <c r="AC25" s="8"/>
      <c r="AD25" s="8"/>
    </row>
    <row r="26" spans="1:30" ht="13">
      <c r="A26" s="58"/>
      <c r="B26" s="50">
        <v>23</v>
      </c>
      <c r="C26" s="16" t="s">
        <v>97</v>
      </c>
      <c r="D26" s="17">
        <v>46.08</v>
      </c>
      <c r="E26" s="43"/>
      <c r="F26" s="18">
        <f t="shared" si="4"/>
        <v>0</v>
      </c>
      <c r="G26" s="33">
        <f t="shared" si="5"/>
        <v>0</v>
      </c>
      <c r="H26" s="16"/>
      <c r="I26" s="8"/>
      <c r="J26" s="8"/>
      <c r="K26" s="8"/>
      <c r="L26" s="8"/>
      <c r="M26" s="8"/>
      <c r="O26" s="8"/>
      <c r="P26" s="8"/>
      <c r="Q26" s="8"/>
      <c r="R26" s="8"/>
      <c r="S26" s="8"/>
      <c r="T26" s="8"/>
      <c r="U26" s="8"/>
      <c r="V26" s="8"/>
      <c r="W26" s="8"/>
      <c r="X26" s="8"/>
      <c r="Y26" s="8"/>
      <c r="Z26" s="8"/>
      <c r="AA26" s="8"/>
      <c r="AB26" s="8"/>
      <c r="AC26" s="8"/>
      <c r="AD26" s="8"/>
    </row>
    <row r="27" spans="1:30" ht="13">
      <c r="A27" s="58"/>
      <c r="B27" s="50">
        <v>24</v>
      </c>
      <c r="C27" s="5"/>
      <c r="D27" s="5"/>
      <c r="E27" s="5"/>
      <c r="F27" s="5"/>
      <c r="G27" s="5"/>
      <c r="H27" s="43"/>
      <c r="I27" s="8"/>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710</v>
      </c>
      <c r="D29" s="173" t="s">
        <v>142</v>
      </c>
      <c r="E29" s="166"/>
      <c r="F29" s="166"/>
      <c r="G29" s="167"/>
      <c r="H29" s="41" t="s">
        <v>228</v>
      </c>
      <c r="I29" s="8"/>
      <c r="J29" s="8"/>
      <c r="Y29" s="8"/>
      <c r="Z29" s="8"/>
      <c r="AA29" s="8"/>
      <c r="AB29" s="8"/>
      <c r="AC29" s="8"/>
      <c r="AD29" s="8"/>
    </row>
    <row r="30" spans="1:30" ht="42">
      <c r="A30" s="8"/>
      <c r="B30" s="41" t="s">
        <v>58</v>
      </c>
      <c r="C30" s="41" t="s">
        <v>59</v>
      </c>
      <c r="D30" s="41" t="s">
        <v>143</v>
      </c>
      <c r="E30" s="83" t="s">
        <v>144</v>
      </c>
      <c r="F30" s="83" t="s">
        <v>145</v>
      </c>
      <c r="G30" s="83" t="s">
        <v>146</v>
      </c>
      <c r="H30" s="43"/>
      <c r="I30" s="8"/>
      <c r="Y30" s="8"/>
      <c r="Z30" s="8"/>
      <c r="AA30" s="8"/>
      <c r="AB30" s="8"/>
      <c r="AC30" s="8"/>
      <c r="AD30" s="8"/>
    </row>
    <row r="31" spans="1:30" ht="15">
      <c r="A31" s="58"/>
      <c r="B31" s="69">
        <v>1</v>
      </c>
      <c r="C31" s="43" t="s">
        <v>229</v>
      </c>
      <c r="D31" s="69">
        <v>7.0312499999999997E-4</v>
      </c>
      <c r="E31" s="43"/>
      <c r="F31" s="71">
        <f t="shared" ref="F31:F191" si="6">E31*100</f>
        <v>0</v>
      </c>
      <c r="G31" s="84">
        <f t="shared" ref="G31:G191" si="7">E31*1023</f>
        <v>0</v>
      </c>
      <c r="H31" s="43"/>
      <c r="I31" s="8"/>
      <c r="Y31" s="8"/>
      <c r="Z31" s="8"/>
      <c r="AA31" s="8"/>
      <c r="AB31" s="8"/>
      <c r="AC31" s="8"/>
      <c r="AD31" s="8"/>
    </row>
    <row r="32" spans="1:30" ht="15">
      <c r="A32" s="58"/>
      <c r="B32" s="69">
        <v>2</v>
      </c>
      <c r="C32" s="43" t="s">
        <v>230</v>
      </c>
      <c r="D32" s="69">
        <v>7.5359071584583004E-4</v>
      </c>
      <c r="E32" s="43"/>
      <c r="F32" s="71">
        <f t="shared" si="6"/>
        <v>0</v>
      </c>
      <c r="G32" s="84">
        <f t="shared" si="7"/>
        <v>0</v>
      </c>
      <c r="H32" s="43"/>
      <c r="I32" s="8"/>
      <c r="Y32" s="8"/>
      <c r="Z32" s="8"/>
      <c r="AA32" s="8"/>
      <c r="AB32" s="8"/>
      <c r="AC32" s="8"/>
      <c r="AD32" s="8"/>
    </row>
    <row r="33" spans="1:30" ht="15">
      <c r="A33" s="58"/>
      <c r="B33" s="69">
        <v>3</v>
      </c>
      <c r="C33" s="43" t="s">
        <v>231</v>
      </c>
      <c r="D33" s="69">
        <v>8.0767853085729003E-4</v>
      </c>
      <c r="E33" s="43"/>
      <c r="F33" s="71">
        <f t="shared" si="6"/>
        <v>0</v>
      </c>
      <c r="G33" s="84">
        <f t="shared" si="7"/>
        <v>0</v>
      </c>
      <c r="H33" s="43"/>
      <c r="I33" s="8"/>
      <c r="Y33" s="8"/>
      <c r="Z33" s="8"/>
      <c r="AA33" s="8"/>
      <c r="AB33" s="8"/>
      <c r="AC33" s="8"/>
      <c r="AD33" s="8"/>
    </row>
    <row r="34" spans="1:30" ht="15">
      <c r="A34" s="58"/>
      <c r="B34" s="69">
        <v>4</v>
      </c>
      <c r="C34" s="43" t="s">
        <v>232</v>
      </c>
      <c r="D34" s="69">
        <v>8.6564841563314401E-4</v>
      </c>
      <c r="E34" s="43"/>
      <c r="F34" s="71">
        <f t="shared" si="6"/>
        <v>0</v>
      </c>
      <c r="G34" s="84">
        <f t="shared" si="7"/>
        <v>0</v>
      </c>
      <c r="H34" s="43"/>
      <c r="I34" s="8"/>
      <c r="Y34" s="8"/>
      <c r="Z34" s="8"/>
      <c r="AA34" s="8"/>
      <c r="AB34" s="8"/>
      <c r="AC34" s="8"/>
      <c r="AD34" s="8"/>
    </row>
    <row r="35" spans="1:30" ht="15">
      <c r="A35" s="58"/>
      <c r="B35" s="69">
        <v>5</v>
      </c>
      <c r="C35" s="43" t="s">
        <v>233</v>
      </c>
      <c r="D35" s="69">
        <v>9.2777899976219098E-4</v>
      </c>
      <c r="E35" s="43"/>
      <c r="F35" s="71">
        <f t="shared" si="6"/>
        <v>0</v>
      </c>
      <c r="G35" s="84">
        <f t="shared" si="7"/>
        <v>0</v>
      </c>
      <c r="H35" s="43"/>
      <c r="I35" s="8"/>
      <c r="Y35" s="8"/>
      <c r="Z35" s="8"/>
      <c r="AA35" s="8"/>
      <c r="AB35" s="8"/>
      <c r="AC35" s="8"/>
      <c r="AD35" s="8"/>
    </row>
    <row r="36" spans="1:30" ht="15">
      <c r="A36" s="58"/>
      <c r="B36" s="69">
        <v>6</v>
      </c>
      <c r="C36" s="43" t="s">
        <v>234</v>
      </c>
      <c r="D36" s="69">
        <v>9.9436891104358197E-4</v>
      </c>
      <c r="E36" s="43"/>
      <c r="F36" s="71">
        <f t="shared" si="6"/>
        <v>0</v>
      </c>
      <c r="G36" s="84">
        <f t="shared" si="7"/>
        <v>0</v>
      </c>
      <c r="H36" s="43"/>
      <c r="I36" s="8"/>
      <c r="Y36" s="8"/>
      <c r="Z36" s="8"/>
      <c r="AA36" s="8"/>
      <c r="AB36" s="8"/>
      <c r="AC36" s="8"/>
      <c r="AD36" s="8"/>
    </row>
    <row r="37" spans="1:30" ht="15">
      <c r="A37" s="58"/>
      <c r="B37" s="69">
        <v>7</v>
      </c>
      <c r="C37" s="43" t="s">
        <v>235</v>
      </c>
      <c r="D37" s="69">
        <v>1.06573821082762E-3</v>
      </c>
      <c r="E37" s="43"/>
      <c r="F37" s="71">
        <f t="shared" si="6"/>
        <v>0</v>
      </c>
      <c r="G37" s="84">
        <f t="shared" si="7"/>
        <v>0</v>
      </c>
      <c r="H37" s="43"/>
      <c r="I37" s="8"/>
      <c r="Y37" s="8"/>
      <c r="Z37" s="8"/>
      <c r="AA37" s="8"/>
      <c r="AB37" s="8"/>
      <c r="AC37" s="8"/>
      <c r="AD37" s="8"/>
    </row>
    <row r="38" spans="1:30" ht="15">
      <c r="A38" s="58"/>
      <c r="B38" s="69">
        <v>8</v>
      </c>
      <c r="C38" s="43" t="s">
        <v>236</v>
      </c>
      <c r="D38" s="69">
        <v>1.1422299323759499E-3</v>
      </c>
      <c r="E38" s="43"/>
      <c r="F38" s="71">
        <f t="shared" si="6"/>
        <v>0</v>
      </c>
      <c r="G38" s="84">
        <f t="shared" si="7"/>
        <v>0</v>
      </c>
      <c r="H38" s="43"/>
      <c r="I38" s="8"/>
      <c r="Y38" s="8"/>
      <c r="Z38" s="8"/>
      <c r="AA38" s="8"/>
      <c r="AB38" s="8"/>
      <c r="AC38" s="8"/>
      <c r="AD38" s="8"/>
    </row>
    <row r="39" spans="1:30" ht="15">
      <c r="A39" s="58"/>
      <c r="B39" s="69">
        <v>9</v>
      </c>
      <c r="C39" s="43" t="s">
        <v>237</v>
      </c>
      <c r="D39" s="69">
        <v>1.22421172963517E-3</v>
      </c>
      <c r="E39" s="43"/>
      <c r="F39" s="71">
        <f t="shared" si="6"/>
        <v>0</v>
      </c>
      <c r="G39" s="84">
        <f t="shared" si="7"/>
        <v>0</v>
      </c>
      <c r="H39" s="43"/>
      <c r="I39" s="8"/>
      <c r="Y39" s="8"/>
      <c r="Z39" s="8"/>
      <c r="AA39" s="8"/>
      <c r="AB39" s="8"/>
      <c r="AC39" s="8"/>
      <c r="AD39" s="8"/>
    </row>
    <row r="40" spans="1:30" ht="15">
      <c r="A40" s="58"/>
      <c r="B40" s="69">
        <v>10</v>
      </c>
      <c r="C40" s="43" t="s">
        <v>238</v>
      </c>
      <c r="D40" s="69">
        <v>1.31207764434863E-3</v>
      </c>
      <c r="E40" s="43"/>
      <c r="F40" s="71">
        <f t="shared" si="6"/>
        <v>0</v>
      </c>
      <c r="G40" s="84">
        <f t="shared" si="7"/>
        <v>0</v>
      </c>
      <c r="H40" s="43"/>
      <c r="I40" s="8"/>
      <c r="Y40" s="8"/>
      <c r="Z40" s="8"/>
      <c r="AA40" s="8"/>
      <c r="AB40" s="8"/>
      <c r="AC40" s="8"/>
      <c r="AD40" s="8"/>
    </row>
    <row r="41" spans="1:30" ht="15">
      <c r="A41" s="58"/>
      <c r="B41" s="69">
        <v>11</v>
      </c>
      <c r="C41" s="43" t="s">
        <v>239</v>
      </c>
      <c r="D41" s="69">
        <v>1.4062499999999999E-3</v>
      </c>
      <c r="E41" s="43"/>
      <c r="F41" s="71">
        <f t="shared" si="6"/>
        <v>0</v>
      </c>
      <c r="G41" s="84">
        <f t="shared" si="7"/>
        <v>0</v>
      </c>
      <c r="H41" s="43"/>
      <c r="I41" s="8"/>
      <c r="Y41" s="8"/>
      <c r="Z41" s="8"/>
      <c r="AA41" s="8"/>
      <c r="AB41" s="8"/>
      <c r="AC41" s="8"/>
      <c r="AD41" s="8"/>
    </row>
    <row r="42" spans="1:30" ht="15">
      <c r="A42" s="58"/>
      <c r="B42" s="69">
        <v>12</v>
      </c>
      <c r="C42" s="43" t="s">
        <v>240</v>
      </c>
      <c r="D42" s="69">
        <v>1.5071814316916601E-3</v>
      </c>
      <c r="E42" s="43"/>
      <c r="F42" s="71">
        <f t="shared" si="6"/>
        <v>0</v>
      </c>
      <c r="G42" s="84">
        <f t="shared" si="7"/>
        <v>0</v>
      </c>
      <c r="H42" s="43"/>
      <c r="I42" s="8"/>
      <c r="Y42" s="8"/>
      <c r="Z42" s="8"/>
      <c r="AA42" s="8"/>
      <c r="AB42" s="8"/>
      <c r="AC42" s="8"/>
      <c r="AD42" s="8"/>
    </row>
    <row r="43" spans="1:30" ht="15">
      <c r="A43" s="58"/>
      <c r="B43" s="69">
        <v>13</v>
      </c>
      <c r="C43" s="43" t="s">
        <v>241</v>
      </c>
      <c r="D43" s="69">
        <v>1.6153570617145801E-3</v>
      </c>
      <c r="E43" s="43"/>
      <c r="F43" s="71">
        <f t="shared" si="6"/>
        <v>0</v>
      </c>
      <c r="G43" s="84">
        <f t="shared" si="7"/>
        <v>0</v>
      </c>
      <c r="H43" s="43"/>
      <c r="I43" s="8"/>
      <c r="Y43" s="8"/>
      <c r="Z43" s="8"/>
      <c r="AA43" s="8"/>
      <c r="AB43" s="8"/>
      <c r="AC43" s="8"/>
      <c r="AD43" s="8"/>
    </row>
    <row r="44" spans="1:30" ht="15">
      <c r="A44" s="58"/>
      <c r="B44" s="69">
        <v>14</v>
      </c>
      <c r="C44" s="43" t="s">
        <v>242</v>
      </c>
      <c r="D44" s="69">
        <v>1.73129683126628E-3</v>
      </c>
      <c r="E44" s="43"/>
      <c r="F44" s="71">
        <f t="shared" si="6"/>
        <v>0</v>
      </c>
      <c r="G44" s="84">
        <f t="shared" si="7"/>
        <v>0</v>
      </c>
      <c r="H44" s="43"/>
      <c r="I44" s="8"/>
      <c r="Y44" s="8"/>
      <c r="Z44" s="8"/>
      <c r="AA44" s="8"/>
      <c r="AB44" s="8"/>
      <c r="AC44" s="8"/>
      <c r="AD44" s="8"/>
    </row>
    <row r="45" spans="1:30" ht="15">
      <c r="A45" s="58"/>
      <c r="B45" s="69">
        <v>15</v>
      </c>
      <c r="C45" s="43" t="s">
        <v>243</v>
      </c>
      <c r="D45" s="69">
        <v>1.85555799952438E-3</v>
      </c>
      <c r="E45" s="43"/>
      <c r="F45" s="71">
        <f t="shared" si="6"/>
        <v>0</v>
      </c>
      <c r="G45" s="84">
        <f t="shared" si="7"/>
        <v>0</v>
      </c>
      <c r="H45" s="43"/>
      <c r="I45" s="8"/>
      <c r="Y45" s="8"/>
      <c r="Z45" s="8"/>
      <c r="AA45" s="8"/>
      <c r="AB45" s="8"/>
      <c r="AC45" s="8"/>
      <c r="AD45" s="8"/>
    </row>
    <row r="46" spans="1:30" ht="15">
      <c r="A46" s="58"/>
      <c r="B46" s="69">
        <v>16</v>
      </c>
      <c r="C46" s="43" t="s">
        <v>244</v>
      </c>
      <c r="D46" s="69">
        <v>1.98873782208716E-3</v>
      </c>
      <c r="E46" s="43"/>
      <c r="F46" s="71">
        <f t="shared" si="6"/>
        <v>0</v>
      </c>
      <c r="G46" s="84">
        <f t="shared" si="7"/>
        <v>0</v>
      </c>
      <c r="H46" s="43"/>
      <c r="I46" s="8"/>
      <c r="Y46" s="8"/>
      <c r="Z46" s="8"/>
      <c r="AA46" s="8"/>
      <c r="AB46" s="8"/>
      <c r="AC46" s="8"/>
      <c r="AD46" s="8"/>
    </row>
    <row r="47" spans="1:30" ht="15">
      <c r="A47" s="58"/>
      <c r="B47" s="69">
        <v>17</v>
      </c>
      <c r="C47" s="43" t="s">
        <v>245</v>
      </c>
      <c r="D47" s="69">
        <v>2.13147642165524E-3</v>
      </c>
      <c r="E47" s="43"/>
      <c r="F47" s="71">
        <f t="shared" si="6"/>
        <v>0</v>
      </c>
      <c r="G47" s="84">
        <f t="shared" si="7"/>
        <v>0</v>
      </c>
      <c r="H47" s="43"/>
      <c r="I47" s="8"/>
      <c r="Y47" s="8"/>
      <c r="Z47" s="8"/>
      <c r="AA47" s="8"/>
      <c r="AB47" s="8"/>
      <c r="AC47" s="8"/>
      <c r="AD47" s="8"/>
    </row>
    <row r="48" spans="1:30" ht="15">
      <c r="A48" s="58"/>
      <c r="B48" s="69">
        <v>18</v>
      </c>
      <c r="C48" s="43" t="s">
        <v>246</v>
      </c>
      <c r="D48" s="69">
        <v>2.2844598647519098E-3</v>
      </c>
      <c r="E48" s="43"/>
      <c r="F48" s="71">
        <f t="shared" si="6"/>
        <v>0</v>
      </c>
      <c r="G48" s="84">
        <f t="shared" si="7"/>
        <v>0</v>
      </c>
      <c r="H48" s="43"/>
      <c r="I48" s="8"/>
      <c r="Y48" s="8"/>
      <c r="Z48" s="8"/>
      <c r="AA48" s="8"/>
      <c r="AB48" s="8"/>
      <c r="AC48" s="8"/>
      <c r="AD48" s="8"/>
    </row>
    <row r="49" spans="1:30" ht="15">
      <c r="A49" s="58"/>
      <c r="B49" s="69">
        <v>19</v>
      </c>
      <c r="C49" s="43" t="s">
        <v>247</v>
      </c>
      <c r="D49" s="69">
        <v>2.44842345927034E-3</v>
      </c>
      <c r="E49" s="43"/>
      <c r="F49" s="71">
        <f t="shared" si="6"/>
        <v>0</v>
      </c>
      <c r="G49" s="84">
        <f t="shared" si="7"/>
        <v>0</v>
      </c>
      <c r="H49" s="43"/>
      <c r="I49" s="8"/>
      <c r="Y49" s="8"/>
      <c r="Z49" s="8"/>
      <c r="AA49" s="8"/>
      <c r="AB49" s="8"/>
      <c r="AC49" s="8"/>
      <c r="AD49" s="8"/>
    </row>
    <row r="50" spans="1:30" ht="15">
      <c r="A50" s="58"/>
      <c r="B50" s="69">
        <v>20</v>
      </c>
      <c r="C50" s="43" t="s">
        <v>248</v>
      </c>
      <c r="D50" s="69">
        <v>2.6241552886972701E-3</v>
      </c>
      <c r="E50" s="43"/>
      <c r="F50" s="71">
        <f t="shared" si="6"/>
        <v>0</v>
      </c>
      <c r="G50" s="84">
        <f t="shared" si="7"/>
        <v>0</v>
      </c>
      <c r="H50" s="43"/>
      <c r="I50" s="8"/>
      <c r="Y50" s="8"/>
      <c r="Z50" s="8"/>
      <c r="AA50" s="8"/>
      <c r="AB50" s="8"/>
      <c r="AC50" s="8"/>
      <c r="AD50" s="8"/>
    </row>
    <row r="51" spans="1:30" ht="15">
      <c r="A51" s="58"/>
      <c r="B51" s="69">
        <v>21</v>
      </c>
      <c r="C51" s="43" t="s">
        <v>249</v>
      </c>
      <c r="D51" s="69">
        <v>2.8124999999999999E-3</v>
      </c>
      <c r="E51" s="43"/>
      <c r="F51" s="71">
        <f t="shared" si="6"/>
        <v>0</v>
      </c>
      <c r="G51" s="84">
        <f t="shared" si="7"/>
        <v>0</v>
      </c>
      <c r="H51" s="43"/>
      <c r="I51" s="8"/>
      <c r="Y51" s="8"/>
      <c r="Z51" s="8"/>
      <c r="AA51" s="8"/>
      <c r="AB51" s="8"/>
      <c r="AC51" s="8"/>
      <c r="AD51" s="8"/>
    </row>
    <row r="52" spans="1:30" ht="15">
      <c r="A52" s="58"/>
      <c r="B52" s="69">
        <v>22</v>
      </c>
      <c r="C52" s="43" t="s">
        <v>250</v>
      </c>
      <c r="D52" s="69">
        <v>3.0143628633833202E-3</v>
      </c>
      <c r="E52" s="43"/>
      <c r="F52" s="71">
        <f t="shared" si="6"/>
        <v>0</v>
      </c>
      <c r="G52" s="84">
        <f t="shared" si="7"/>
        <v>0</v>
      </c>
      <c r="H52" s="43"/>
      <c r="I52" s="8"/>
      <c r="Y52" s="8"/>
      <c r="Z52" s="8"/>
      <c r="AA52" s="8"/>
      <c r="AB52" s="8"/>
      <c r="AC52" s="8"/>
      <c r="AD52" s="8"/>
    </row>
    <row r="53" spans="1:30" ht="15">
      <c r="A53" s="58"/>
      <c r="B53" s="69">
        <v>23</v>
      </c>
      <c r="C53" s="43" t="s">
        <v>251</v>
      </c>
      <c r="D53" s="69">
        <v>3.2307141234291601E-3</v>
      </c>
      <c r="E53" s="43"/>
      <c r="F53" s="71">
        <f t="shared" si="6"/>
        <v>0</v>
      </c>
      <c r="G53" s="84">
        <f t="shared" si="7"/>
        <v>0</v>
      </c>
      <c r="H53" s="43"/>
      <c r="I53" s="8"/>
      <c r="Y53" s="8"/>
      <c r="Z53" s="8"/>
      <c r="AA53" s="8"/>
      <c r="AB53" s="8"/>
      <c r="AC53" s="8"/>
      <c r="AD53" s="8"/>
    </row>
    <row r="54" spans="1:30" ht="15">
      <c r="A54" s="58"/>
      <c r="B54" s="69">
        <v>24</v>
      </c>
      <c r="C54" s="43" t="s">
        <v>252</v>
      </c>
      <c r="D54" s="69">
        <v>3.46259366253257E-3</v>
      </c>
      <c r="E54" s="43"/>
      <c r="F54" s="71">
        <f t="shared" si="6"/>
        <v>0</v>
      </c>
      <c r="G54" s="84">
        <f t="shared" si="7"/>
        <v>0</v>
      </c>
      <c r="H54" s="43"/>
      <c r="I54" s="8"/>
      <c r="Y54" s="8"/>
      <c r="Z54" s="8"/>
      <c r="AA54" s="8"/>
      <c r="AB54" s="8"/>
      <c r="AC54" s="8"/>
      <c r="AD54" s="8"/>
    </row>
    <row r="55" spans="1:30" ht="15">
      <c r="A55" s="58"/>
      <c r="B55" s="69">
        <v>25</v>
      </c>
      <c r="C55" s="43" t="s">
        <v>253</v>
      </c>
      <c r="D55" s="69">
        <v>3.71111599904876E-3</v>
      </c>
      <c r="E55" s="43"/>
      <c r="F55" s="71">
        <f t="shared" si="6"/>
        <v>0</v>
      </c>
      <c r="G55" s="84">
        <f t="shared" si="7"/>
        <v>0</v>
      </c>
      <c r="H55" s="43"/>
      <c r="I55" s="8"/>
      <c r="Y55" s="8"/>
      <c r="Z55" s="8"/>
      <c r="AA55" s="8"/>
      <c r="AB55" s="8"/>
      <c r="AC55" s="8"/>
      <c r="AD55" s="8"/>
    </row>
    <row r="56" spans="1:30" ht="15">
      <c r="A56" s="58"/>
      <c r="B56" s="69">
        <v>26</v>
      </c>
      <c r="C56" s="43" t="s">
        <v>254</v>
      </c>
      <c r="D56" s="69">
        <v>3.9774756441743296E-3</v>
      </c>
      <c r="E56" s="43"/>
      <c r="F56" s="71">
        <f t="shared" si="6"/>
        <v>0</v>
      </c>
      <c r="G56" s="84">
        <f t="shared" si="7"/>
        <v>0</v>
      </c>
      <c r="H56" s="43"/>
      <c r="I56" s="8"/>
      <c r="Y56" s="8"/>
      <c r="Z56" s="8"/>
      <c r="AA56" s="8"/>
      <c r="AB56" s="8"/>
      <c r="AC56" s="8"/>
      <c r="AD56" s="8"/>
    </row>
    <row r="57" spans="1:30" ht="15">
      <c r="A57" s="58"/>
      <c r="B57" s="69">
        <v>27</v>
      </c>
      <c r="C57" s="43" t="s">
        <v>255</v>
      </c>
      <c r="D57" s="69">
        <v>4.2629528433104904E-3</v>
      </c>
      <c r="E57" s="43"/>
      <c r="F57" s="71">
        <f t="shared" si="6"/>
        <v>0</v>
      </c>
      <c r="G57" s="84">
        <f t="shared" si="7"/>
        <v>0</v>
      </c>
      <c r="H57" s="43"/>
      <c r="I57" s="8"/>
      <c r="Y57" s="8"/>
      <c r="Z57" s="8"/>
      <c r="AA57" s="8"/>
      <c r="AB57" s="8"/>
      <c r="AC57" s="8"/>
      <c r="AD57" s="8"/>
    </row>
    <row r="58" spans="1:30" ht="15">
      <c r="A58" s="58"/>
      <c r="B58" s="69">
        <v>28</v>
      </c>
      <c r="C58" s="43" t="s">
        <v>256</v>
      </c>
      <c r="D58" s="69">
        <v>4.5689197295038196E-3</v>
      </c>
      <c r="E58" s="43"/>
      <c r="F58" s="71">
        <f t="shared" si="6"/>
        <v>0</v>
      </c>
      <c r="G58" s="84">
        <f t="shared" si="7"/>
        <v>0</v>
      </c>
      <c r="H58" s="43"/>
      <c r="I58" s="8"/>
      <c r="Y58" s="8"/>
      <c r="Z58" s="8"/>
      <c r="AA58" s="8"/>
      <c r="AB58" s="8"/>
      <c r="AC58" s="8"/>
      <c r="AD58" s="8"/>
    </row>
    <row r="59" spans="1:30" ht="15">
      <c r="A59" s="58"/>
      <c r="B59" s="69">
        <v>29</v>
      </c>
      <c r="C59" s="43" t="s">
        <v>257</v>
      </c>
      <c r="D59" s="69">
        <v>4.8968469185406904E-3</v>
      </c>
      <c r="E59" s="43"/>
      <c r="F59" s="71">
        <f t="shared" si="6"/>
        <v>0</v>
      </c>
      <c r="G59" s="84">
        <f t="shared" si="7"/>
        <v>0</v>
      </c>
      <c r="H59" s="43"/>
      <c r="I59" s="8"/>
      <c r="Y59" s="8"/>
      <c r="Z59" s="8"/>
      <c r="AA59" s="8"/>
      <c r="AB59" s="8"/>
      <c r="AC59" s="8"/>
      <c r="AD59" s="8"/>
    </row>
    <row r="60" spans="1:30" ht="15">
      <c r="A60" s="58"/>
      <c r="B60" s="69">
        <v>30</v>
      </c>
      <c r="C60" s="43" t="s">
        <v>258</v>
      </c>
      <c r="D60" s="69">
        <v>5.2483105773945401E-3</v>
      </c>
      <c r="E60" s="43"/>
      <c r="F60" s="71">
        <f t="shared" si="6"/>
        <v>0</v>
      </c>
      <c r="G60" s="84">
        <f t="shared" si="7"/>
        <v>0</v>
      </c>
      <c r="H60" s="43"/>
      <c r="I60" s="8"/>
      <c r="Y60" s="8"/>
      <c r="Z60" s="8"/>
      <c r="AA60" s="8"/>
      <c r="AB60" s="8"/>
      <c r="AC60" s="8"/>
      <c r="AD60" s="8"/>
    </row>
    <row r="61" spans="1:30" ht="15">
      <c r="A61" s="58"/>
      <c r="B61" s="69">
        <v>31</v>
      </c>
      <c r="C61" s="43" t="s">
        <v>259</v>
      </c>
      <c r="D61" s="69">
        <v>5.6249999999999998E-3</v>
      </c>
      <c r="E61" s="43"/>
      <c r="F61" s="71">
        <f t="shared" si="6"/>
        <v>0</v>
      </c>
      <c r="G61" s="84">
        <f t="shared" si="7"/>
        <v>0</v>
      </c>
      <c r="H61" s="43"/>
      <c r="I61" s="8"/>
      <c r="Y61" s="8"/>
      <c r="Z61" s="8"/>
      <c r="AA61" s="8"/>
      <c r="AB61" s="8"/>
      <c r="AC61" s="8"/>
      <c r="AD61" s="8"/>
    </row>
    <row r="62" spans="1:30" ht="15">
      <c r="A62" s="58"/>
      <c r="B62" s="69">
        <v>32</v>
      </c>
      <c r="C62" s="43" t="s">
        <v>260</v>
      </c>
      <c r="D62" s="69">
        <v>6.0287257267666403E-3</v>
      </c>
      <c r="E62" s="43"/>
      <c r="F62" s="71">
        <f t="shared" si="6"/>
        <v>0</v>
      </c>
      <c r="G62" s="84">
        <f t="shared" si="7"/>
        <v>0</v>
      </c>
      <c r="H62" s="43"/>
      <c r="I62" s="8"/>
      <c r="Y62" s="8"/>
      <c r="Z62" s="8"/>
      <c r="AA62" s="8"/>
      <c r="AB62" s="8"/>
      <c r="AC62" s="8"/>
      <c r="AD62" s="8"/>
    </row>
    <row r="63" spans="1:30" ht="15">
      <c r="A63" s="58"/>
      <c r="B63" s="69">
        <v>33</v>
      </c>
      <c r="C63" s="43" t="s">
        <v>261</v>
      </c>
      <c r="D63" s="69">
        <v>6.4614282468583202E-3</v>
      </c>
      <c r="E63" s="43"/>
      <c r="F63" s="71">
        <f t="shared" si="6"/>
        <v>0</v>
      </c>
      <c r="G63" s="84">
        <f t="shared" si="7"/>
        <v>0</v>
      </c>
      <c r="H63" s="43"/>
      <c r="I63" s="8"/>
      <c r="Y63" s="8"/>
      <c r="Z63" s="8"/>
      <c r="AA63" s="8"/>
      <c r="AB63" s="8"/>
      <c r="AC63" s="8"/>
      <c r="AD63" s="8"/>
    </row>
    <row r="64" spans="1:30" ht="15">
      <c r="A64" s="58"/>
      <c r="B64" s="69">
        <v>34</v>
      </c>
      <c r="C64" s="43" t="s">
        <v>262</v>
      </c>
      <c r="D64" s="69">
        <v>6.9251873250651503E-3</v>
      </c>
      <c r="E64" s="43"/>
      <c r="F64" s="71">
        <f t="shared" si="6"/>
        <v>0</v>
      </c>
      <c r="G64" s="84">
        <f t="shared" si="7"/>
        <v>0</v>
      </c>
      <c r="H64" s="43"/>
      <c r="I64" s="8"/>
      <c r="Y64" s="8"/>
      <c r="Z64" s="8"/>
      <c r="AA64" s="8"/>
      <c r="AB64" s="8"/>
      <c r="AC64" s="8"/>
      <c r="AD64" s="8"/>
    </row>
    <row r="65" spans="1:30" ht="15">
      <c r="A65" s="58"/>
      <c r="B65" s="69">
        <v>35</v>
      </c>
      <c r="C65" s="43" t="s">
        <v>263</v>
      </c>
      <c r="D65" s="69">
        <v>7.4222319980975296E-3</v>
      </c>
      <c r="E65" s="43"/>
      <c r="F65" s="71">
        <f t="shared" si="6"/>
        <v>0</v>
      </c>
      <c r="G65" s="84">
        <f t="shared" si="7"/>
        <v>0</v>
      </c>
      <c r="H65" s="43"/>
      <c r="I65" s="8"/>
      <c r="Y65" s="8"/>
      <c r="Z65" s="8"/>
      <c r="AA65" s="8"/>
      <c r="AB65" s="8"/>
      <c r="AC65" s="8"/>
      <c r="AD65" s="8"/>
    </row>
    <row r="66" spans="1:30" ht="15">
      <c r="A66" s="58"/>
      <c r="B66" s="69">
        <v>36</v>
      </c>
      <c r="C66" s="43" t="s">
        <v>264</v>
      </c>
      <c r="D66" s="69">
        <v>7.9549512883486592E-3</v>
      </c>
      <c r="E66" s="43"/>
      <c r="F66" s="71">
        <f t="shared" si="6"/>
        <v>0</v>
      </c>
      <c r="G66" s="84">
        <f t="shared" si="7"/>
        <v>0</v>
      </c>
      <c r="H66" s="43"/>
      <c r="I66" s="8"/>
      <c r="Y66" s="8"/>
      <c r="Z66" s="8"/>
      <c r="AA66" s="8"/>
      <c r="AB66" s="8"/>
      <c r="AC66" s="8"/>
      <c r="AD66" s="8"/>
    </row>
    <row r="67" spans="1:30" ht="15">
      <c r="A67" s="58"/>
      <c r="B67" s="69">
        <v>37</v>
      </c>
      <c r="C67" s="43" t="s">
        <v>265</v>
      </c>
      <c r="D67" s="69">
        <v>8.5259056866209808E-3</v>
      </c>
      <c r="E67" s="43"/>
      <c r="F67" s="71">
        <f t="shared" si="6"/>
        <v>0</v>
      </c>
      <c r="G67" s="84">
        <f t="shared" si="7"/>
        <v>0</v>
      </c>
      <c r="H67" s="43"/>
      <c r="I67" s="8"/>
      <c r="Y67" s="8"/>
      <c r="Z67" s="8"/>
      <c r="AA67" s="8"/>
      <c r="AB67" s="8"/>
      <c r="AC67" s="8"/>
      <c r="AD67" s="8"/>
    </row>
    <row r="68" spans="1:30" ht="15">
      <c r="A68" s="58"/>
      <c r="B68" s="69">
        <v>38</v>
      </c>
      <c r="C68" s="43" t="s">
        <v>266</v>
      </c>
      <c r="D68" s="69">
        <v>9.1378394590076496E-3</v>
      </c>
      <c r="E68" s="43"/>
      <c r="F68" s="71">
        <f t="shared" si="6"/>
        <v>0</v>
      </c>
      <c r="G68" s="84">
        <f t="shared" si="7"/>
        <v>0</v>
      </c>
      <c r="H68" s="43"/>
      <c r="I68" s="8"/>
      <c r="Y68" s="8"/>
      <c r="Z68" s="8"/>
      <c r="AA68" s="8"/>
      <c r="AB68" s="8"/>
      <c r="AC68" s="8"/>
      <c r="AD68" s="8"/>
    </row>
    <row r="69" spans="1:30" ht="15">
      <c r="A69" s="58"/>
      <c r="B69" s="69">
        <v>39</v>
      </c>
      <c r="C69" s="43" t="s">
        <v>267</v>
      </c>
      <c r="D69" s="69">
        <v>9.7936938370813895E-3</v>
      </c>
      <c r="E69" s="43"/>
      <c r="F69" s="71">
        <f t="shared" si="6"/>
        <v>0</v>
      </c>
      <c r="G69" s="84">
        <f t="shared" si="7"/>
        <v>0</v>
      </c>
      <c r="H69" s="43"/>
      <c r="I69" s="8"/>
      <c r="Y69" s="8"/>
      <c r="Z69" s="8"/>
      <c r="AA69" s="8"/>
      <c r="AB69" s="8"/>
      <c r="AC69" s="8"/>
      <c r="AD69" s="8"/>
    </row>
    <row r="70" spans="1:30" ht="15">
      <c r="A70" s="58"/>
      <c r="B70" s="69">
        <v>40</v>
      </c>
      <c r="C70" s="43" t="s">
        <v>268</v>
      </c>
      <c r="D70" s="69">
        <v>1.0496621154789E-2</v>
      </c>
      <c r="E70" s="43"/>
      <c r="F70" s="71">
        <f t="shared" si="6"/>
        <v>0</v>
      </c>
      <c r="G70" s="84">
        <f t="shared" si="7"/>
        <v>0</v>
      </c>
      <c r="H70" s="43"/>
      <c r="I70" s="8"/>
      <c r="Y70" s="8"/>
      <c r="Z70" s="8"/>
      <c r="AA70" s="8"/>
      <c r="AB70" s="8"/>
      <c r="AC70" s="8"/>
      <c r="AD70" s="8"/>
    </row>
    <row r="71" spans="1:30" ht="15">
      <c r="A71" s="58"/>
      <c r="B71" s="69">
        <v>41</v>
      </c>
      <c r="C71" s="43" t="s">
        <v>269</v>
      </c>
      <c r="D71" s="69">
        <v>1.125E-2</v>
      </c>
      <c r="E71" s="43"/>
      <c r="F71" s="71">
        <f t="shared" si="6"/>
        <v>0</v>
      </c>
      <c r="G71" s="84">
        <f t="shared" si="7"/>
        <v>0</v>
      </c>
      <c r="H71" s="43"/>
      <c r="I71" s="8"/>
      <c r="Y71" s="8"/>
      <c r="Z71" s="8"/>
      <c r="AA71" s="8"/>
      <c r="AB71" s="8"/>
      <c r="AC71" s="8"/>
      <c r="AD71" s="8"/>
    </row>
    <row r="72" spans="1:30" ht="15">
      <c r="A72" s="58"/>
      <c r="B72" s="69">
        <v>42</v>
      </c>
      <c r="C72" s="43" t="s">
        <v>270</v>
      </c>
      <c r="D72" s="69">
        <v>1.2057451453533201E-2</v>
      </c>
      <c r="E72" s="43"/>
      <c r="F72" s="71">
        <f t="shared" si="6"/>
        <v>0</v>
      </c>
      <c r="G72" s="84">
        <f t="shared" si="7"/>
        <v>0</v>
      </c>
      <c r="H72" s="43"/>
      <c r="I72" s="8"/>
      <c r="Y72" s="8"/>
      <c r="Z72" s="8"/>
      <c r="AA72" s="8"/>
      <c r="AB72" s="8"/>
      <c r="AC72" s="8"/>
      <c r="AD72" s="8"/>
    </row>
    <row r="73" spans="1:30" ht="15">
      <c r="A73" s="58"/>
      <c r="B73" s="69">
        <v>43</v>
      </c>
      <c r="C73" s="43" t="s">
        <v>271</v>
      </c>
      <c r="D73" s="69">
        <v>1.2922856493716601E-2</v>
      </c>
      <c r="E73" s="43"/>
      <c r="F73" s="71">
        <f t="shared" si="6"/>
        <v>0</v>
      </c>
      <c r="G73" s="84">
        <f t="shared" si="7"/>
        <v>0</v>
      </c>
      <c r="H73" s="43"/>
      <c r="I73" s="8"/>
      <c r="Y73" s="8"/>
      <c r="Z73" s="8"/>
      <c r="AA73" s="8"/>
      <c r="AB73" s="8"/>
      <c r="AC73" s="8"/>
      <c r="AD73" s="8"/>
    </row>
    <row r="74" spans="1:30" ht="15">
      <c r="A74" s="58"/>
      <c r="B74" s="69">
        <v>44</v>
      </c>
      <c r="C74" s="43" t="s">
        <v>272</v>
      </c>
      <c r="D74" s="69">
        <v>1.3850374650130301E-2</v>
      </c>
      <c r="E74" s="43"/>
      <c r="F74" s="71">
        <f t="shared" si="6"/>
        <v>0</v>
      </c>
      <c r="G74" s="84">
        <f t="shared" si="7"/>
        <v>0</v>
      </c>
      <c r="H74" s="43"/>
      <c r="I74" s="8"/>
      <c r="Y74" s="8"/>
      <c r="Z74" s="8"/>
      <c r="AA74" s="8"/>
      <c r="AB74" s="8"/>
      <c r="AC74" s="8"/>
      <c r="AD74" s="8"/>
    </row>
    <row r="75" spans="1:30" ht="15">
      <c r="A75" s="58"/>
      <c r="B75" s="69">
        <v>45</v>
      </c>
      <c r="C75" s="43" t="s">
        <v>273</v>
      </c>
      <c r="D75" s="69">
        <v>1.4844463996195E-2</v>
      </c>
      <c r="E75" s="43"/>
      <c r="F75" s="71">
        <f t="shared" si="6"/>
        <v>0</v>
      </c>
      <c r="G75" s="84">
        <f t="shared" si="7"/>
        <v>0</v>
      </c>
      <c r="H75" s="43"/>
      <c r="I75" s="8"/>
      <c r="Y75" s="8"/>
      <c r="Z75" s="8"/>
      <c r="AA75" s="8"/>
      <c r="AB75" s="8"/>
      <c r="AC75" s="8"/>
      <c r="AD75" s="8"/>
    </row>
    <row r="76" spans="1:30" ht="15">
      <c r="A76" s="58"/>
      <c r="B76" s="69">
        <v>46</v>
      </c>
      <c r="C76" s="43" t="s">
        <v>274</v>
      </c>
      <c r="D76" s="69">
        <v>1.5909902576697301E-2</v>
      </c>
      <c r="E76" s="43"/>
      <c r="F76" s="71">
        <f t="shared" si="6"/>
        <v>0</v>
      </c>
      <c r="G76" s="84">
        <f t="shared" si="7"/>
        <v>0</v>
      </c>
      <c r="H76" s="43"/>
      <c r="I76" s="8"/>
      <c r="Y76" s="8"/>
      <c r="Z76" s="8"/>
      <c r="AA76" s="8"/>
      <c r="AB76" s="8"/>
      <c r="AC76" s="8"/>
      <c r="AD76" s="8"/>
    </row>
    <row r="77" spans="1:30" ht="15">
      <c r="A77" s="58"/>
      <c r="B77" s="69">
        <v>47</v>
      </c>
      <c r="C77" s="43" t="s">
        <v>275</v>
      </c>
      <c r="D77" s="69">
        <v>1.7051811373241899E-2</v>
      </c>
      <c r="E77" s="43"/>
      <c r="F77" s="71">
        <f t="shared" si="6"/>
        <v>0</v>
      </c>
      <c r="G77" s="84">
        <f t="shared" si="7"/>
        <v>0</v>
      </c>
      <c r="H77" s="43"/>
      <c r="I77" s="8"/>
      <c r="Y77" s="8"/>
      <c r="Z77" s="8"/>
      <c r="AA77" s="8"/>
      <c r="AB77" s="8"/>
      <c r="AC77" s="8"/>
      <c r="AD77" s="8"/>
    </row>
    <row r="78" spans="1:30" ht="15">
      <c r="A78" s="58"/>
      <c r="B78" s="69">
        <v>48</v>
      </c>
      <c r="C78" s="43" t="s">
        <v>276</v>
      </c>
      <c r="D78" s="69">
        <v>1.8275678918015299E-2</v>
      </c>
      <c r="E78" s="43"/>
      <c r="F78" s="71">
        <f t="shared" si="6"/>
        <v>0</v>
      </c>
      <c r="G78" s="84">
        <f t="shared" si="7"/>
        <v>0</v>
      </c>
      <c r="H78" s="43"/>
      <c r="I78" s="8"/>
      <c r="Y78" s="8"/>
      <c r="Z78" s="8"/>
      <c r="AA78" s="8"/>
      <c r="AB78" s="8"/>
      <c r="AC78" s="8"/>
      <c r="AD78" s="8"/>
    </row>
    <row r="79" spans="1:30" ht="15">
      <c r="A79" s="58"/>
      <c r="B79" s="69">
        <v>49</v>
      </c>
      <c r="C79" s="43" t="s">
        <v>277</v>
      </c>
      <c r="D79" s="69">
        <v>1.9587387674162699E-2</v>
      </c>
      <c r="E79" s="43"/>
      <c r="F79" s="71">
        <f t="shared" si="6"/>
        <v>0</v>
      </c>
      <c r="G79" s="84">
        <f t="shared" si="7"/>
        <v>0</v>
      </c>
      <c r="H79" s="43"/>
      <c r="I79" s="8"/>
      <c r="Y79" s="8"/>
      <c r="Z79" s="8"/>
      <c r="AA79" s="8"/>
      <c r="AB79" s="8"/>
      <c r="AC79" s="8"/>
      <c r="AD79" s="8"/>
    </row>
    <row r="80" spans="1:30" ht="15">
      <c r="A80" s="58"/>
      <c r="B80" s="69">
        <v>50</v>
      </c>
      <c r="C80" s="43" t="s">
        <v>278</v>
      </c>
      <c r="D80" s="69">
        <v>2.0993242309578102E-2</v>
      </c>
      <c r="E80" s="43"/>
      <c r="F80" s="71">
        <f t="shared" si="6"/>
        <v>0</v>
      </c>
      <c r="G80" s="84">
        <f t="shared" si="7"/>
        <v>0</v>
      </c>
      <c r="H80" s="43"/>
      <c r="I80" s="8"/>
      <c r="Y80" s="8"/>
      <c r="Z80" s="8"/>
      <c r="AA80" s="8"/>
      <c r="AB80" s="8"/>
      <c r="AC80" s="8"/>
      <c r="AD80" s="8"/>
    </row>
    <row r="81" spans="1:30" ht="15">
      <c r="A81" s="58"/>
      <c r="B81" s="69">
        <v>51</v>
      </c>
      <c r="C81" s="43" t="s">
        <v>279</v>
      </c>
      <c r="D81" s="69">
        <v>2.2499999999999999E-2</v>
      </c>
      <c r="E81" s="43"/>
      <c r="F81" s="71">
        <f t="shared" si="6"/>
        <v>0</v>
      </c>
      <c r="G81" s="84">
        <f t="shared" si="7"/>
        <v>0</v>
      </c>
      <c r="H81" s="43"/>
      <c r="I81" s="8"/>
      <c r="Y81" s="8"/>
      <c r="Z81" s="8"/>
      <c r="AA81" s="8"/>
      <c r="AB81" s="8"/>
      <c r="AC81" s="8"/>
      <c r="AD81" s="8"/>
    </row>
    <row r="82" spans="1:30" ht="15">
      <c r="A82" s="58"/>
      <c r="B82" s="69">
        <v>52</v>
      </c>
      <c r="C82" s="43" t="s">
        <v>280</v>
      </c>
      <c r="D82" s="69">
        <v>2.4114902907066499E-2</v>
      </c>
      <c r="E82" s="43"/>
      <c r="F82" s="71">
        <f t="shared" si="6"/>
        <v>0</v>
      </c>
      <c r="G82" s="84">
        <f t="shared" si="7"/>
        <v>0</v>
      </c>
      <c r="H82" s="43"/>
      <c r="I82" s="8"/>
      <c r="Y82" s="8"/>
      <c r="Z82" s="8"/>
      <c r="AA82" s="8"/>
      <c r="AB82" s="8"/>
      <c r="AC82" s="8"/>
      <c r="AD82" s="8"/>
    </row>
    <row r="83" spans="1:30" ht="15">
      <c r="A83" s="58"/>
      <c r="B83" s="69">
        <v>53</v>
      </c>
      <c r="C83" s="43" t="s">
        <v>281</v>
      </c>
      <c r="D83" s="69">
        <v>2.5845712987433201E-2</v>
      </c>
      <c r="E83" s="43"/>
      <c r="F83" s="71">
        <f t="shared" si="6"/>
        <v>0</v>
      </c>
      <c r="G83" s="84">
        <f t="shared" si="7"/>
        <v>0</v>
      </c>
      <c r="H83" s="43"/>
      <c r="I83" s="8"/>
      <c r="Y83" s="8"/>
      <c r="Z83" s="8"/>
      <c r="AA83" s="8"/>
      <c r="AB83" s="8"/>
      <c r="AC83" s="8"/>
      <c r="AD83" s="8"/>
    </row>
    <row r="84" spans="1:30" ht="15">
      <c r="A84" s="58"/>
      <c r="B84" s="69">
        <v>54</v>
      </c>
      <c r="C84" s="43" t="s">
        <v>282</v>
      </c>
      <c r="D84" s="69">
        <v>2.7700749300260601E-2</v>
      </c>
      <c r="E84" s="43"/>
      <c r="F84" s="71">
        <f t="shared" si="6"/>
        <v>0</v>
      </c>
      <c r="G84" s="84">
        <f t="shared" si="7"/>
        <v>0</v>
      </c>
      <c r="H84" s="43"/>
      <c r="I84" s="8"/>
      <c r="Y84" s="8"/>
      <c r="Z84" s="8"/>
      <c r="AA84" s="8"/>
      <c r="AB84" s="8"/>
      <c r="AC84" s="8"/>
      <c r="AD84" s="8"/>
    </row>
    <row r="85" spans="1:30" ht="15">
      <c r="A85" s="58"/>
      <c r="B85" s="69">
        <v>55</v>
      </c>
      <c r="C85" s="43" t="s">
        <v>283</v>
      </c>
      <c r="D85" s="69">
        <v>2.9688927992390101E-2</v>
      </c>
      <c r="E85" s="43"/>
      <c r="F85" s="71">
        <f t="shared" si="6"/>
        <v>0</v>
      </c>
      <c r="G85" s="84">
        <f t="shared" si="7"/>
        <v>0</v>
      </c>
      <c r="H85" s="43"/>
      <c r="I85" s="8"/>
      <c r="J85" s="8"/>
      <c r="Y85" s="8"/>
      <c r="Z85" s="8"/>
      <c r="AA85" s="8"/>
      <c r="AB85" s="8"/>
      <c r="AC85" s="8"/>
      <c r="AD85" s="8"/>
    </row>
    <row r="86" spans="1:30" ht="15">
      <c r="A86" s="58"/>
      <c r="B86" s="69">
        <v>56</v>
      </c>
      <c r="C86" s="43" t="s">
        <v>284</v>
      </c>
      <c r="D86" s="69">
        <v>3.1819805153394602E-2</v>
      </c>
      <c r="E86" s="43"/>
      <c r="F86" s="71">
        <f t="shared" si="6"/>
        <v>0</v>
      </c>
      <c r="G86" s="84">
        <f t="shared" si="7"/>
        <v>0</v>
      </c>
      <c r="H86" s="43"/>
      <c r="I86" s="8"/>
      <c r="J86" s="8"/>
      <c r="Y86" s="8"/>
      <c r="Z86" s="8"/>
      <c r="AA86" s="8"/>
      <c r="AB86" s="8"/>
      <c r="AC86" s="8"/>
      <c r="AD86" s="8"/>
    </row>
    <row r="87" spans="1:30" ht="15">
      <c r="A87" s="58"/>
      <c r="B87" s="69">
        <v>57</v>
      </c>
      <c r="C87" s="43" t="s">
        <v>285</v>
      </c>
      <c r="D87" s="69">
        <v>3.4103622746483903E-2</v>
      </c>
      <c r="E87" s="43"/>
      <c r="F87" s="71">
        <f t="shared" si="6"/>
        <v>0</v>
      </c>
      <c r="G87" s="84">
        <f t="shared" si="7"/>
        <v>0</v>
      </c>
      <c r="H87" s="43"/>
      <c r="I87" s="8"/>
      <c r="J87" s="8"/>
      <c r="Y87" s="8"/>
      <c r="Z87" s="8"/>
      <c r="AA87" s="8"/>
      <c r="AB87" s="8"/>
      <c r="AC87" s="8"/>
      <c r="AD87" s="8"/>
    </row>
    <row r="88" spans="1:30" ht="15">
      <c r="A88" s="58"/>
      <c r="B88" s="69">
        <v>58</v>
      </c>
      <c r="C88" s="43" t="s">
        <v>286</v>
      </c>
      <c r="D88" s="69">
        <v>3.6551357836030599E-2</v>
      </c>
      <c r="E88" s="43"/>
      <c r="F88" s="71">
        <f t="shared" si="6"/>
        <v>0</v>
      </c>
      <c r="G88" s="84">
        <f t="shared" si="7"/>
        <v>0</v>
      </c>
      <c r="H88" s="43"/>
      <c r="I88" s="8"/>
      <c r="J88" s="8"/>
      <c r="Y88" s="8"/>
      <c r="Z88" s="8"/>
      <c r="AA88" s="8"/>
      <c r="AB88" s="8"/>
      <c r="AC88" s="8"/>
      <c r="AD88" s="8"/>
    </row>
    <row r="89" spans="1:30" ht="15">
      <c r="A89" s="58"/>
      <c r="B89" s="69">
        <v>59</v>
      </c>
      <c r="C89" s="43" t="s">
        <v>287</v>
      </c>
      <c r="D89" s="69">
        <v>3.9174775348325502E-2</v>
      </c>
      <c r="E89" s="43"/>
      <c r="F89" s="71">
        <f t="shared" si="6"/>
        <v>0</v>
      </c>
      <c r="G89" s="84">
        <f t="shared" si="7"/>
        <v>0</v>
      </c>
      <c r="H89" s="43"/>
      <c r="I89" s="8"/>
      <c r="J89" s="8"/>
      <c r="Y89" s="8"/>
      <c r="Z89" s="8"/>
      <c r="AA89" s="8"/>
      <c r="AB89" s="8"/>
      <c r="AC89" s="8"/>
      <c r="AD89" s="8"/>
    </row>
    <row r="90" spans="1:30" ht="15">
      <c r="A90" s="58"/>
      <c r="B90" s="69">
        <v>60</v>
      </c>
      <c r="C90" s="43" t="s">
        <v>288</v>
      </c>
      <c r="D90" s="69">
        <v>4.19864846191563E-2</v>
      </c>
      <c r="E90" s="43"/>
      <c r="F90" s="71">
        <f t="shared" si="6"/>
        <v>0</v>
      </c>
      <c r="G90" s="84">
        <f t="shared" si="7"/>
        <v>0</v>
      </c>
      <c r="H90" s="43"/>
      <c r="I90" s="8"/>
      <c r="J90" s="8"/>
      <c r="Y90" s="8"/>
      <c r="Z90" s="8"/>
      <c r="AA90" s="8"/>
      <c r="AB90" s="8"/>
      <c r="AC90" s="8"/>
      <c r="AD90" s="8"/>
    </row>
    <row r="91" spans="1:30" ht="15">
      <c r="A91" s="58"/>
      <c r="B91" s="69">
        <v>61</v>
      </c>
      <c r="C91" s="43" t="s">
        <v>289</v>
      </c>
      <c r="D91" s="69">
        <v>4.4999999999999998E-2</v>
      </c>
      <c r="E91" s="43"/>
      <c r="F91" s="71">
        <f t="shared" si="6"/>
        <v>0</v>
      </c>
      <c r="G91" s="84">
        <f t="shared" si="7"/>
        <v>0</v>
      </c>
      <c r="H91" s="43"/>
      <c r="I91" s="8"/>
      <c r="J91" s="8"/>
      <c r="Y91" s="8"/>
      <c r="Z91" s="8"/>
      <c r="AA91" s="8"/>
      <c r="AB91" s="8"/>
      <c r="AC91" s="8"/>
      <c r="AD91" s="8"/>
    </row>
    <row r="92" spans="1:30" ht="15">
      <c r="A92" s="58"/>
      <c r="B92" s="69">
        <v>62</v>
      </c>
      <c r="C92" s="43" t="s">
        <v>290</v>
      </c>
      <c r="D92" s="69">
        <v>4.8229805814133102E-2</v>
      </c>
      <c r="E92" s="43"/>
      <c r="F92" s="71">
        <f t="shared" si="6"/>
        <v>0</v>
      </c>
      <c r="G92" s="84">
        <f t="shared" si="7"/>
        <v>0</v>
      </c>
      <c r="H92" s="43"/>
      <c r="I92" s="8"/>
      <c r="J92" s="8"/>
      <c r="Y92" s="8"/>
      <c r="Z92" s="8"/>
      <c r="AA92" s="8"/>
      <c r="AB92" s="8"/>
      <c r="AC92" s="8"/>
      <c r="AD92" s="8"/>
    </row>
    <row r="93" spans="1:30" ht="15">
      <c r="A93" s="58"/>
      <c r="B93" s="69">
        <v>63</v>
      </c>
      <c r="C93" s="43" t="s">
        <v>291</v>
      </c>
      <c r="D93" s="69">
        <v>5.1691425974866499E-2</v>
      </c>
      <c r="E93" s="43"/>
      <c r="F93" s="71">
        <f t="shared" si="6"/>
        <v>0</v>
      </c>
      <c r="G93" s="84">
        <f t="shared" si="7"/>
        <v>0</v>
      </c>
      <c r="H93" s="43"/>
      <c r="I93" s="8"/>
      <c r="J93" s="8"/>
      <c r="Y93" s="8"/>
      <c r="Z93" s="8"/>
      <c r="AA93" s="8"/>
      <c r="AB93" s="8"/>
      <c r="AC93" s="8"/>
      <c r="AD93" s="8"/>
    </row>
    <row r="94" spans="1:30" ht="15">
      <c r="A94" s="58"/>
      <c r="B94" s="69">
        <v>64</v>
      </c>
      <c r="C94" s="43" t="s">
        <v>292</v>
      </c>
      <c r="D94" s="69">
        <v>5.5401498600521203E-2</v>
      </c>
      <c r="E94" s="43"/>
      <c r="F94" s="71">
        <f t="shared" si="6"/>
        <v>0</v>
      </c>
      <c r="G94" s="84">
        <f t="shared" si="7"/>
        <v>0</v>
      </c>
      <c r="H94" s="43"/>
      <c r="I94" s="8"/>
      <c r="J94" s="8"/>
      <c r="Y94" s="8"/>
      <c r="Z94" s="8"/>
      <c r="AA94" s="8"/>
      <c r="AB94" s="8"/>
      <c r="AC94" s="8"/>
      <c r="AD94" s="8"/>
    </row>
    <row r="95" spans="1:30" ht="15">
      <c r="A95" s="58"/>
      <c r="B95" s="69">
        <v>65</v>
      </c>
      <c r="C95" s="43" t="s">
        <v>293</v>
      </c>
      <c r="D95" s="69">
        <v>5.9377855984780202E-2</v>
      </c>
      <c r="E95" s="43"/>
      <c r="F95" s="71">
        <f t="shared" si="6"/>
        <v>0</v>
      </c>
      <c r="G95" s="84">
        <f t="shared" si="7"/>
        <v>0</v>
      </c>
      <c r="H95" s="43"/>
      <c r="I95" s="8"/>
      <c r="J95" s="8"/>
      <c r="Y95" s="8"/>
      <c r="Z95" s="8"/>
      <c r="AA95" s="8"/>
      <c r="AB95" s="8"/>
      <c r="AC95" s="8"/>
      <c r="AD95" s="8"/>
    </row>
    <row r="96" spans="1:30" ht="15">
      <c r="A96" s="58"/>
      <c r="B96" s="69">
        <v>66</v>
      </c>
      <c r="C96" s="43" t="s">
        <v>294</v>
      </c>
      <c r="D96" s="69">
        <v>6.3639610306789204E-2</v>
      </c>
      <c r="E96" s="43"/>
      <c r="F96" s="71">
        <f t="shared" si="6"/>
        <v>0</v>
      </c>
      <c r="G96" s="84">
        <f t="shared" si="7"/>
        <v>0</v>
      </c>
      <c r="H96" s="43"/>
      <c r="I96" s="8"/>
      <c r="J96" s="8"/>
      <c r="Y96" s="8"/>
      <c r="Z96" s="8"/>
      <c r="AA96" s="8"/>
      <c r="AB96" s="8"/>
      <c r="AC96" s="8"/>
      <c r="AD96" s="8"/>
    </row>
    <row r="97" spans="1:30" ht="15">
      <c r="A97" s="58"/>
      <c r="B97" s="69">
        <v>67</v>
      </c>
      <c r="C97" s="43" t="s">
        <v>295</v>
      </c>
      <c r="D97" s="69">
        <v>6.8207245492967902E-2</v>
      </c>
      <c r="E97" s="43"/>
      <c r="F97" s="71">
        <f t="shared" si="6"/>
        <v>0</v>
      </c>
      <c r="G97" s="84">
        <f t="shared" si="7"/>
        <v>0</v>
      </c>
      <c r="H97" s="43"/>
      <c r="I97" s="8"/>
      <c r="J97" s="8"/>
      <c r="Y97" s="8"/>
      <c r="Z97" s="8"/>
      <c r="AA97" s="8"/>
      <c r="AB97" s="8"/>
      <c r="AC97" s="8"/>
      <c r="AD97" s="8"/>
    </row>
    <row r="98" spans="1:30" ht="15">
      <c r="A98" s="58"/>
      <c r="B98" s="69">
        <v>68</v>
      </c>
      <c r="C98" s="43" t="s">
        <v>296</v>
      </c>
      <c r="D98" s="69">
        <v>7.31027156720611E-2</v>
      </c>
      <c r="E98" s="43"/>
      <c r="F98" s="71">
        <f t="shared" si="6"/>
        <v>0</v>
      </c>
      <c r="G98" s="84">
        <f t="shared" si="7"/>
        <v>0</v>
      </c>
      <c r="H98" s="43"/>
      <c r="I98" s="8"/>
      <c r="J98" s="8"/>
      <c r="Y98" s="8"/>
      <c r="Z98" s="8"/>
      <c r="AA98" s="8"/>
      <c r="AB98" s="8"/>
      <c r="AC98" s="8"/>
      <c r="AD98" s="8"/>
    </row>
    <row r="99" spans="1:30" ht="15">
      <c r="A99" s="58"/>
      <c r="B99" s="69">
        <v>69</v>
      </c>
      <c r="C99" s="43" t="s">
        <v>297</v>
      </c>
      <c r="D99" s="69">
        <v>7.8349550696651102E-2</v>
      </c>
      <c r="E99" s="43"/>
      <c r="F99" s="71">
        <f t="shared" si="6"/>
        <v>0</v>
      </c>
      <c r="G99" s="84">
        <f t="shared" si="7"/>
        <v>0</v>
      </c>
      <c r="H99" s="43"/>
      <c r="I99" s="8"/>
      <c r="J99" s="8"/>
      <c r="Y99" s="8"/>
      <c r="Z99" s="8"/>
      <c r="AA99" s="8"/>
      <c r="AB99" s="8"/>
      <c r="AC99" s="8"/>
      <c r="AD99" s="8"/>
    </row>
    <row r="100" spans="1:30" ht="15">
      <c r="A100" s="58"/>
      <c r="B100" s="69">
        <v>70</v>
      </c>
      <c r="C100" s="43" t="s">
        <v>298</v>
      </c>
      <c r="D100" s="69">
        <v>8.39729692383126E-2</v>
      </c>
      <c r="E100" s="43"/>
      <c r="F100" s="71">
        <f t="shared" si="6"/>
        <v>0</v>
      </c>
      <c r="G100" s="84">
        <f t="shared" si="7"/>
        <v>0</v>
      </c>
      <c r="H100" s="43"/>
      <c r="I100" s="8"/>
      <c r="J100" s="8"/>
      <c r="Y100" s="8"/>
      <c r="Z100" s="8"/>
      <c r="AA100" s="8"/>
      <c r="AB100" s="8"/>
      <c r="AC100" s="8"/>
      <c r="AD100" s="8"/>
    </row>
    <row r="101" spans="1:30" ht="15">
      <c r="A101" s="58"/>
      <c r="B101" s="69">
        <v>71</v>
      </c>
      <c r="C101" s="43" t="s">
        <v>299</v>
      </c>
      <c r="D101" s="69">
        <v>0.09</v>
      </c>
      <c r="E101" s="43"/>
      <c r="F101" s="71">
        <f t="shared" si="6"/>
        <v>0</v>
      </c>
      <c r="G101" s="84">
        <f t="shared" si="7"/>
        <v>0</v>
      </c>
      <c r="H101" s="43"/>
      <c r="I101" s="8"/>
      <c r="J101" s="8"/>
      <c r="Y101" s="8"/>
      <c r="Z101" s="8"/>
      <c r="AA101" s="8"/>
      <c r="AB101" s="8"/>
      <c r="AC101" s="8"/>
      <c r="AD101" s="8"/>
    </row>
    <row r="102" spans="1:30" ht="15">
      <c r="A102" s="58"/>
      <c r="B102" s="69">
        <v>72</v>
      </c>
      <c r="C102" s="43" t="s">
        <v>300</v>
      </c>
      <c r="D102" s="69">
        <v>9.6459611628266301E-2</v>
      </c>
      <c r="E102" s="43"/>
      <c r="F102" s="71">
        <f t="shared" si="6"/>
        <v>0</v>
      </c>
      <c r="G102" s="84">
        <f t="shared" si="7"/>
        <v>0</v>
      </c>
      <c r="H102" s="43"/>
      <c r="I102" s="8"/>
      <c r="J102" s="8"/>
      <c r="Y102" s="8"/>
      <c r="Z102" s="8"/>
      <c r="AA102" s="8"/>
      <c r="AB102" s="8"/>
      <c r="AC102" s="8"/>
      <c r="AD102" s="8"/>
    </row>
    <row r="103" spans="1:30" ht="15">
      <c r="A103" s="58"/>
      <c r="B103" s="69">
        <v>73</v>
      </c>
      <c r="C103" s="43" t="s">
        <v>301</v>
      </c>
      <c r="D103" s="69">
        <v>0.103382851949733</v>
      </c>
      <c r="E103" s="43"/>
      <c r="F103" s="71">
        <f t="shared" si="6"/>
        <v>0</v>
      </c>
      <c r="G103" s="84">
        <f t="shared" si="7"/>
        <v>0</v>
      </c>
      <c r="H103" s="43"/>
      <c r="I103" s="8"/>
      <c r="J103" s="8"/>
      <c r="Y103" s="8"/>
      <c r="Z103" s="8"/>
      <c r="AA103" s="8"/>
      <c r="AB103" s="8"/>
      <c r="AC103" s="8"/>
      <c r="AD103" s="8"/>
    </row>
    <row r="104" spans="1:30" ht="15">
      <c r="A104" s="58"/>
      <c r="B104" s="69">
        <v>74</v>
      </c>
      <c r="C104" s="43" t="s">
        <v>302</v>
      </c>
      <c r="D104" s="69">
        <v>0.110802997201042</v>
      </c>
      <c r="E104" s="43"/>
      <c r="F104" s="71">
        <f t="shared" si="6"/>
        <v>0</v>
      </c>
      <c r="G104" s="84">
        <f t="shared" si="7"/>
        <v>0</v>
      </c>
      <c r="H104" s="43"/>
      <c r="I104" s="8"/>
      <c r="J104" s="8"/>
      <c r="Y104" s="8"/>
      <c r="Z104" s="8"/>
      <c r="AA104" s="8"/>
      <c r="AB104" s="8"/>
      <c r="AC104" s="8"/>
      <c r="AD104" s="8"/>
    </row>
    <row r="105" spans="1:30" ht="15">
      <c r="A105" s="58"/>
      <c r="B105" s="69">
        <v>75</v>
      </c>
      <c r="C105" s="43" t="s">
        <v>303</v>
      </c>
      <c r="D105" s="69">
        <v>0.11875571196956</v>
      </c>
      <c r="E105" s="43"/>
      <c r="F105" s="71">
        <f t="shared" si="6"/>
        <v>0</v>
      </c>
      <c r="G105" s="84">
        <f t="shared" si="7"/>
        <v>0</v>
      </c>
      <c r="H105" s="43"/>
      <c r="I105" s="8"/>
      <c r="J105" s="8"/>
      <c r="Y105" s="8"/>
      <c r="Z105" s="8"/>
      <c r="AA105" s="8"/>
      <c r="AB105" s="8"/>
      <c r="AC105" s="8"/>
      <c r="AD105" s="8"/>
    </row>
    <row r="106" spans="1:30" ht="15">
      <c r="A106" s="58"/>
      <c r="B106" s="69">
        <v>76</v>
      </c>
      <c r="C106" s="43" t="s">
        <v>304</v>
      </c>
      <c r="D106" s="69">
        <v>0.12727922061357799</v>
      </c>
      <c r="E106" s="43"/>
      <c r="F106" s="71">
        <f t="shared" si="6"/>
        <v>0</v>
      </c>
      <c r="G106" s="84">
        <f t="shared" si="7"/>
        <v>0</v>
      </c>
      <c r="H106" s="43"/>
      <c r="I106" s="8"/>
      <c r="J106" s="8"/>
      <c r="Y106" s="8"/>
      <c r="Z106" s="8"/>
      <c r="AA106" s="8"/>
      <c r="AB106" s="8"/>
      <c r="AC106" s="8"/>
      <c r="AD106" s="8"/>
    </row>
    <row r="107" spans="1:30" ht="15">
      <c r="A107" s="58"/>
      <c r="B107" s="69">
        <v>77</v>
      </c>
      <c r="C107" s="43" t="s">
        <v>305</v>
      </c>
      <c r="D107" s="69">
        <v>0.136414490985935</v>
      </c>
      <c r="E107" s="43"/>
      <c r="F107" s="71">
        <f t="shared" si="6"/>
        <v>0</v>
      </c>
      <c r="G107" s="84">
        <f t="shared" si="7"/>
        <v>0</v>
      </c>
      <c r="H107" s="43"/>
      <c r="I107" s="8"/>
      <c r="J107" s="8"/>
      <c r="Y107" s="8"/>
      <c r="Z107" s="8"/>
      <c r="AA107" s="8"/>
      <c r="AB107" s="8"/>
      <c r="AC107" s="8"/>
      <c r="AD107" s="8"/>
    </row>
    <row r="108" spans="1:30" ht="15">
      <c r="A108" s="58"/>
      <c r="B108" s="69">
        <v>78</v>
      </c>
      <c r="C108" s="43" t="s">
        <v>306</v>
      </c>
      <c r="D108" s="69">
        <v>0.14620543134412201</v>
      </c>
      <c r="E108" s="43"/>
      <c r="F108" s="71">
        <f t="shared" si="6"/>
        <v>0</v>
      </c>
      <c r="G108" s="84">
        <f t="shared" si="7"/>
        <v>0</v>
      </c>
      <c r="H108" s="43"/>
      <c r="I108" s="8"/>
      <c r="J108" s="8"/>
      <c r="Y108" s="8"/>
      <c r="Z108" s="8"/>
      <c r="AA108" s="8"/>
      <c r="AB108" s="8"/>
      <c r="AC108" s="8"/>
      <c r="AD108" s="8"/>
    </row>
    <row r="109" spans="1:30" ht="15">
      <c r="A109" s="58"/>
      <c r="B109" s="69">
        <v>79</v>
      </c>
      <c r="C109" s="43" t="s">
        <v>307</v>
      </c>
      <c r="D109" s="69">
        <v>0.15669910139330201</v>
      </c>
      <c r="E109" s="43"/>
      <c r="F109" s="71">
        <f t="shared" si="6"/>
        <v>0</v>
      </c>
      <c r="G109" s="84">
        <f t="shared" si="7"/>
        <v>0</v>
      </c>
      <c r="H109" s="43"/>
      <c r="I109" s="8"/>
      <c r="J109" s="8"/>
      <c r="Y109" s="8"/>
      <c r="Z109" s="8"/>
      <c r="AA109" s="8"/>
      <c r="AB109" s="8"/>
      <c r="AC109" s="8"/>
      <c r="AD109" s="8"/>
    </row>
    <row r="110" spans="1:30" ht="15">
      <c r="A110" s="58"/>
      <c r="B110" s="69">
        <v>80</v>
      </c>
      <c r="C110" s="43" t="s">
        <v>85</v>
      </c>
      <c r="D110" s="69">
        <v>0.16794593847662501</v>
      </c>
      <c r="E110" s="43"/>
      <c r="F110" s="71">
        <f t="shared" si="6"/>
        <v>0</v>
      </c>
      <c r="G110" s="84">
        <f t="shared" si="7"/>
        <v>0</v>
      </c>
      <c r="H110" s="43"/>
      <c r="I110" s="8"/>
      <c r="J110" s="8"/>
      <c r="Y110" s="8"/>
      <c r="Z110" s="8"/>
      <c r="AA110" s="8"/>
      <c r="AB110" s="8"/>
      <c r="AC110" s="8"/>
      <c r="AD110" s="8"/>
    </row>
    <row r="111" spans="1:30" ht="15">
      <c r="A111" s="58"/>
      <c r="B111" s="69">
        <v>81</v>
      </c>
      <c r="C111" s="43" t="s">
        <v>308</v>
      </c>
      <c r="D111" s="69">
        <v>0.18</v>
      </c>
      <c r="E111" s="43"/>
      <c r="F111" s="71">
        <f t="shared" si="6"/>
        <v>0</v>
      </c>
      <c r="G111" s="84">
        <f t="shared" si="7"/>
        <v>0</v>
      </c>
      <c r="H111" s="43"/>
      <c r="I111" s="8"/>
      <c r="J111" s="8"/>
      <c r="Y111" s="8"/>
      <c r="Z111" s="8"/>
      <c r="AA111" s="8"/>
      <c r="AB111" s="8"/>
      <c r="AC111" s="8"/>
      <c r="AD111" s="8"/>
    </row>
    <row r="112" spans="1:30" ht="15">
      <c r="A112" s="58"/>
      <c r="B112" s="69">
        <v>82</v>
      </c>
      <c r="C112" s="43" t="s">
        <v>309</v>
      </c>
      <c r="D112" s="69">
        <v>0.19291922325653199</v>
      </c>
      <c r="E112" s="43"/>
      <c r="F112" s="71">
        <f t="shared" si="6"/>
        <v>0</v>
      </c>
      <c r="G112" s="84">
        <f t="shared" si="7"/>
        <v>0</v>
      </c>
      <c r="H112" s="43"/>
      <c r="I112" s="8"/>
      <c r="J112" s="8"/>
      <c r="Y112" s="8"/>
      <c r="Z112" s="8"/>
      <c r="AA112" s="8"/>
      <c r="AB112" s="8"/>
      <c r="AC112" s="8"/>
      <c r="AD112" s="8"/>
    </row>
    <row r="113" spans="1:30" ht="15">
      <c r="A113" s="58"/>
      <c r="B113" s="69">
        <v>83</v>
      </c>
      <c r="C113" s="43" t="s">
        <v>87</v>
      </c>
      <c r="D113" s="69">
        <v>0.206765703899466</v>
      </c>
      <c r="E113" s="43"/>
      <c r="F113" s="71">
        <f t="shared" si="6"/>
        <v>0</v>
      </c>
      <c r="G113" s="84">
        <f t="shared" si="7"/>
        <v>0</v>
      </c>
      <c r="H113" s="43"/>
      <c r="I113" s="8"/>
      <c r="J113" s="8"/>
      <c r="Y113" s="8"/>
      <c r="Z113" s="8"/>
      <c r="AA113" s="8"/>
      <c r="AB113" s="8"/>
      <c r="AC113" s="8"/>
      <c r="AD113" s="8"/>
    </row>
    <row r="114" spans="1:30" ht="15">
      <c r="A114" s="58"/>
      <c r="B114" s="69">
        <v>84</v>
      </c>
      <c r="C114" s="43" t="s">
        <v>310</v>
      </c>
      <c r="D114" s="69">
        <v>0.22160599440208401</v>
      </c>
      <c r="E114" s="43"/>
      <c r="F114" s="71">
        <f t="shared" si="6"/>
        <v>0</v>
      </c>
      <c r="G114" s="84">
        <f t="shared" si="7"/>
        <v>0</v>
      </c>
      <c r="H114" s="43"/>
      <c r="I114" s="8"/>
      <c r="J114" s="8"/>
      <c r="Y114" s="8"/>
      <c r="Z114" s="8"/>
      <c r="AA114" s="8"/>
      <c r="AB114" s="8"/>
      <c r="AC114" s="8"/>
      <c r="AD114" s="8"/>
    </row>
    <row r="115" spans="1:30" ht="15">
      <c r="A115" s="58"/>
      <c r="B115" s="69">
        <v>85</v>
      </c>
      <c r="C115" s="43" t="s">
        <v>311</v>
      </c>
      <c r="D115" s="69">
        <v>0.23751142393912</v>
      </c>
      <c r="E115" s="43"/>
      <c r="F115" s="71">
        <f t="shared" si="6"/>
        <v>0</v>
      </c>
      <c r="G115" s="84">
        <f t="shared" si="7"/>
        <v>0</v>
      </c>
      <c r="H115" s="43"/>
      <c r="I115" s="8"/>
      <c r="J115" s="8"/>
      <c r="Y115" s="8"/>
      <c r="Z115" s="8"/>
      <c r="AA115" s="8"/>
      <c r="AB115" s="8"/>
      <c r="AC115" s="8"/>
      <c r="AD115" s="8"/>
    </row>
    <row r="116" spans="1:30" ht="15">
      <c r="A116" s="58"/>
      <c r="B116" s="69">
        <v>86</v>
      </c>
      <c r="C116" s="43" t="s">
        <v>312</v>
      </c>
      <c r="D116" s="69">
        <v>0.25455844122715698</v>
      </c>
      <c r="E116" s="43"/>
      <c r="F116" s="71">
        <f t="shared" si="6"/>
        <v>0</v>
      </c>
      <c r="G116" s="84">
        <f t="shared" si="7"/>
        <v>0</v>
      </c>
      <c r="H116" s="43"/>
      <c r="I116" s="8"/>
      <c r="J116" s="8"/>
      <c r="Y116" s="8"/>
      <c r="Z116" s="8"/>
      <c r="AA116" s="8"/>
      <c r="AB116" s="8"/>
      <c r="AC116" s="8"/>
      <c r="AD116" s="8"/>
    </row>
    <row r="117" spans="1:30" ht="15">
      <c r="A117" s="58"/>
      <c r="B117" s="69">
        <v>87</v>
      </c>
      <c r="C117" s="43" t="s">
        <v>313</v>
      </c>
      <c r="D117" s="69">
        <v>0.272828981971871</v>
      </c>
      <c r="E117" s="43"/>
      <c r="F117" s="71">
        <f t="shared" si="6"/>
        <v>0</v>
      </c>
      <c r="G117" s="84">
        <f t="shared" si="7"/>
        <v>0</v>
      </c>
      <c r="H117" s="43"/>
      <c r="I117" s="8"/>
      <c r="J117" s="8"/>
      <c r="Y117" s="8"/>
      <c r="Z117" s="8"/>
      <c r="AA117" s="8"/>
      <c r="AB117" s="8"/>
      <c r="AC117" s="8"/>
      <c r="AD117" s="8"/>
    </row>
    <row r="118" spans="1:30" ht="15">
      <c r="A118" s="58"/>
      <c r="B118" s="69">
        <v>88</v>
      </c>
      <c r="C118" s="43" t="s">
        <v>314</v>
      </c>
      <c r="D118" s="69">
        <v>0.29241086268824401</v>
      </c>
      <c r="E118" s="43"/>
      <c r="F118" s="71">
        <f t="shared" si="6"/>
        <v>0</v>
      </c>
      <c r="G118" s="84">
        <f t="shared" si="7"/>
        <v>0</v>
      </c>
      <c r="H118" s="43"/>
      <c r="I118" s="8"/>
      <c r="J118" s="8"/>
      <c r="Y118" s="8"/>
      <c r="Z118" s="8"/>
      <c r="AA118" s="8"/>
      <c r="AB118" s="8"/>
      <c r="AC118" s="8"/>
      <c r="AD118" s="8"/>
    </row>
    <row r="119" spans="1:30" ht="15">
      <c r="A119" s="58"/>
      <c r="B119" s="69">
        <v>89</v>
      </c>
      <c r="C119" s="43" t="s">
        <v>315</v>
      </c>
      <c r="D119" s="69">
        <v>0.31339820278660402</v>
      </c>
      <c r="E119" s="43"/>
      <c r="F119" s="71">
        <f t="shared" si="6"/>
        <v>0</v>
      </c>
      <c r="G119" s="84">
        <f t="shared" si="7"/>
        <v>0</v>
      </c>
      <c r="H119" s="43"/>
      <c r="I119" s="8"/>
      <c r="J119" s="8"/>
      <c r="Y119" s="8"/>
      <c r="Z119" s="8"/>
      <c r="AA119" s="8"/>
      <c r="AB119" s="8"/>
      <c r="AC119" s="8"/>
      <c r="AD119" s="8"/>
    </row>
    <row r="120" spans="1:30" ht="15">
      <c r="A120" s="58"/>
      <c r="B120" s="69">
        <v>90</v>
      </c>
      <c r="C120" s="43" t="s">
        <v>316</v>
      </c>
      <c r="D120" s="69">
        <v>0.33589187695325001</v>
      </c>
      <c r="E120" s="43"/>
      <c r="F120" s="71">
        <f t="shared" si="6"/>
        <v>0</v>
      </c>
      <c r="G120" s="84">
        <f t="shared" si="7"/>
        <v>0</v>
      </c>
      <c r="H120" s="43"/>
      <c r="I120" s="8"/>
      <c r="J120" s="8"/>
      <c r="Y120" s="8"/>
      <c r="Z120" s="8"/>
      <c r="AA120" s="8"/>
      <c r="AB120" s="8"/>
      <c r="AC120" s="8"/>
      <c r="AD120" s="8"/>
    </row>
    <row r="121" spans="1:30" ht="15">
      <c r="A121" s="58"/>
      <c r="B121" s="69">
        <v>91</v>
      </c>
      <c r="C121" s="43" t="s">
        <v>317</v>
      </c>
      <c r="D121" s="69">
        <v>0.36</v>
      </c>
      <c r="E121" s="43"/>
      <c r="F121" s="71">
        <f t="shared" si="6"/>
        <v>0</v>
      </c>
      <c r="G121" s="84">
        <f t="shared" si="7"/>
        <v>0</v>
      </c>
      <c r="H121" s="43"/>
      <c r="I121" s="8"/>
      <c r="J121" s="8"/>
      <c r="Y121" s="8"/>
      <c r="Z121" s="8"/>
      <c r="AA121" s="8"/>
      <c r="AB121" s="8"/>
      <c r="AC121" s="8"/>
      <c r="AD121" s="8"/>
    </row>
    <row r="122" spans="1:30" ht="15">
      <c r="A122" s="58"/>
      <c r="B122" s="69">
        <v>92</v>
      </c>
      <c r="C122" s="43" t="s">
        <v>318</v>
      </c>
      <c r="D122" s="69">
        <v>0.38583844651306498</v>
      </c>
      <c r="E122" s="43"/>
      <c r="F122" s="71">
        <f t="shared" si="6"/>
        <v>0</v>
      </c>
      <c r="G122" s="84">
        <f t="shared" si="7"/>
        <v>0</v>
      </c>
      <c r="H122" s="43"/>
      <c r="I122" s="8"/>
      <c r="J122" s="8"/>
      <c r="Y122" s="8"/>
      <c r="Z122" s="8"/>
      <c r="AA122" s="8"/>
      <c r="AB122" s="8"/>
      <c r="AC122" s="8"/>
      <c r="AD122" s="8"/>
    </row>
    <row r="123" spans="1:30" ht="15">
      <c r="A123" s="58"/>
      <c r="B123" s="69">
        <v>93</v>
      </c>
      <c r="C123" s="43" t="s">
        <v>319</v>
      </c>
      <c r="D123" s="69">
        <v>0.41353140779893199</v>
      </c>
      <c r="E123" s="43"/>
      <c r="F123" s="71">
        <f t="shared" si="6"/>
        <v>0</v>
      </c>
      <c r="G123" s="84">
        <f t="shared" si="7"/>
        <v>0</v>
      </c>
      <c r="H123" s="43"/>
      <c r="I123" s="8"/>
      <c r="J123" s="8"/>
      <c r="Y123" s="8"/>
      <c r="Z123" s="8"/>
      <c r="AA123" s="8"/>
      <c r="AB123" s="8"/>
      <c r="AC123" s="8"/>
      <c r="AD123" s="8"/>
    </row>
    <row r="124" spans="1:30" ht="15">
      <c r="A124" s="58"/>
      <c r="B124" s="69">
        <v>94</v>
      </c>
      <c r="C124" s="43" t="s">
        <v>320</v>
      </c>
      <c r="D124" s="69">
        <v>0.44321198880416901</v>
      </c>
      <c r="E124" s="43"/>
      <c r="F124" s="71">
        <f t="shared" si="6"/>
        <v>0</v>
      </c>
      <c r="G124" s="84">
        <f t="shared" si="7"/>
        <v>0</v>
      </c>
      <c r="H124" s="43"/>
      <c r="I124" s="8"/>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43"/>
      <c r="F125" s="71">
        <f t="shared" si="6"/>
        <v>0</v>
      </c>
      <c r="G125" s="84">
        <f t="shared" si="7"/>
        <v>0</v>
      </c>
      <c r="H125" s="43"/>
      <c r="I125" s="8"/>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43"/>
      <c r="F126" s="71">
        <f t="shared" si="6"/>
        <v>0</v>
      </c>
      <c r="G126" s="84">
        <f t="shared" si="7"/>
        <v>0</v>
      </c>
      <c r="H126" s="43"/>
      <c r="I126" s="8"/>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43"/>
      <c r="F127" s="71">
        <f t="shared" si="6"/>
        <v>0</v>
      </c>
      <c r="G127" s="84">
        <f t="shared" si="7"/>
        <v>0</v>
      </c>
      <c r="H127" s="43"/>
      <c r="I127" s="8"/>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43"/>
      <c r="F128" s="71">
        <f t="shared" si="6"/>
        <v>0</v>
      </c>
      <c r="G128" s="84">
        <f t="shared" si="7"/>
        <v>0</v>
      </c>
      <c r="H128" s="43"/>
      <c r="I128" s="8"/>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43"/>
      <c r="F129" s="71">
        <f t="shared" si="6"/>
        <v>0</v>
      </c>
      <c r="G129" s="84">
        <f t="shared" si="7"/>
        <v>0</v>
      </c>
      <c r="H129" s="43"/>
      <c r="I129" s="8"/>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43"/>
      <c r="F130" s="71">
        <f t="shared" si="6"/>
        <v>0</v>
      </c>
      <c r="G130" s="84">
        <f t="shared" si="7"/>
        <v>0</v>
      </c>
      <c r="H130" s="43"/>
      <c r="I130" s="8"/>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43"/>
      <c r="F131" s="71">
        <f t="shared" si="6"/>
        <v>0</v>
      </c>
      <c r="G131" s="84">
        <f t="shared" si="7"/>
        <v>0</v>
      </c>
      <c r="H131" s="43"/>
      <c r="I131" s="8"/>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43"/>
      <c r="F132" s="71">
        <f t="shared" si="6"/>
        <v>0</v>
      </c>
      <c r="G132" s="84">
        <f t="shared" si="7"/>
        <v>0</v>
      </c>
      <c r="H132" s="43"/>
      <c r="I132" s="8"/>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43"/>
      <c r="F133" s="71">
        <f t="shared" si="6"/>
        <v>0</v>
      </c>
      <c r="G133" s="84">
        <f t="shared" si="7"/>
        <v>0</v>
      </c>
      <c r="H133" s="43"/>
      <c r="I133" s="8"/>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43"/>
      <c r="F134" s="71">
        <f t="shared" si="6"/>
        <v>0</v>
      </c>
      <c r="G134" s="84">
        <f t="shared" si="7"/>
        <v>0</v>
      </c>
      <c r="H134" s="43"/>
      <c r="I134" s="8"/>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43"/>
      <c r="F135" s="71">
        <f t="shared" si="6"/>
        <v>0</v>
      </c>
      <c r="G135" s="84">
        <f t="shared" si="7"/>
        <v>0</v>
      </c>
      <c r="H135" s="43"/>
      <c r="I135" s="8"/>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43"/>
      <c r="F136" s="71">
        <f t="shared" si="6"/>
        <v>0</v>
      </c>
      <c r="G136" s="84">
        <f t="shared" si="7"/>
        <v>0</v>
      </c>
      <c r="H136" s="43"/>
      <c r="I136" s="8"/>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43"/>
      <c r="F137" s="71">
        <f t="shared" si="6"/>
        <v>0</v>
      </c>
      <c r="G137" s="84">
        <f t="shared" si="7"/>
        <v>0</v>
      </c>
      <c r="H137" s="43"/>
      <c r="I137" s="8"/>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43"/>
      <c r="F138" s="71">
        <f t="shared" si="6"/>
        <v>0</v>
      </c>
      <c r="G138" s="84">
        <f t="shared" si="7"/>
        <v>0</v>
      </c>
      <c r="H138" s="43"/>
      <c r="I138" s="8"/>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43"/>
      <c r="F139" s="71">
        <f t="shared" si="6"/>
        <v>0</v>
      </c>
      <c r="G139" s="84">
        <f t="shared" si="7"/>
        <v>0</v>
      </c>
      <c r="H139" s="43"/>
      <c r="I139" s="8"/>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43"/>
      <c r="F140" s="71">
        <f t="shared" si="6"/>
        <v>0</v>
      </c>
      <c r="G140" s="84">
        <f t="shared" si="7"/>
        <v>0</v>
      </c>
      <c r="H140" s="43"/>
      <c r="I140" s="8"/>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43"/>
      <c r="F141" s="71">
        <f t="shared" si="6"/>
        <v>0</v>
      </c>
      <c r="G141" s="84">
        <f t="shared" si="7"/>
        <v>0</v>
      </c>
      <c r="H141" s="43"/>
      <c r="I141" s="8"/>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43"/>
      <c r="F142" s="71">
        <f t="shared" si="6"/>
        <v>0</v>
      </c>
      <c r="G142" s="84">
        <f t="shared" si="7"/>
        <v>0</v>
      </c>
      <c r="H142" s="43"/>
      <c r="I142" s="8"/>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43"/>
      <c r="F143" s="71">
        <f t="shared" si="6"/>
        <v>0</v>
      </c>
      <c r="G143" s="84">
        <f t="shared" si="7"/>
        <v>0</v>
      </c>
      <c r="H143" s="43"/>
      <c r="I143" s="8"/>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43"/>
      <c r="F144" s="71">
        <f t="shared" si="6"/>
        <v>0</v>
      </c>
      <c r="G144" s="84">
        <f t="shared" si="7"/>
        <v>0</v>
      </c>
      <c r="H144" s="43"/>
      <c r="I144" s="8"/>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43"/>
      <c r="F145" s="71">
        <f t="shared" si="6"/>
        <v>0</v>
      </c>
      <c r="G145" s="84">
        <f t="shared" si="7"/>
        <v>0</v>
      </c>
      <c r="H145" s="43"/>
      <c r="I145" s="8"/>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43"/>
      <c r="F146" s="71">
        <f t="shared" si="6"/>
        <v>0</v>
      </c>
      <c r="G146" s="84">
        <f t="shared" si="7"/>
        <v>0</v>
      </c>
      <c r="H146" s="43"/>
      <c r="I146" s="8"/>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43"/>
      <c r="F147" s="71">
        <f t="shared" si="6"/>
        <v>0</v>
      </c>
      <c r="G147" s="84">
        <f t="shared" si="7"/>
        <v>0</v>
      </c>
      <c r="H147" s="43"/>
      <c r="I147" s="8"/>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43"/>
      <c r="F148" s="71">
        <f t="shared" si="6"/>
        <v>0</v>
      </c>
      <c r="G148" s="84">
        <f t="shared" si="7"/>
        <v>0</v>
      </c>
      <c r="H148" s="43"/>
      <c r="I148" s="8"/>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43"/>
      <c r="F149" s="71">
        <f t="shared" si="6"/>
        <v>0</v>
      </c>
      <c r="G149" s="84">
        <f t="shared" si="7"/>
        <v>0</v>
      </c>
      <c r="H149" s="43"/>
      <c r="I149" s="8"/>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43"/>
      <c r="F150" s="71">
        <f t="shared" si="6"/>
        <v>0</v>
      </c>
      <c r="G150" s="84">
        <f t="shared" si="7"/>
        <v>0</v>
      </c>
      <c r="H150" s="43"/>
      <c r="I150" s="8"/>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43"/>
      <c r="F151" s="71">
        <f t="shared" si="6"/>
        <v>0</v>
      </c>
      <c r="G151" s="84">
        <f t="shared" si="7"/>
        <v>0</v>
      </c>
      <c r="H151" s="43"/>
      <c r="I151" s="8"/>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43"/>
      <c r="F152" s="71">
        <f t="shared" si="6"/>
        <v>0</v>
      </c>
      <c r="G152" s="84">
        <f t="shared" si="7"/>
        <v>0</v>
      </c>
      <c r="H152" s="43"/>
      <c r="I152" s="8"/>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43"/>
      <c r="F153" s="71">
        <f t="shared" si="6"/>
        <v>0</v>
      </c>
      <c r="G153" s="84">
        <f t="shared" si="7"/>
        <v>0</v>
      </c>
      <c r="H153" s="43"/>
      <c r="I153" s="8"/>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43"/>
      <c r="F154" s="71">
        <f t="shared" si="6"/>
        <v>0</v>
      </c>
      <c r="G154" s="84">
        <f t="shared" si="7"/>
        <v>0</v>
      </c>
      <c r="H154" s="43"/>
      <c r="I154" s="8"/>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43"/>
      <c r="F155" s="71">
        <f t="shared" si="6"/>
        <v>0</v>
      </c>
      <c r="G155" s="84">
        <f t="shared" si="7"/>
        <v>0</v>
      </c>
      <c r="H155" s="43"/>
      <c r="I155" s="8"/>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43"/>
      <c r="F156" s="71">
        <f t="shared" si="6"/>
        <v>0</v>
      </c>
      <c r="G156" s="84">
        <f t="shared" si="7"/>
        <v>0</v>
      </c>
      <c r="H156" s="43"/>
      <c r="I156" s="8"/>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43"/>
      <c r="F157" s="71">
        <f t="shared" si="6"/>
        <v>0</v>
      </c>
      <c r="G157" s="84">
        <f t="shared" si="7"/>
        <v>0</v>
      </c>
      <c r="H157" s="43"/>
      <c r="I157" s="8"/>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43"/>
      <c r="F158" s="71">
        <f t="shared" si="6"/>
        <v>0</v>
      </c>
      <c r="G158" s="84">
        <f t="shared" si="7"/>
        <v>0</v>
      </c>
      <c r="H158" s="43"/>
      <c r="I158" s="8"/>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43"/>
      <c r="F159" s="71">
        <f t="shared" si="6"/>
        <v>0</v>
      </c>
      <c r="G159" s="84">
        <f t="shared" si="7"/>
        <v>0</v>
      </c>
      <c r="H159" s="43"/>
      <c r="I159" s="8"/>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43"/>
      <c r="F160" s="71">
        <f t="shared" si="6"/>
        <v>0</v>
      </c>
      <c r="G160" s="84">
        <f t="shared" si="7"/>
        <v>0</v>
      </c>
      <c r="H160" s="43"/>
      <c r="I160" s="8"/>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43"/>
      <c r="F161" s="71">
        <f t="shared" si="6"/>
        <v>0</v>
      </c>
      <c r="G161" s="84">
        <f t="shared" si="7"/>
        <v>0</v>
      </c>
      <c r="H161" s="43"/>
      <c r="I161" s="8"/>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43"/>
      <c r="F162" s="71">
        <f t="shared" si="6"/>
        <v>0</v>
      </c>
      <c r="G162" s="84">
        <f t="shared" si="7"/>
        <v>0</v>
      </c>
      <c r="H162" s="43"/>
      <c r="I162" s="8"/>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43"/>
      <c r="F163" s="71">
        <f t="shared" si="6"/>
        <v>0</v>
      </c>
      <c r="G163" s="84">
        <f t="shared" si="7"/>
        <v>0</v>
      </c>
      <c r="H163" s="43"/>
      <c r="I163" s="8"/>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43"/>
      <c r="F164" s="71">
        <f t="shared" si="6"/>
        <v>0</v>
      </c>
      <c r="G164" s="84">
        <f t="shared" si="7"/>
        <v>0</v>
      </c>
      <c r="H164" s="107"/>
      <c r="I164" s="8"/>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43"/>
      <c r="F165" s="71">
        <f t="shared" si="6"/>
        <v>0</v>
      </c>
      <c r="G165" s="84">
        <f t="shared" si="7"/>
        <v>0</v>
      </c>
      <c r="H165" s="43"/>
      <c r="I165" s="8"/>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43"/>
      <c r="F166" s="71">
        <f t="shared" si="6"/>
        <v>0</v>
      </c>
      <c r="G166" s="84">
        <f t="shared" si="7"/>
        <v>0</v>
      </c>
      <c r="H166" s="43"/>
      <c r="I166" s="8"/>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43"/>
      <c r="F167" s="71">
        <f t="shared" si="6"/>
        <v>0</v>
      </c>
      <c r="G167" s="84">
        <f t="shared" si="7"/>
        <v>0</v>
      </c>
      <c r="H167" s="43"/>
      <c r="I167" s="8"/>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43"/>
      <c r="F168" s="71">
        <f t="shared" si="6"/>
        <v>0</v>
      </c>
      <c r="G168" s="84">
        <f t="shared" si="7"/>
        <v>0</v>
      </c>
      <c r="H168" s="43"/>
      <c r="I168" s="8"/>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43"/>
      <c r="F169" s="71">
        <f t="shared" si="6"/>
        <v>0</v>
      </c>
      <c r="G169" s="84">
        <f t="shared" si="7"/>
        <v>0</v>
      </c>
      <c r="H169" s="43"/>
      <c r="I169" s="8"/>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43"/>
      <c r="F170" s="71">
        <f t="shared" si="6"/>
        <v>0</v>
      </c>
      <c r="G170" s="84">
        <f t="shared" si="7"/>
        <v>0</v>
      </c>
      <c r="H170" s="43"/>
      <c r="I170" s="8"/>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43"/>
      <c r="F171" s="71">
        <f t="shared" si="6"/>
        <v>0</v>
      </c>
      <c r="G171" s="84">
        <f t="shared" si="7"/>
        <v>0</v>
      </c>
      <c r="H171" s="43"/>
      <c r="I171" s="8"/>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43"/>
      <c r="F172" s="71">
        <f t="shared" si="6"/>
        <v>0</v>
      </c>
      <c r="G172" s="84">
        <f t="shared" si="7"/>
        <v>0</v>
      </c>
      <c r="H172" s="43"/>
      <c r="I172" s="8"/>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43"/>
      <c r="F173" s="71">
        <f t="shared" si="6"/>
        <v>0</v>
      </c>
      <c r="G173" s="84">
        <f t="shared" si="7"/>
        <v>0</v>
      </c>
      <c r="H173" s="43"/>
      <c r="I173" s="8"/>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43"/>
      <c r="F174" s="71">
        <f t="shared" si="6"/>
        <v>0</v>
      </c>
      <c r="G174" s="84">
        <f t="shared" si="7"/>
        <v>0</v>
      </c>
      <c r="H174" s="43"/>
      <c r="I174" s="8"/>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43"/>
      <c r="F175" s="71">
        <f t="shared" si="6"/>
        <v>0</v>
      </c>
      <c r="G175" s="84">
        <f t="shared" si="7"/>
        <v>0</v>
      </c>
      <c r="H175" s="43"/>
      <c r="I175" s="8"/>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43" t="s">
        <v>372</v>
      </c>
      <c r="D176" s="69">
        <v>16.291740238538001</v>
      </c>
      <c r="E176" s="43"/>
      <c r="F176" s="71">
        <f t="shared" si="6"/>
        <v>0</v>
      </c>
      <c r="G176" s="84">
        <f t="shared" si="7"/>
        <v>0</v>
      </c>
      <c r="H176" s="43"/>
      <c r="I176" s="8"/>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t="s">
        <v>373</v>
      </c>
      <c r="D177" s="69">
        <v>17.461054846199701</v>
      </c>
      <c r="E177" s="43"/>
      <c r="F177" s="71">
        <f t="shared" si="6"/>
        <v>0</v>
      </c>
      <c r="G177" s="84">
        <f t="shared" si="7"/>
        <v>0</v>
      </c>
      <c r="H177" s="43"/>
      <c r="I177" s="8"/>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t="s">
        <v>374</v>
      </c>
      <c r="D178" s="69">
        <v>18.714295212047599</v>
      </c>
      <c r="E178" s="43"/>
      <c r="F178" s="71">
        <f t="shared" si="6"/>
        <v>0</v>
      </c>
      <c r="G178" s="84">
        <f t="shared" si="7"/>
        <v>0</v>
      </c>
      <c r="H178" s="43"/>
      <c r="I178" s="8"/>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t="s">
        <v>375</v>
      </c>
      <c r="D179" s="69">
        <v>20.0574849783426</v>
      </c>
      <c r="E179" s="43"/>
      <c r="F179" s="71">
        <f t="shared" si="6"/>
        <v>0</v>
      </c>
      <c r="G179" s="84">
        <f t="shared" si="7"/>
        <v>0</v>
      </c>
      <c r="H179" s="43"/>
      <c r="I179" s="8"/>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t="s">
        <v>376</v>
      </c>
      <c r="D180" s="69">
        <v>21.497080125008001</v>
      </c>
      <c r="E180" s="43"/>
      <c r="F180" s="71">
        <f t="shared" si="6"/>
        <v>0</v>
      </c>
      <c r="G180" s="84">
        <f t="shared" si="7"/>
        <v>0</v>
      </c>
      <c r="H180" s="43"/>
      <c r="I180" s="8"/>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t="s">
        <v>377</v>
      </c>
      <c r="D181" s="69">
        <v>23.04</v>
      </c>
      <c r="E181" s="43"/>
      <c r="F181" s="71">
        <f t="shared" si="6"/>
        <v>0</v>
      </c>
      <c r="G181" s="84">
        <f t="shared" si="7"/>
        <v>0</v>
      </c>
      <c r="H181" s="43"/>
      <c r="I181" s="8"/>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t="s">
        <v>378</v>
      </c>
      <c r="D182" s="69">
        <v>24.693660576836098</v>
      </c>
      <c r="E182" s="43"/>
      <c r="F182" s="71">
        <f t="shared" si="6"/>
        <v>0</v>
      </c>
      <c r="G182" s="84">
        <f t="shared" si="7"/>
        <v>0</v>
      </c>
      <c r="H182" s="43"/>
      <c r="I182" s="8"/>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t="s">
        <v>379</v>
      </c>
      <c r="D183" s="69">
        <v>26.466010099131601</v>
      </c>
      <c r="E183" s="43"/>
      <c r="F183" s="71">
        <f t="shared" si="6"/>
        <v>0</v>
      </c>
      <c r="G183" s="84">
        <f t="shared" si="7"/>
        <v>0</v>
      </c>
      <c r="H183" s="43"/>
      <c r="I183" s="8"/>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t="s">
        <v>380</v>
      </c>
      <c r="D184" s="69">
        <v>28.365567283466799</v>
      </c>
      <c r="E184" s="43"/>
      <c r="F184" s="71">
        <f t="shared" si="6"/>
        <v>0</v>
      </c>
      <c r="G184" s="84">
        <f t="shared" si="7"/>
        <v>0</v>
      </c>
      <c r="H184" s="43"/>
      <c r="I184" s="8"/>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t="s">
        <v>381</v>
      </c>
      <c r="D185" s="69">
        <v>30.401462264207399</v>
      </c>
      <c r="E185" s="43"/>
      <c r="F185" s="71">
        <f t="shared" si="6"/>
        <v>0</v>
      </c>
      <c r="G185" s="84">
        <f t="shared" si="7"/>
        <v>0</v>
      </c>
      <c r="H185" s="43"/>
      <c r="I185" s="8"/>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t="s">
        <v>382</v>
      </c>
      <c r="D186" s="69">
        <v>32.583480477076101</v>
      </c>
      <c r="E186" s="43"/>
      <c r="F186" s="71">
        <f t="shared" si="6"/>
        <v>0</v>
      </c>
      <c r="G186" s="84">
        <f t="shared" si="7"/>
        <v>0</v>
      </c>
      <c r="H186" s="43"/>
      <c r="I186" s="8"/>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t="s">
        <v>383</v>
      </c>
      <c r="D187" s="69">
        <v>34.922109692399502</v>
      </c>
      <c r="E187" s="43"/>
      <c r="F187" s="71">
        <f t="shared" si="6"/>
        <v>0</v>
      </c>
      <c r="G187" s="84">
        <f t="shared" si="7"/>
        <v>0</v>
      </c>
      <c r="H187" s="43"/>
      <c r="I187" s="8"/>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t="s">
        <v>384</v>
      </c>
      <c r="D188" s="69">
        <v>37.428590424095297</v>
      </c>
      <c r="E188" s="43"/>
      <c r="F188" s="71">
        <f t="shared" si="6"/>
        <v>0</v>
      </c>
      <c r="G188" s="84">
        <f t="shared" si="7"/>
        <v>0</v>
      </c>
      <c r="H188" s="43"/>
      <c r="I188" s="8"/>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t="s">
        <v>385</v>
      </c>
      <c r="D189" s="69">
        <v>40.1149699566853</v>
      </c>
      <c r="E189" s="43"/>
      <c r="F189" s="71">
        <f t="shared" si="6"/>
        <v>0</v>
      </c>
      <c r="G189" s="84">
        <f t="shared" si="7"/>
        <v>0</v>
      </c>
      <c r="H189" s="43"/>
      <c r="I189" s="8"/>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43" t="s">
        <v>386</v>
      </c>
      <c r="D190" s="69">
        <v>42.994160250016002</v>
      </c>
      <c r="E190" s="43"/>
      <c r="F190" s="71">
        <f t="shared" si="6"/>
        <v>0</v>
      </c>
      <c r="G190" s="84">
        <f t="shared" si="7"/>
        <v>0</v>
      </c>
      <c r="H190" s="43"/>
      <c r="I190" s="8"/>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43" t="s">
        <v>387</v>
      </c>
      <c r="D191" s="69">
        <v>46.08</v>
      </c>
      <c r="E191" s="43"/>
      <c r="F191" s="71">
        <f t="shared" si="6"/>
        <v>0</v>
      </c>
      <c r="G191" s="84">
        <f t="shared" si="7"/>
        <v>0</v>
      </c>
      <c r="H191" s="43"/>
      <c r="I191" s="8"/>
      <c r="J191" s="8"/>
      <c r="K191" s="8"/>
      <c r="L191" s="8"/>
      <c r="M191" s="8"/>
      <c r="N191" s="8"/>
      <c r="O191" s="8"/>
      <c r="P191" s="8"/>
      <c r="Q191" s="8"/>
      <c r="R191" s="8"/>
      <c r="S191" s="8"/>
      <c r="T191" s="8"/>
      <c r="U191" s="8"/>
      <c r="V191" s="8"/>
      <c r="W191" s="8"/>
      <c r="X191" s="8"/>
      <c r="Y191" s="8"/>
      <c r="Z191" s="8"/>
      <c r="AA191" s="8"/>
      <c r="AB191" s="8"/>
      <c r="AC191" s="8"/>
      <c r="AD191" s="8"/>
    </row>
    <row r="192" spans="1:30"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row>
    <row r="193" spans="1:30"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spans="1:30"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spans="1:30"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spans="1:30"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spans="1:30"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spans="1:30"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spans="1:30"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spans="1:30"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Q1004" s="8"/>
      <c r="R1004" s="8"/>
      <c r="S1004" s="8"/>
      <c r="T1004" s="8"/>
      <c r="U1004" s="8"/>
      <c r="V1004" s="8"/>
      <c r="W1004" s="8"/>
      <c r="X1004" s="8"/>
      <c r="Y1004" s="8"/>
      <c r="Z1004" s="8"/>
      <c r="AA1004" s="8"/>
      <c r="AB1004" s="8"/>
      <c r="AC1004" s="8"/>
      <c r="AD1004" s="8"/>
    </row>
  </sheetData>
  <mergeCells count="2">
    <mergeCell ref="D2:G2"/>
    <mergeCell ref="D29:G29"/>
  </mergeCells>
  <hyperlinks>
    <hyperlink ref="J12" r:id="rId1" xr:uid="{00000000-0004-0000-10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D1004"/>
  <sheetViews>
    <sheetView workbookViewId="0"/>
  </sheetViews>
  <sheetFormatPr baseColWidth="10" defaultColWidth="12.6640625" defaultRowHeight="15.75" customHeight="1"/>
  <cols>
    <col min="1" max="1" width="12.1640625" customWidth="1"/>
    <col min="2" max="2" width="3.6640625" customWidth="1"/>
    <col min="3" max="3" width="12.83203125" customWidth="1"/>
    <col min="6" max="6" width="7.83203125" customWidth="1"/>
    <col min="7" max="7" width="10.33203125" customWidth="1"/>
    <col min="8" max="8" width="76.5" customWidth="1"/>
    <col min="9" max="9" width="3.6640625" customWidth="1"/>
  </cols>
  <sheetData>
    <row r="1" spans="1:30" ht="13">
      <c r="A1" s="8"/>
      <c r="B1" s="9"/>
      <c r="C1" s="9"/>
      <c r="D1" s="9"/>
      <c r="E1" s="9"/>
      <c r="F1" s="9"/>
      <c r="G1" s="9"/>
      <c r="H1" s="9"/>
      <c r="I1" s="8"/>
      <c r="J1" s="8"/>
      <c r="K1" s="8"/>
      <c r="L1" s="8"/>
      <c r="M1" s="8"/>
      <c r="N1" s="8"/>
      <c r="O1" s="8"/>
      <c r="P1" s="8"/>
      <c r="Q1" s="8"/>
      <c r="R1" s="8"/>
      <c r="S1" s="8"/>
      <c r="T1" s="8"/>
      <c r="U1" s="8"/>
      <c r="V1" s="8"/>
      <c r="W1" s="8"/>
      <c r="X1" s="8"/>
      <c r="Y1" s="8"/>
      <c r="Z1" s="8"/>
      <c r="AA1" s="8"/>
      <c r="AB1" s="8"/>
      <c r="AC1" s="8"/>
      <c r="AD1" s="8"/>
    </row>
    <row r="2" spans="1:30" ht="29.25" customHeight="1">
      <c r="A2" s="8"/>
      <c r="B2" s="56"/>
      <c r="C2" s="12" t="s">
        <v>722</v>
      </c>
      <c r="D2" s="174" t="s">
        <v>142</v>
      </c>
      <c r="E2" s="170"/>
      <c r="F2" s="170"/>
      <c r="G2" s="171"/>
      <c r="H2" s="16"/>
      <c r="I2" s="8"/>
      <c r="J2" s="8"/>
      <c r="K2" s="8"/>
      <c r="L2" s="8"/>
      <c r="M2" s="8"/>
      <c r="N2" s="8"/>
      <c r="O2" s="8"/>
      <c r="P2" s="8"/>
      <c r="Q2" s="8"/>
      <c r="R2" s="8"/>
      <c r="S2" s="8"/>
      <c r="T2" s="8"/>
      <c r="U2" s="8"/>
      <c r="V2" s="8"/>
      <c r="W2" s="8"/>
      <c r="X2" s="8"/>
      <c r="Y2" s="8"/>
      <c r="Z2" s="8"/>
      <c r="AA2" s="8"/>
      <c r="AB2" s="8"/>
      <c r="AC2" s="8"/>
      <c r="AD2" s="8"/>
    </row>
    <row r="3" spans="1:30" ht="42">
      <c r="A3" s="55"/>
      <c r="B3" s="49" t="s">
        <v>58</v>
      </c>
      <c r="C3" s="12" t="s">
        <v>59</v>
      </c>
      <c r="D3" s="12" t="s">
        <v>143</v>
      </c>
      <c r="E3" s="13" t="s">
        <v>144</v>
      </c>
      <c r="F3" s="13" t="s">
        <v>145</v>
      </c>
      <c r="G3" s="13" t="s">
        <v>146</v>
      </c>
      <c r="H3" s="12" t="s">
        <v>153</v>
      </c>
      <c r="I3" s="8"/>
      <c r="J3" s="8"/>
      <c r="K3" s="8"/>
      <c r="L3" s="8"/>
      <c r="M3" s="8"/>
      <c r="N3" s="8"/>
      <c r="O3" s="8"/>
      <c r="P3" s="8"/>
      <c r="Q3" s="8"/>
      <c r="R3" s="8"/>
      <c r="S3" s="8"/>
      <c r="T3" s="8"/>
      <c r="U3" s="8"/>
      <c r="V3" s="8"/>
      <c r="W3" s="8"/>
      <c r="X3" s="8"/>
      <c r="Y3" s="8"/>
      <c r="Z3" s="8"/>
      <c r="AA3" s="8"/>
      <c r="AB3" s="8"/>
      <c r="AC3" s="8"/>
      <c r="AD3" s="8"/>
    </row>
    <row r="4" spans="1:30" ht="13">
      <c r="A4" s="58"/>
      <c r="B4" s="50">
        <v>1</v>
      </c>
      <c r="C4" s="16" t="s">
        <v>75</v>
      </c>
      <c r="D4" s="17">
        <v>1.4247000000000001E-6</v>
      </c>
      <c r="E4" s="43">
        <f t="shared" ref="E4:E8" si="0">6.025*D4+0.0929</f>
        <v>9.2908583817500001E-2</v>
      </c>
      <c r="F4" s="18">
        <f t="shared" ref="F4:F26" si="1">E4*100</f>
        <v>9.2908583817500006</v>
      </c>
      <c r="G4" s="33">
        <f t="shared" ref="G4:G26" si="2">E4*1023</f>
        <v>95.045481245302497</v>
      </c>
      <c r="H4" s="16" t="s">
        <v>161</v>
      </c>
      <c r="I4" s="8"/>
      <c r="J4" s="64" t="s">
        <v>162</v>
      </c>
      <c r="K4" s="8"/>
      <c r="L4" s="8"/>
      <c r="M4" s="8"/>
      <c r="O4" s="8"/>
      <c r="P4" s="8"/>
      <c r="Q4" s="8"/>
      <c r="R4" s="8"/>
      <c r="S4" s="8"/>
      <c r="T4" s="8"/>
      <c r="U4" s="8"/>
      <c r="V4" s="8"/>
      <c r="W4" s="8"/>
      <c r="X4" s="8"/>
      <c r="Y4" s="8"/>
      <c r="Z4" s="8"/>
      <c r="AA4" s="8"/>
      <c r="AB4" s="8"/>
      <c r="AC4" s="8"/>
      <c r="AD4" s="8"/>
    </row>
    <row r="5" spans="1:30" ht="13">
      <c r="A5" s="58"/>
      <c r="B5" s="50">
        <v>2</v>
      </c>
      <c r="C5" s="16" t="s">
        <v>76</v>
      </c>
      <c r="D5" s="17">
        <v>7.0312499999999997E-4</v>
      </c>
      <c r="E5" s="43">
        <f t="shared" si="0"/>
        <v>9.713632812499999E-2</v>
      </c>
      <c r="F5" s="18">
        <f t="shared" si="1"/>
        <v>9.7136328124999984</v>
      </c>
      <c r="G5" s="33">
        <f t="shared" si="2"/>
        <v>99.370463671874987</v>
      </c>
      <c r="H5" s="16" t="s">
        <v>164</v>
      </c>
      <c r="I5" s="8"/>
      <c r="J5" s="56" t="s">
        <v>165</v>
      </c>
      <c r="K5" s="8"/>
      <c r="L5" s="8"/>
      <c r="M5" s="8"/>
      <c r="O5" s="8"/>
      <c r="P5" s="8"/>
      <c r="Q5" s="8"/>
      <c r="R5" s="8"/>
      <c r="S5" s="8"/>
      <c r="T5" s="8"/>
      <c r="U5" s="8"/>
      <c r="V5" s="8"/>
      <c r="W5" s="8"/>
      <c r="X5" s="8"/>
      <c r="Y5" s="8"/>
      <c r="Z5" s="8"/>
      <c r="AA5" s="8"/>
      <c r="AB5" s="8"/>
      <c r="AC5" s="8"/>
      <c r="AD5" s="8"/>
    </row>
    <row r="6" spans="1:30" ht="13">
      <c r="A6" s="58"/>
      <c r="B6" s="50">
        <v>3</v>
      </c>
      <c r="C6" s="16" t="s">
        <v>77</v>
      </c>
      <c r="D6" s="17">
        <v>1.4062499999999999E-3</v>
      </c>
      <c r="E6" s="43">
        <f t="shared" si="0"/>
        <v>0.10137265625</v>
      </c>
      <c r="F6" s="18">
        <f t="shared" si="1"/>
        <v>10.137265625</v>
      </c>
      <c r="G6" s="33">
        <f t="shared" si="2"/>
        <v>103.70422734374999</v>
      </c>
      <c r="H6" s="16"/>
      <c r="I6" s="8"/>
      <c r="J6" s="8"/>
      <c r="K6" s="8"/>
      <c r="L6" s="8"/>
      <c r="M6" s="8"/>
      <c r="O6" s="8"/>
      <c r="P6" s="8"/>
      <c r="Q6" s="8"/>
      <c r="R6" s="8"/>
      <c r="S6" s="8"/>
      <c r="T6" s="8"/>
      <c r="U6" s="8"/>
      <c r="V6" s="8"/>
      <c r="W6" s="8"/>
      <c r="X6" s="8"/>
      <c r="Y6" s="8"/>
      <c r="Z6" s="8"/>
      <c r="AA6" s="8"/>
      <c r="AB6" s="8"/>
      <c r="AC6" s="8"/>
      <c r="AD6" s="8"/>
    </row>
    <row r="7" spans="1:30" ht="15">
      <c r="A7" s="58"/>
      <c r="B7" s="50">
        <v>4</v>
      </c>
      <c r="C7" s="16" t="s">
        <v>78</v>
      </c>
      <c r="D7" s="17">
        <v>2.8124999999999999E-3</v>
      </c>
      <c r="E7" s="43">
        <f t="shared" si="0"/>
        <v>0.1098453125</v>
      </c>
      <c r="F7" s="18">
        <f t="shared" si="1"/>
        <v>10.98453125</v>
      </c>
      <c r="G7" s="33">
        <f t="shared" si="2"/>
        <v>112.3717546875</v>
      </c>
      <c r="H7" s="107" t="s">
        <v>723</v>
      </c>
      <c r="I7" s="8"/>
      <c r="J7" s="2" t="s">
        <v>724</v>
      </c>
      <c r="K7" s="8"/>
      <c r="L7" s="8"/>
      <c r="M7" s="8"/>
      <c r="O7" s="8"/>
      <c r="P7" s="8"/>
      <c r="Q7" s="8"/>
      <c r="R7" s="8"/>
      <c r="S7" s="8"/>
      <c r="T7" s="8"/>
      <c r="U7" s="8"/>
      <c r="V7" s="8"/>
      <c r="W7" s="8"/>
      <c r="X7" s="8"/>
      <c r="Y7" s="8"/>
      <c r="Z7" s="8"/>
      <c r="AA7" s="8"/>
      <c r="AB7" s="8"/>
      <c r="AC7" s="8"/>
      <c r="AD7" s="8"/>
    </row>
    <row r="8" spans="1:30" ht="13">
      <c r="A8" s="58"/>
      <c r="B8" s="50">
        <v>5</v>
      </c>
      <c r="C8" s="16" t="s">
        <v>79</v>
      </c>
      <c r="D8" s="17">
        <v>5.6249999999999998E-3</v>
      </c>
      <c r="E8" s="43">
        <f t="shared" si="0"/>
        <v>0.12679062499999999</v>
      </c>
      <c r="F8" s="18">
        <f t="shared" si="1"/>
        <v>12.679062499999999</v>
      </c>
      <c r="G8" s="33">
        <f t="shared" si="2"/>
        <v>129.70680937499998</v>
      </c>
      <c r="H8" s="16"/>
      <c r="I8" s="8"/>
      <c r="J8" s="2" t="s">
        <v>725</v>
      </c>
      <c r="K8" s="8"/>
      <c r="L8" s="8"/>
      <c r="M8" s="8"/>
      <c r="O8" s="8"/>
      <c r="P8" s="8"/>
      <c r="Q8" s="8"/>
      <c r="R8" s="8"/>
      <c r="S8" s="8"/>
      <c r="T8" s="8"/>
      <c r="U8" s="8"/>
      <c r="V8" s="8"/>
      <c r="W8" s="8"/>
      <c r="X8" s="8"/>
      <c r="Y8" s="8"/>
      <c r="Z8" s="8"/>
      <c r="AA8" s="8"/>
      <c r="AB8" s="8"/>
      <c r="AC8" s="8"/>
      <c r="AD8" s="8"/>
    </row>
    <row r="9" spans="1:30" ht="13">
      <c r="A9" s="58"/>
      <c r="B9" s="50">
        <v>6</v>
      </c>
      <c r="C9" s="16" t="s">
        <v>80</v>
      </c>
      <c r="D9" s="17">
        <v>1.125E-2</v>
      </c>
      <c r="E9" s="43">
        <f t="shared" ref="E9:E12" si="3">(LOG10(D9*0.9892+0.0108))*0.256663+0.584555</f>
        <v>0.15875337375747839</v>
      </c>
      <c r="F9" s="18">
        <f t="shared" si="1"/>
        <v>15.875337375747838</v>
      </c>
      <c r="G9" s="33">
        <f t="shared" si="2"/>
        <v>162.40470135390038</v>
      </c>
      <c r="H9" s="16"/>
      <c r="I9" s="8"/>
      <c r="J9" s="8" t="s">
        <v>726</v>
      </c>
      <c r="K9" s="8"/>
      <c r="L9" s="8"/>
      <c r="M9" s="8"/>
      <c r="O9" s="8"/>
      <c r="P9" s="8"/>
      <c r="Q9" s="8"/>
      <c r="R9" s="8"/>
      <c r="S9" s="8"/>
      <c r="T9" s="8"/>
      <c r="U9" s="8"/>
      <c r="V9" s="8"/>
      <c r="W9" s="8"/>
      <c r="X9" s="8"/>
      <c r="Y9" s="8"/>
      <c r="Z9" s="8"/>
      <c r="AA9" s="8"/>
      <c r="AB9" s="8"/>
      <c r="AC9" s="8"/>
      <c r="AD9" s="8"/>
    </row>
    <row r="10" spans="1:30" ht="13">
      <c r="A10" s="58"/>
      <c r="B10" s="50">
        <v>7</v>
      </c>
      <c r="C10" s="16" t="s">
        <v>81</v>
      </c>
      <c r="D10" s="17">
        <v>2.2499999999999999E-2</v>
      </c>
      <c r="E10" s="43">
        <f t="shared" si="3"/>
        <v>0.20450471173211365</v>
      </c>
      <c r="F10" s="18">
        <f t="shared" si="1"/>
        <v>20.450471173211366</v>
      </c>
      <c r="G10" s="33">
        <f t="shared" si="2"/>
        <v>209.20832010195227</v>
      </c>
      <c r="H10" s="16"/>
      <c r="I10" s="8"/>
      <c r="J10" s="8" t="s">
        <v>727</v>
      </c>
      <c r="K10" s="8"/>
      <c r="L10" s="8"/>
      <c r="M10" s="8"/>
      <c r="O10" s="8"/>
      <c r="P10" s="8"/>
      <c r="Q10" s="8"/>
      <c r="R10" s="8"/>
      <c r="S10" s="8"/>
      <c r="T10" s="8"/>
      <c r="U10" s="8"/>
      <c r="V10" s="8"/>
      <c r="W10" s="8"/>
      <c r="X10" s="8"/>
      <c r="Y10" s="8"/>
      <c r="Z10" s="8"/>
      <c r="AA10" s="8"/>
      <c r="AB10" s="8"/>
      <c r="AC10" s="8"/>
      <c r="AD10" s="8"/>
    </row>
    <row r="11" spans="1:30" ht="13">
      <c r="A11" s="58"/>
      <c r="B11" s="50">
        <v>8</v>
      </c>
      <c r="C11" s="16" t="s">
        <v>82</v>
      </c>
      <c r="D11" s="17">
        <v>4.4999999999999998E-2</v>
      </c>
      <c r="E11" s="43">
        <f t="shared" si="3"/>
        <v>0.2618872763804127</v>
      </c>
      <c r="F11" s="18">
        <f t="shared" si="1"/>
        <v>26.188727638041271</v>
      </c>
      <c r="G11" s="33">
        <f t="shared" si="2"/>
        <v>267.91068373716217</v>
      </c>
      <c r="H11" s="16"/>
      <c r="I11" s="8"/>
      <c r="J11" s="8" t="s">
        <v>728</v>
      </c>
      <c r="K11" s="8"/>
      <c r="L11" s="8"/>
      <c r="M11" s="8"/>
      <c r="P11" s="8"/>
      <c r="Q11" s="8"/>
      <c r="R11" s="8"/>
      <c r="S11" s="8"/>
      <c r="T11" s="8"/>
      <c r="U11" s="8"/>
      <c r="V11" s="8"/>
      <c r="W11" s="8"/>
      <c r="X11" s="8"/>
      <c r="Y11" s="8"/>
      <c r="Z11" s="8"/>
      <c r="AA11" s="8"/>
      <c r="AB11" s="8"/>
      <c r="AC11" s="8"/>
      <c r="AD11" s="8"/>
    </row>
    <row r="12" spans="1:30" ht="13">
      <c r="A12" s="58"/>
      <c r="B12" s="50">
        <v>9</v>
      </c>
      <c r="C12" s="16" t="s">
        <v>83</v>
      </c>
      <c r="D12" s="17">
        <v>0.09</v>
      </c>
      <c r="E12" s="43">
        <f t="shared" si="3"/>
        <v>0.32770011112989705</v>
      </c>
      <c r="F12" s="18">
        <f t="shared" si="1"/>
        <v>32.770011112989707</v>
      </c>
      <c r="G12" s="33">
        <f t="shared" si="2"/>
        <v>335.23721368588468</v>
      </c>
      <c r="H12" s="16"/>
      <c r="I12" s="8"/>
      <c r="J12" s="2" t="s">
        <v>729</v>
      </c>
      <c r="K12" s="8"/>
      <c r="L12" s="8"/>
      <c r="M12" s="8"/>
      <c r="O12" s="8"/>
      <c r="P12" s="8"/>
      <c r="Q12" s="8"/>
      <c r="R12" s="8"/>
      <c r="S12" s="8"/>
      <c r="T12" s="8"/>
      <c r="U12" s="8"/>
      <c r="V12" s="8"/>
      <c r="W12" s="8"/>
      <c r="X12" s="8"/>
      <c r="Y12" s="8"/>
      <c r="Z12" s="8"/>
      <c r="AA12" s="8"/>
      <c r="AB12" s="8"/>
      <c r="AC12" s="8"/>
      <c r="AD12" s="8"/>
    </row>
    <row r="13" spans="1:30" ht="13">
      <c r="A13" s="58"/>
      <c r="B13" s="50">
        <v>10</v>
      </c>
      <c r="C13" s="16" t="s">
        <v>84</v>
      </c>
      <c r="D13" s="17">
        <v>0.12727922061357799</v>
      </c>
      <c r="E13" s="43">
        <v>0.36274250920575812</v>
      </c>
      <c r="F13" s="18">
        <f t="shared" si="1"/>
        <v>36.27425092057581</v>
      </c>
      <c r="G13" s="33">
        <f t="shared" si="2"/>
        <v>371.08558691749056</v>
      </c>
      <c r="H13" s="16"/>
      <c r="I13" s="8"/>
      <c r="K13" s="8"/>
      <c r="L13" s="8"/>
      <c r="M13" s="8"/>
      <c r="O13" s="8"/>
      <c r="P13" s="8"/>
      <c r="Q13" s="8"/>
      <c r="R13" s="8"/>
      <c r="S13" s="8"/>
      <c r="T13" s="8"/>
      <c r="U13" s="8"/>
      <c r="V13" s="8"/>
      <c r="W13" s="8"/>
      <c r="X13" s="8"/>
      <c r="Y13" s="8"/>
      <c r="Z13" s="8"/>
      <c r="AA13" s="8"/>
      <c r="AB13" s="8"/>
      <c r="AC13" s="8"/>
      <c r="AD13" s="8"/>
    </row>
    <row r="14" spans="1:30" ht="13">
      <c r="A14" s="58"/>
      <c r="B14" s="50">
        <v>11</v>
      </c>
      <c r="C14" s="43" t="s">
        <v>85</v>
      </c>
      <c r="D14" s="69">
        <f>0.18*2^-0.1</f>
        <v>0.16794593847662534</v>
      </c>
      <c r="E14" s="43">
        <f t="shared" ref="E14:E26" si="4">(LOG10(D14*0.9892+0.0108))*0.256663+0.584555</f>
        <v>0.39149480770614153</v>
      </c>
      <c r="F14" s="18">
        <f t="shared" si="1"/>
        <v>39.149480770614154</v>
      </c>
      <c r="G14" s="33">
        <f t="shared" si="2"/>
        <v>400.49918828338281</v>
      </c>
      <c r="H14" s="16"/>
      <c r="I14" s="8"/>
      <c r="K14" s="8"/>
      <c r="L14" s="8"/>
      <c r="M14" s="8"/>
      <c r="O14" s="8"/>
      <c r="P14" s="8"/>
      <c r="Q14" s="8"/>
      <c r="R14" s="8"/>
      <c r="S14" s="8"/>
      <c r="T14" s="8"/>
      <c r="U14" s="8"/>
      <c r="V14" s="8"/>
      <c r="W14" s="8"/>
      <c r="X14" s="8"/>
      <c r="Y14" s="8"/>
      <c r="Z14" s="8"/>
      <c r="AA14" s="8"/>
      <c r="AB14" s="8"/>
      <c r="AC14" s="8"/>
      <c r="AD14" s="8"/>
    </row>
    <row r="15" spans="1:30" ht="13">
      <c r="A15" s="58"/>
      <c r="B15" s="50">
        <v>12</v>
      </c>
      <c r="C15" s="16" t="s">
        <v>86</v>
      </c>
      <c r="D15" s="17">
        <v>0.18</v>
      </c>
      <c r="E15" s="43">
        <f t="shared" si="4"/>
        <v>0.3987645561893306</v>
      </c>
      <c r="F15" s="18">
        <f t="shared" si="1"/>
        <v>39.876455618933058</v>
      </c>
      <c r="G15" s="33">
        <f t="shared" si="2"/>
        <v>407.93614098168518</v>
      </c>
      <c r="H15" s="16"/>
      <c r="I15" s="8"/>
      <c r="J15" s="2" t="s">
        <v>730</v>
      </c>
      <c r="K15" s="8"/>
      <c r="L15" s="8"/>
      <c r="M15" s="8"/>
      <c r="O15" s="8"/>
      <c r="P15" s="8"/>
      <c r="Q15" s="8"/>
      <c r="R15" s="8"/>
      <c r="S15" s="8"/>
      <c r="T15" s="8"/>
      <c r="U15" s="8"/>
      <c r="V15" s="8"/>
      <c r="W15" s="8"/>
      <c r="X15" s="8"/>
      <c r="Y15" s="8"/>
      <c r="Z15" s="8"/>
      <c r="AA15" s="8"/>
      <c r="AB15" s="8"/>
      <c r="AC15" s="8"/>
      <c r="AD15" s="8"/>
    </row>
    <row r="16" spans="1:30" ht="13">
      <c r="A16" s="58"/>
      <c r="B16" s="50">
        <v>13</v>
      </c>
      <c r="C16" s="43" t="s">
        <v>87</v>
      </c>
      <c r="D16" s="69">
        <f>0.18*2^0.2</f>
        <v>0.2067657038994663</v>
      </c>
      <c r="E16" s="43">
        <f t="shared" si="4"/>
        <v>0.41338897430941668</v>
      </c>
      <c r="F16" s="18">
        <f t="shared" si="1"/>
        <v>41.338897430941671</v>
      </c>
      <c r="G16" s="33">
        <f t="shared" si="2"/>
        <v>422.89692071853324</v>
      </c>
      <c r="H16" s="16"/>
      <c r="I16" s="8"/>
      <c r="J16" s="8" t="s">
        <v>731</v>
      </c>
      <c r="K16" s="8"/>
      <c r="L16" s="8"/>
      <c r="M16" s="8"/>
      <c r="O16" s="8"/>
      <c r="P16" s="8"/>
      <c r="Q16" s="8"/>
      <c r="R16" s="8"/>
      <c r="S16" s="8"/>
      <c r="T16" s="8"/>
      <c r="U16" s="8"/>
      <c r="V16" s="8"/>
      <c r="W16" s="8"/>
      <c r="X16" s="8"/>
      <c r="Y16" s="8"/>
      <c r="Z16" s="8"/>
      <c r="AA16" s="8"/>
      <c r="AB16" s="8"/>
      <c r="AC16" s="8"/>
      <c r="AD16" s="8"/>
    </row>
    <row r="17" spans="1:30" ht="13">
      <c r="A17" s="58"/>
      <c r="B17" s="50">
        <v>14</v>
      </c>
      <c r="C17" s="16" t="s">
        <v>88</v>
      </c>
      <c r="D17" s="17">
        <f>0.18*2^0.5</f>
        <v>0.2545584412271571</v>
      </c>
      <c r="E17" s="43">
        <f t="shared" si="4"/>
        <v>0.43551335054852958</v>
      </c>
      <c r="F17" s="18">
        <f t="shared" si="1"/>
        <v>43.551335054852956</v>
      </c>
      <c r="G17" s="33">
        <f t="shared" si="2"/>
        <v>445.53015761114574</v>
      </c>
      <c r="H17" s="16"/>
      <c r="I17" s="8"/>
      <c r="J17" s="8" t="s">
        <v>732</v>
      </c>
      <c r="K17" s="8"/>
      <c r="L17" s="8"/>
      <c r="M17" s="8"/>
      <c r="O17" s="8"/>
      <c r="P17" s="8"/>
      <c r="Q17" s="8"/>
      <c r="R17" s="8"/>
      <c r="S17" s="8"/>
      <c r="T17" s="8"/>
      <c r="U17" s="8"/>
      <c r="V17" s="8"/>
      <c r="W17" s="8"/>
      <c r="X17" s="8"/>
      <c r="Y17" s="8"/>
      <c r="Z17" s="8"/>
      <c r="AA17" s="8"/>
      <c r="AB17" s="8"/>
      <c r="AC17" s="8"/>
      <c r="AD17" s="8"/>
    </row>
    <row r="18" spans="1:30" ht="13">
      <c r="A18" s="58"/>
      <c r="B18" s="50">
        <v>15</v>
      </c>
      <c r="C18" s="16" t="s">
        <v>89</v>
      </c>
      <c r="D18" s="17">
        <v>0.36</v>
      </c>
      <c r="E18" s="43">
        <f t="shared" si="4"/>
        <v>0.47279415498433996</v>
      </c>
      <c r="F18" s="18">
        <f t="shared" si="1"/>
        <v>47.279415498433998</v>
      </c>
      <c r="G18" s="33">
        <f t="shared" si="2"/>
        <v>483.66842054897978</v>
      </c>
      <c r="H18" s="16"/>
      <c r="I18" s="8"/>
      <c r="J18" s="2" t="s">
        <v>733</v>
      </c>
      <c r="K18" s="8"/>
      <c r="L18" s="8"/>
      <c r="M18" s="8"/>
      <c r="O18" s="8"/>
      <c r="P18" s="8"/>
      <c r="Q18" s="8"/>
      <c r="R18" s="8"/>
      <c r="S18" s="8"/>
      <c r="T18" s="8"/>
      <c r="U18" s="8"/>
      <c r="V18" s="8"/>
      <c r="W18" s="8"/>
      <c r="X18" s="8"/>
      <c r="Y18" s="8"/>
      <c r="Z18" s="8"/>
      <c r="AA18" s="8"/>
      <c r="AB18" s="8"/>
      <c r="AC18" s="8"/>
      <c r="AD18" s="8"/>
    </row>
    <row r="19" spans="1:30" ht="13">
      <c r="A19" s="58"/>
      <c r="B19" s="50">
        <v>16</v>
      </c>
      <c r="C19" s="16" t="s">
        <v>90</v>
      </c>
      <c r="D19" s="17">
        <v>0.72</v>
      </c>
      <c r="E19" s="43">
        <f t="shared" si="4"/>
        <v>0.54840471289724713</v>
      </c>
      <c r="F19" s="18">
        <f t="shared" si="1"/>
        <v>54.840471289724711</v>
      </c>
      <c r="G19" s="33">
        <f t="shared" si="2"/>
        <v>561.01802129388386</v>
      </c>
      <c r="H19" s="16"/>
      <c r="I19" s="8"/>
      <c r="J19" s="2" t="s">
        <v>734</v>
      </c>
      <c r="K19" s="8"/>
      <c r="L19" s="8"/>
      <c r="M19" s="8"/>
      <c r="O19" s="8"/>
      <c r="P19" s="8"/>
      <c r="Q19" s="8"/>
      <c r="R19" s="8"/>
      <c r="S19" s="8"/>
      <c r="T19" s="8"/>
      <c r="U19" s="8"/>
      <c r="V19" s="8"/>
      <c r="W19" s="8"/>
      <c r="X19" s="8"/>
      <c r="Y19" s="8"/>
      <c r="Z19" s="8"/>
      <c r="AA19" s="8"/>
      <c r="AB19" s="8"/>
      <c r="AC19" s="8"/>
      <c r="AD19" s="8"/>
    </row>
    <row r="20" spans="1:30" ht="13">
      <c r="A20" s="58"/>
      <c r="B20" s="82">
        <v>17</v>
      </c>
      <c r="C20" s="73" t="s">
        <v>91</v>
      </c>
      <c r="D20" s="74">
        <v>0.9</v>
      </c>
      <c r="E20" s="98">
        <f t="shared" si="4"/>
        <v>0.57294442579742966</v>
      </c>
      <c r="F20" s="76">
        <f t="shared" si="1"/>
        <v>57.294442579742963</v>
      </c>
      <c r="G20" s="77">
        <f t="shared" si="2"/>
        <v>586.12214759077051</v>
      </c>
      <c r="H20" s="73" t="s">
        <v>205</v>
      </c>
      <c r="I20" s="8"/>
      <c r="J20" s="2" t="s">
        <v>735</v>
      </c>
      <c r="K20" s="8"/>
      <c r="L20" s="8"/>
      <c r="M20" s="8"/>
      <c r="O20" s="8"/>
      <c r="P20" s="8"/>
      <c r="Q20" s="8"/>
      <c r="R20" s="8"/>
      <c r="S20" s="8"/>
      <c r="T20" s="8"/>
      <c r="U20" s="8"/>
      <c r="V20" s="8"/>
      <c r="W20" s="8"/>
      <c r="X20" s="8"/>
      <c r="Y20" s="8"/>
      <c r="Z20" s="8"/>
      <c r="AA20" s="8"/>
      <c r="AB20" s="8"/>
      <c r="AC20" s="8"/>
      <c r="AD20" s="8"/>
    </row>
    <row r="21" spans="1:30" ht="13">
      <c r="A21" s="58"/>
      <c r="B21" s="50">
        <v>18</v>
      </c>
      <c r="C21" s="16" t="s">
        <v>92</v>
      </c>
      <c r="D21" s="17">
        <v>1.44</v>
      </c>
      <c r="E21" s="43">
        <f t="shared" si="4"/>
        <v>0.62483234185927117</v>
      </c>
      <c r="F21" s="18">
        <f t="shared" si="1"/>
        <v>62.483234185927117</v>
      </c>
      <c r="G21" s="33">
        <f t="shared" si="2"/>
        <v>639.20348572203443</v>
      </c>
      <c r="H21" s="16"/>
      <c r="I21" s="8"/>
      <c r="J21" s="8"/>
      <c r="K21" s="8"/>
      <c r="L21" s="8"/>
      <c r="M21" s="8"/>
      <c r="O21" s="8"/>
      <c r="P21" s="8"/>
      <c r="Q21" s="8"/>
      <c r="R21" s="8"/>
      <c r="S21" s="8"/>
      <c r="T21" s="8"/>
      <c r="U21" s="8"/>
      <c r="V21" s="8"/>
      <c r="W21" s="8"/>
      <c r="X21" s="8"/>
      <c r="Y21" s="8"/>
      <c r="Z21" s="8"/>
      <c r="AA21" s="8"/>
      <c r="AB21" s="8"/>
      <c r="AC21" s="8"/>
      <c r="AD21" s="8"/>
    </row>
    <row r="22" spans="1:30" ht="13">
      <c r="A22" s="58"/>
      <c r="B22" s="50">
        <v>19</v>
      </c>
      <c r="C22" s="16" t="s">
        <v>93</v>
      </c>
      <c r="D22" s="17">
        <v>2.88</v>
      </c>
      <c r="E22" s="43">
        <f t="shared" si="4"/>
        <v>0.70167542625619317</v>
      </c>
      <c r="F22" s="18">
        <f t="shared" si="1"/>
        <v>70.167542625619319</v>
      </c>
      <c r="G22" s="33">
        <f t="shared" si="2"/>
        <v>717.8139610600856</v>
      </c>
      <c r="H22" s="16"/>
      <c r="I22" s="8"/>
      <c r="J22" s="8"/>
      <c r="K22" s="8"/>
      <c r="L22" s="8"/>
      <c r="M22" s="8"/>
      <c r="O22" s="8"/>
      <c r="P22" s="8"/>
      <c r="Q22" s="8"/>
      <c r="R22" s="8"/>
      <c r="S22" s="8"/>
      <c r="T22" s="8"/>
      <c r="U22" s="8"/>
      <c r="V22" s="8"/>
      <c r="W22" s="8"/>
      <c r="X22" s="8"/>
      <c r="Y22" s="8"/>
      <c r="Z22" s="8"/>
      <c r="AA22" s="8"/>
      <c r="AB22" s="8"/>
      <c r="AC22" s="8"/>
      <c r="AD22" s="8"/>
    </row>
    <row r="23" spans="1:30" ht="13">
      <c r="A23" s="58"/>
      <c r="B23" s="50">
        <v>20</v>
      </c>
      <c r="C23" s="16" t="s">
        <v>94</v>
      </c>
      <c r="D23" s="17">
        <v>5.76</v>
      </c>
      <c r="E23" s="43">
        <f t="shared" si="4"/>
        <v>0.77872800389790386</v>
      </c>
      <c r="F23" s="18">
        <f t="shared" si="1"/>
        <v>77.872800389790385</v>
      </c>
      <c r="G23" s="33">
        <f t="shared" si="2"/>
        <v>796.63874798755569</v>
      </c>
      <c r="H23" s="16"/>
      <c r="I23" s="8"/>
      <c r="J23" s="8"/>
      <c r="K23" s="8"/>
      <c r="L23" s="8"/>
      <c r="M23" s="8"/>
      <c r="O23" s="8"/>
      <c r="P23" s="8"/>
      <c r="Q23" s="8"/>
      <c r="R23" s="8"/>
      <c r="S23" s="8"/>
      <c r="T23" s="8"/>
      <c r="U23" s="8"/>
      <c r="V23" s="8"/>
      <c r="W23" s="8"/>
      <c r="X23" s="8"/>
      <c r="Y23" s="8"/>
      <c r="Z23" s="8"/>
      <c r="AA23" s="8"/>
      <c r="AB23" s="8"/>
      <c r="AC23" s="8"/>
      <c r="AD23" s="8"/>
    </row>
    <row r="24" spans="1:30" ht="13">
      <c r="A24" s="58"/>
      <c r="B24" s="50">
        <v>21</v>
      </c>
      <c r="C24" s="16" t="s">
        <v>95</v>
      </c>
      <c r="D24" s="17">
        <v>11.52</v>
      </c>
      <c r="E24" s="43">
        <f t="shared" si="4"/>
        <v>0.85588577408879984</v>
      </c>
      <c r="F24" s="18">
        <f t="shared" si="1"/>
        <v>85.588577408879985</v>
      </c>
      <c r="G24" s="33">
        <f t="shared" si="2"/>
        <v>875.57114689284219</v>
      </c>
      <c r="H24" s="16" t="s">
        <v>736</v>
      </c>
      <c r="I24" s="8"/>
      <c r="K24" s="8"/>
      <c r="L24" s="8"/>
      <c r="M24" s="8"/>
      <c r="O24" s="8"/>
      <c r="P24" s="8"/>
      <c r="Q24" s="8"/>
      <c r="R24" s="8"/>
      <c r="S24" s="8"/>
      <c r="T24" s="8"/>
      <c r="U24" s="8"/>
      <c r="V24" s="8"/>
      <c r="W24" s="8"/>
      <c r="X24" s="8"/>
      <c r="Y24" s="8"/>
      <c r="Z24" s="8"/>
      <c r="AA24" s="8"/>
      <c r="AB24" s="8"/>
      <c r="AC24" s="8"/>
      <c r="AD24" s="8"/>
    </row>
    <row r="25" spans="1:30" ht="13">
      <c r="A25" s="58"/>
      <c r="B25" s="50">
        <v>22</v>
      </c>
      <c r="C25" s="16" t="s">
        <v>96</v>
      </c>
      <c r="D25" s="17">
        <v>23.04</v>
      </c>
      <c r="E25" s="43">
        <f t="shared" si="4"/>
        <v>0.9330962526105866</v>
      </c>
      <c r="F25" s="18">
        <f t="shared" si="1"/>
        <v>93.309625261058656</v>
      </c>
      <c r="G25" s="33">
        <f t="shared" si="2"/>
        <v>954.55746642063013</v>
      </c>
      <c r="H25" s="16"/>
      <c r="I25" s="8"/>
      <c r="K25" s="8"/>
      <c r="L25" s="8"/>
      <c r="M25" s="8"/>
      <c r="O25" s="8"/>
      <c r="P25" s="8"/>
      <c r="Q25" s="8"/>
      <c r="R25" s="8"/>
      <c r="S25" s="8"/>
      <c r="T25" s="8"/>
      <c r="U25" s="8"/>
      <c r="V25" s="8"/>
      <c r="W25" s="8"/>
      <c r="X25" s="8"/>
      <c r="Y25" s="8"/>
      <c r="Z25" s="8"/>
      <c r="AA25" s="8"/>
      <c r="AB25" s="8"/>
      <c r="AC25" s="8"/>
      <c r="AD25" s="8"/>
    </row>
    <row r="26" spans="1:30" ht="13">
      <c r="A26" s="58"/>
      <c r="B26" s="50">
        <v>23</v>
      </c>
      <c r="C26" s="16" t="s">
        <v>97</v>
      </c>
      <c r="D26" s="17">
        <v>46.08</v>
      </c>
      <c r="E26" s="43">
        <f t="shared" si="4"/>
        <v>1.010333113384128</v>
      </c>
      <c r="F26" s="18">
        <f t="shared" si="1"/>
        <v>101.0333113384128</v>
      </c>
      <c r="G26" s="33">
        <f t="shared" si="2"/>
        <v>1033.5707749919629</v>
      </c>
      <c r="H26" s="16"/>
      <c r="I26" s="8"/>
      <c r="J26" s="8"/>
      <c r="K26" s="8"/>
      <c r="L26" s="8"/>
      <c r="M26" s="8"/>
      <c r="O26" s="8"/>
      <c r="P26" s="8"/>
      <c r="Q26" s="8"/>
      <c r="R26" s="8"/>
      <c r="S26" s="8"/>
      <c r="T26" s="8"/>
      <c r="U26" s="8"/>
      <c r="V26" s="8"/>
      <c r="W26" s="8"/>
      <c r="X26" s="8"/>
      <c r="Y26" s="8"/>
      <c r="Z26" s="8"/>
      <c r="AA26" s="8"/>
      <c r="AB26" s="8"/>
      <c r="AC26" s="8"/>
      <c r="AD26" s="8"/>
    </row>
    <row r="27" spans="1:30" ht="13">
      <c r="A27" s="58"/>
      <c r="B27" s="50">
        <v>24</v>
      </c>
      <c r="C27" s="5"/>
      <c r="D27" s="5"/>
      <c r="E27" s="43"/>
      <c r="F27" s="5"/>
      <c r="G27" s="5"/>
      <c r="H27" s="43"/>
      <c r="I27" s="8"/>
      <c r="J27" s="8"/>
      <c r="K27" s="8"/>
      <c r="L27" s="8"/>
      <c r="M27" s="8"/>
      <c r="N27" s="8"/>
      <c r="O27" s="8"/>
      <c r="P27" s="8"/>
      <c r="Q27" s="8"/>
      <c r="R27" s="8"/>
      <c r="S27" s="8"/>
      <c r="T27" s="8"/>
      <c r="U27" s="8"/>
      <c r="V27" s="8"/>
      <c r="W27" s="8"/>
      <c r="X27" s="8"/>
      <c r="Y27" s="8"/>
      <c r="Z27" s="8"/>
      <c r="AA27" s="8"/>
      <c r="AB27" s="8"/>
      <c r="AC27" s="8"/>
      <c r="AD27" s="8"/>
    </row>
    <row r="28" spans="1:30" ht="13">
      <c r="A28" s="81"/>
      <c r="B28" s="81"/>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row>
    <row r="29" spans="1:30" ht="13">
      <c r="A29" s="8"/>
      <c r="B29" s="43"/>
      <c r="C29" s="12" t="s">
        <v>722</v>
      </c>
      <c r="D29" s="173" t="s">
        <v>142</v>
      </c>
      <c r="E29" s="166"/>
      <c r="F29" s="166"/>
      <c r="G29" s="167"/>
      <c r="H29" s="41" t="s">
        <v>228</v>
      </c>
      <c r="I29" s="8"/>
      <c r="J29" s="8"/>
      <c r="Y29" s="8"/>
      <c r="Z29" s="8"/>
      <c r="AA29" s="8"/>
      <c r="AB29" s="8"/>
      <c r="AC29" s="8"/>
      <c r="AD29" s="8"/>
    </row>
    <row r="30" spans="1:30" ht="42">
      <c r="A30" s="8"/>
      <c r="B30" s="41" t="s">
        <v>58</v>
      </c>
      <c r="C30" s="41" t="s">
        <v>59</v>
      </c>
      <c r="D30" s="41" t="s">
        <v>143</v>
      </c>
      <c r="E30" s="83" t="s">
        <v>144</v>
      </c>
      <c r="F30" s="83" t="s">
        <v>145</v>
      </c>
      <c r="G30" s="83" t="s">
        <v>146</v>
      </c>
      <c r="H30" s="43"/>
      <c r="I30" s="8"/>
      <c r="Y30" s="8"/>
      <c r="Z30" s="8"/>
      <c r="AA30" s="8"/>
      <c r="AB30" s="8"/>
      <c r="AC30" s="8"/>
      <c r="AD30" s="8"/>
    </row>
    <row r="31" spans="1:30" ht="15">
      <c r="A31" s="58"/>
      <c r="B31" s="69">
        <v>1</v>
      </c>
      <c r="C31" s="43" t="s">
        <v>229</v>
      </c>
      <c r="D31" s="69">
        <v>7.0312499999999997E-4</v>
      </c>
      <c r="E31" s="43">
        <f t="shared" ref="E31:E65" si="5">6.025*D31+0.0929</f>
        <v>9.713632812499999E-2</v>
      </c>
      <c r="F31" s="71">
        <f t="shared" ref="F31:F191" si="6">E31*100</f>
        <v>9.7136328124999984</v>
      </c>
      <c r="G31" s="84">
        <f t="shared" ref="G31:G191" si="7">E31*1023</f>
        <v>99.370463671874987</v>
      </c>
      <c r="H31" s="43"/>
      <c r="I31" s="8"/>
      <c r="Y31" s="8"/>
      <c r="Z31" s="8"/>
      <c r="AA31" s="8"/>
      <c r="AB31" s="8"/>
      <c r="AC31" s="8"/>
      <c r="AD31" s="8"/>
    </row>
    <row r="32" spans="1:30" ht="15">
      <c r="A32" s="58"/>
      <c r="B32" s="69">
        <v>2</v>
      </c>
      <c r="C32" s="43" t="s">
        <v>230</v>
      </c>
      <c r="D32" s="69">
        <v>7.5359071584583004E-4</v>
      </c>
      <c r="E32" s="43">
        <f t="shared" si="5"/>
        <v>9.7440384062971119E-2</v>
      </c>
      <c r="F32" s="71">
        <f t="shared" si="6"/>
        <v>9.7440384062971113</v>
      </c>
      <c r="G32" s="84">
        <f t="shared" si="7"/>
        <v>99.681512896419449</v>
      </c>
      <c r="H32" s="43"/>
      <c r="I32" s="8"/>
      <c r="Y32" s="8"/>
      <c r="Z32" s="8"/>
      <c r="AA32" s="8"/>
      <c r="AB32" s="8"/>
      <c r="AC32" s="8"/>
      <c r="AD32" s="8"/>
    </row>
    <row r="33" spans="1:30" ht="15">
      <c r="A33" s="58"/>
      <c r="B33" s="69">
        <v>3</v>
      </c>
      <c r="C33" s="43" t="s">
        <v>231</v>
      </c>
      <c r="D33" s="69">
        <v>8.0767853085729003E-4</v>
      </c>
      <c r="E33" s="43">
        <f t="shared" si="5"/>
        <v>9.7766263148415175E-2</v>
      </c>
      <c r="F33" s="71">
        <f t="shared" si="6"/>
        <v>9.7766263148415167</v>
      </c>
      <c r="G33" s="84">
        <f t="shared" si="7"/>
        <v>100.01488720082872</v>
      </c>
      <c r="H33" s="43"/>
      <c r="I33" s="8"/>
      <c r="Y33" s="8"/>
      <c r="Z33" s="8"/>
      <c r="AA33" s="8"/>
      <c r="AB33" s="8"/>
      <c r="AC33" s="8"/>
      <c r="AD33" s="8"/>
    </row>
    <row r="34" spans="1:30" ht="15">
      <c r="A34" s="58"/>
      <c r="B34" s="69">
        <v>4</v>
      </c>
      <c r="C34" s="43" t="s">
        <v>232</v>
      </c>
      <c r="D34" s="69">
        <v>8.6564841563314401E-4</v>
      </c>
      <c r="E34" s="43">
        <f t="shared" si="5"/>
        <v>9.8115531704189685E-2</v>
      </c>
      <c r="F34" s="71">
        <f t="shared" si="6"/>
        <v>9.8115531704189678</v>
      </c>
      <c r="G34" s="84">
        <f t="shared" si="7"/>
        <v>100.37218893338604</v>
      </c>
      <c r="H34" s="43"/>
      <c r="I34" s="8"/>
      <c r="Y34" s="8"/>
      <c r="Z34" s="8"/>
      <c r="AA34" s="8"/>
      <c r="AB34" s="8"/>
      <c r="AC34" s="8"/>
      <c r="AD34" s="8"/>
    </row>
    <row r="35" spans="1:30" ht="15">
      <c r="A35" s="58"/>
      <c r="B35" s="69">
        <v>5</v>
      </c>
      <c r="C35" s="43" t="s">
        <v>233</v>
      </c>
      <c r="D35" s="69">
        <v>9.2777899976219098E-4</v>
      </c>
      <c r="E35" s="43">
        <f t="shared" si="5"/>
        <v>9.8489868473567194E-2</v>
      </c>
      <c r="F35" s="71">
        <f t="shared" si="6"/>
        <v>9.8489868473567199</v>
      </c>
      <c r="G35" s="84">
        <f t="shared" si="7"/>
        <v>100.75513544845924</v>
      </c>
      <c r="H35" s="43"/>
      <c r="I35" s="8"/>
      <c r="Y35" s="8"/>
      <c r="Z35" s="8"/>
      <c r="AA35" s="8"/>
      <c r="AB35" s="8"/>
      <c r="AC35" s="8"/>
      <c r="AD35" s="8"/>
    </row>
    <row r="36" spans="1:30" ht="15">
      <c r="A36" s="58"/>
      <c r="B36" s="69">
        <v>6</v>
      </c>
      <c r="C36" s="43" t="s">
        <v>234</v>
      </c>
      <c r="D36" s="69">
        <v>9.9436891104358197E-4</v>
      </c>
      <c r="E36" s="43">
        <f t="shared" si="5"/>
        <v>9.8891072689037574E-2</v>
      </c>
      <c r="F36" s="71">
        <f t="shared" si="6"/>
        <v>9.8891072689037571</v>
      </c>
      <c r="G36" s="84">
        <f t="shared" si="7"/>
        <v>101.16556736088543</v>
      </c>
      <c r="H36" s="43"/>
      <c r="I36" s="8"/>
      <c r="Y36" s="8"/>
      <c r="Z36" s="8"/>
      <c r="AA36" s="8"/>
      <c r="AB36" s="8"/>
      <c r="AC36" s="8"/>
      <c r="AD36" s="8"/>
    </row>
    <row r="37" spans="1:30" ht="15">
      <c r="A37" s="58"/>
      <c r="B37" s="69">
        <v>7</v>
      </c>
      <c r="C37" s="43" t="s">
        <v>235</v>
      </c>
      <c r="D37" s="69">
        <v>1.06573821082762E-3</v>
      </c>
      <c r="E37" s="43">
        <f t="shared" si="5"/>
        <v>9.9321072720236409E-2</v>
      </c>
      <c r="F37" s="71">
        <f t="shared" si="6"/>
        <v>9.9321072720236412</v>
      </c>
      <c r="G37" s="84">
        <f t="shared" si="7"/>
        <v>101.60545739280185</v>
      </c>
      <c r="H37" s="43"/>
      <c r="I37" s="8"/>
      <c r="Y37" s="8"/>
      <c r="Z37" s="8"/>
      <c r="AA37" s="8"/>
      <c r="AB37" s="8"/>
      <c r="AC37" s="8"/>
      <c r="AD37" s="8"/>
    </row>
    <row r="38" spans="1:30" ht="15">
      <c r="A38" s="58"/>
      <c r="B38" s="69">
        <v>8</v>
      </c>
      <c r="C38" s="43" t="s">
        <v>236</v>
      </c>
      <c r="D38" s="69">
        <v>1.1422299323759499E-3</v>
      </c>
      <c r="E38" s="43">
        <f t="shared" si="5"/>
        <v>9.978193534256509E-2</v>
      </c>
      <c r="F38" s="71">
        <f t="shared" si="6"/>
        <v>9.9781935342565085</v>
      </c>
      <c r="G38" s="84">
        <f t="shared" si="7"/>
        <v>102.07691985544409</v>
      </c>
      <c r="H38" s="43"/>
      <c r="I38" s="8"/>
      <c r="Y38" s="8"/>
      <c r="Z38" s="8"/>
      <c r="AA38" s="8"/>
      <c r="AB38" s="8"/>
      <c r="AC38" s="8"/>
      <c r="AD38" s="8"/>
    </row>
    <row r="39" spans="1:30" ht="15">
      <c r="A39" s="58"/>
      <c r="B39" s="69">
        <v>9</v>
      </c>
      <c r="C39" s="43" t="s">
        <v>237</v>
      </c>
      <c r="D39" s="69">
        <v>1.22421172963517E-3</v>
      </c>
      <c r="E39" s="43">
        <f t="shared" si="5"/>
        <v>0.1002758756710519</v>
      </c>
      <c r="F39" s="71">
        <f t="shared" si="6"/>
        <v>10.02758756710519</v>
      </c>
      <c r="G39" s="84">
        <f t="shared" si="7"/>
        <v>102.5822208114861</v>
      </c>
      <c r="H39" s="43"/>
      <c r="I39" s="8"/>
      <c r="Y39" s="8"/>
      <c r="Z39" s="8"/>
      <c r="AA39" s="8"/>
      <c r="AB39" s="8"/>
      <c r="AC39" s="8"/>
      <c r="AD39" s="8"/>
    </row>
    <row r="40" spans="1:30" ht="15">
      <c r="A40" s="58"/>
      <c r="B40" s="69">
        <v>10</v>
      </c>
      <c r="C40" s="43" t="s">
        <v>238</v>
      </c>
      <c r="D40" s="69">
        <v>1.31207764434863E-3</v>
      </c>
      <c r="E40" s="43">
        <f t="shared" si="5"/>
        <v>0.10080526780720049</v>
      </c>
      <c r="F40" s="71">
        <f t="shared" si="6"/>
        <v>10.080526780720049</v>
      </c>
      <c r="G40" s="84">
        <f t="shared" si="7"/>
        <v>103.1237889667661</v>
      </c>
      <c r="H40" s="43"/>
      <c r="I40" s="8"/>
      <c r="Y40" s="8"/>
      <c r="Z40" s="8"/>
      <c r="AA40" s="8"/>
      <c r="AB40" s="8"/>
      <c r="AC40" s="8"/>
      <c r="AD40" s="8"/>
    </row>
    <row r="41" spans="1:30" ht="15">
      <c r="A41" s="58"/>
      <c r="B41" s="69">
        <v>11</v>
      </c>
      <c r="C41" s="43" t="s">
        <v>239</v>
      </c>
      <c r="D41" s="69">
        <v>1.4062499999999999E-3</v>
      </c>
      <c r="E41" s="43">
        <f t="shared" si="5"/>
        <v>0.10137265625</v>
      </c>
      <c r="F41" s="71">
        <f t="shared" si="6"/>
        <v>10.137265625</v>
      </c>
      <c r="G41" s="84">
        <f t="shared" si="7"/>
        <v>103.70422734374999</v>
      </c>
      <c r="H41" s="43"/>
      <c r="I41" s="8"/>
      <c r="Y41" s="8"/>
      <c r="Z41" s="8"/>
      <c r="AA41" s="8"/>
      <c r="AB41" s="8"/>
      <c r="AC41" s="8"/>
      <c r="AD41" s="8"/>
    </row>
    <row r="42" spans="1:30" ht="15">
      <c r="A42" s="58"/>
      <c r="B42" s="69">
        <v>12</v>
      </c>
      <c r="C42" s="43" t="s">
        <v>240</v>
      </c>
      <c r="D42" s="69">
        <v>1.5071814316916601E-3</v>
      </c>
      <c r="E42" s="43">
        <f t="shared" si="5"/>
        <v>0.10198076812594226</v>
      </c>
      <c r="F42" s="71">
        <f t="shared" si="6"/>
        <v>10.198076812594225</v>
      </c>
      <c r="G42" s="84">
        <f t="shared" si="7"/>
        <v>104.32632579283893</v>
      </c>
      <c r="H42" s="43"/>
      <c r="I42" s="8"/>
      <c r="Y42" s="8"/>
      <c r="Z42" s="8"/>
      <c r="AA42" s="8"/>
      <c r="AB42" s="8"/>
      <c r="AC42" s="8"/>
      <c r="AD42" s="8"/>
    </row>
    <row r="43" spans="1:30" ht="15">
      <c r="A43" s="58"/>
      <c r="B43" s="69">
        <v>13</v>
      </c>
      <c r="C43" s="43" t="s">
        <v>241</v>
      </c>
      <c r="D43" s="69">
        <v>1.6153570617145801E-3</v>
      </c>
      <c r="E43" s="43">
        <f t="shared" si="5"/>
        <v>0.10263252629683034</v>
      </c>
      <c r="F43" s="71">
        <f t="shared" si="6"/>
        <v>10.263252629683034</v>
      </c>
      <c r="G43" s="84">
        <f t="shared" si="7"/>
        <v>104.99307440165744</v>
      </c>
      <c r="H43" s="43"/>
      <c r="I43" s="8"/>
      <c r="Y43" s="8"/>
      <c r="Z43" s="8"/>
      <c r="AA43" s="8"/>
      <c r="AB43" s="8"/>
      <c r="AC43" s="8"/>
      <c r="AD43" s="8"/>
    </row>
    <row r="44" spans="1:30" ht="15">
      <c r="A44" s="58"/>
      <c r="B44" s="69">
        <v>14</v>
      </c>
      <c r="C44" s="43" t="s">
        <v>242</v>
      </c>
      <c r="D44" s="69">
        <v>1.73129683126628E-3</v>
      </c>
      <c r="E44" s="43">
        <f t="shared" si="5"/>
        <v>0.10333106340837933</v>
      </c>
      <c r="F44" s="71">
        <f t="shared" si="6"/>
        <v>10.333106340837933</v>
      </c>
      <c r="G44" s="84">
        <f t="shared" si="7"/>
        <v>105.70767786677206</v>
      </c>
      <c r="H44" s="43"/>
      <c r="I44" s="8"/>
      <c r="Y44" s="8"/>
      <c r="Z44" s="8"/>
      <c r="AA44" s="8"/>
      <c r="AB44" s="8"/>
      <c r="AC44" s="8"/>
      <c r="AD44" s="8"/>
    </row>
    <row r="45" spans="1:30" ht="15">
      <c r="A45" s="58"/>
      <c r="B45" s="69">
        <v>15</v>
      </c>
      <c r="C45" s="43" t="s">
        <v>243</v>
      </c>
      <c r="D45" s="69">
        <v>1.85555799952438E-3</v>
      </c>
      <c r="E45" s="43">
        <f t="shared" si="5"/>
        <v>0.10407973694713439</v>
      </c>
      <c r="F45" s="71">
        <f t="shared" si="6"/>
        <v>10.407973694713439</v>
      </c>
      <c r="G45" s="84">
        <f t="shared" si="7"/>
        <v>106.47357089691849</v>
      </c>
      <c r="H45" s="43"/>
      <c r="I45" s="8"/>
      <c r="Y45" s="8"/>
      <c r="Z45" s="8"/>
      <c r="AA45" s="8"/>
      <c r="AB45" s="8"/>
      <c r="AC45" s="8"/>
      <c r="AD45" s="8"/>
    </row>
    <row r="46" spans="1:30" ht="15">
      <c r="A46" s="58"/>
      <c r="B46" s="69">
        <v>16</v>
      </c>
      <c r="C46" s="43" t="s">
        <v>244</v>
      </c>
      <c r="D46" s="69">
        <v>1.98873782208716E-3</v>
      </c>
      <c r="E46" s="43">
        <f t="shared" si="5"/>
        <v>0.10488214537807514</v>
      </c>
      <c r="F46" s="71">
        <f t="shared" si="6"/>
        <v>10.488214537807513</v>
      </c>
      <c r="G46" s="84">
        <f t="shared" si="7"/>
        <v>107.29443472177087</v>
      </c>
      <c r="H46" s="43"/>
      <c r="I46" s="8"/>
      <c r="Y46" s="8"/>
      <c r="Z46" s="8"/>
      <c r="AA46" s="8"/>
      <c r="AB46" s="8"/>
      <c r="AC46" s="8"/>
      <c r="AD46" s="8"/>
    </row>
    <row r="47" spans="1:30" ht="15">
      <c r="A47" s="58"/>
      <c r="B47" s="69">
        <v>17</v>
      </c>
      <c r="C47" s="43" t="s">
        <v>245</v>
      </c>
      <c r="D47" s="69">
        <v>2.13147642165524E-3</v>
      </c>
      <c r="E47" s="43">
        <f t="shared" si="5"/>
        <v>0.10574214544047282</v>
      </c>
      <c r="F47" s="71">
        <f t="shared" si="6"/>
        <v>10.574214544047281</v>
      </c>
      <c r="G47" s="84">
        <f t="shared" si="7"/>
        <v>108.1742147856037</v>
      </c>
      <c r="H47" s="43"/>
      <c r="I47" s="8"/>
      <c r="Y47" s="8"/>
      <c r="Z47" s="8"/>
      <c r="AA47" s="8"/>
      <c r="AB47" s="8"/>
      <c r="AC47" s="8"/>
      <c r="AD47" s="8"/>
    </row>
    <row r="48" spans="1:30" ht="15">
      <c r="A48" s="58"/>
      <c r="B48" s="69">
        <v>18</v>
      </c>
      <c r="C48" s="43" t="s">
        <v>246</v>
      </c>
      <c r="D48" s="69">
        <v>2.2844598647519098E-3</v>
      </c>
      <c r="E48" s="43">
        <f t="shared" si="5"/>
        <v>0.10666387068513025</v>
      </c>
      <c r="F48" s="71">
        <f t="shared" si="6"/>
        <v>10.666387068513025</v>
      </c>
      <c r="G48" s="84">
        <f t="shared" si="7"/>
        <v>109.11713971088825</v>
      </c>
      <c r="H48" s="43"/>
      <c r="I48" s="8"/>
      <c r="Y48" s="8"/>
      <c r="Z48" s="8"/>
      <c r="AA48" s="8"/>
      <c r="AB48" s="8"/>
      <c r="AC48" s="8"/>
      <c r="AD48" s="8"/>
    </row>
    <row r="49" spans="1:30" ht="15">
      <c r="A49" s="58"/>
      <c r="B49" s="69">
        <v>19</v>
      </c>
      <c r="C49" s="43" t="s">
        <v>247</v>
      </c>
      <c r="D49" s="69">
        <v>2.44842345927034E-3</v>
      </c>
      <c r="E49" s="43">
        <f t="shared" si="5"/>
        <v>0.10765175134210379</v>
      </c>
      <c r="F49" s="71">
        <f t="shared" si="6"/>
        <v>10.765175134210379</v>
      </c>
      <c r="G49" s="84">
        <f t="shared" si="7"/>
        <v>110.12774162297218</v>
      </c>
      <c r="H49" s="43"/>
      <c r="I49" s="8"/>
      <c r="Y49" s="8"/>
      <c r="Z49" s="8"/>
      <c r="AA49" s="8"/>
      <c r="AB49" s="8"/>
      <c r="AC49" s="8"/>
      <c r="AD49" s="8"/>
    </row>
    <row r="50" spans="1:30" ht="15">
      <c r="A50" s="58"/>
      <c r="B50" s="69">
        <v>20</v>
      </c>
      <c r="C50" s="43" t="s">
        <v>248</v>
      </c>
      <c r="D50" s="69">
        <v>2.6241552886972701E-3</v>
      </c>
      <c r="E50" s="43">
        <f t="shared" si="5"/>
        <v>0.10871053561440105</v>
      </c>
      <c r="F50" s="71">
        <f t="shared" si="6"/>
        <v>10.871053561440105</v>
      </c>
      <c r="G50" s="84">
        <f t="shared" si="7"/>
        <v>111.21087793353227</v>
      </c>
      <c r="H50" s="43"/>
      <c r="I50" s="8"/>
      <c r="Y50" s="8"/>
      <c r="Z50" s="8"/>
      <c r="AA50" s="8"/>
      <c r="AB50" s="8"/>
      <c r="AC50" s="8"/>
      <c r="AD50" s="8"/>
    </row>
    <row r="51" spans="1:30" ht="15">
      <c r="A51" s="58"/>
      <c r="B51" s="69">
        <v>21</v>
      </c>
      <c r="C51" s="43" t="s">
        <v>249</v>
      </c>
      <c r="D51" s="69">
        <v>2.8124999999999999E-3</v>
      </c>
      <c r="E51" s="43">
        <f t="shared" si="5"/>
        <v>0.1098453125</v>
      </c>
      <c r="F51" s="71">
        <f t="shared" si="6"/>
        <v>10.98453125</v>
      </c>
      <c r="G51" s="84">
        <f t="shared" si="7"/>
        <v>112.3717546875</v>
      </c>
      <c r="H51" s="43"/>
      <c r="I51" s="8"/>
      <c r="Y51" s="8"/>
      <c r="Z51" s="8"/>
      <c r="AA51" s="8"/>
      <c r="AB51" s="8"/>
      <c r="AC51" s="8"/>
      <c r="AD51" s="8"/>
    </row>
    <row r="52" spans="1:30" ht="15">
      <c r="A52" s="58"/>
      <c r="B52" s="69">
        <v>22</v>
      </c>
      <c r="C52" s="43" t="s">
        <v>250</v>
      </c>
      <c r="D52" s="69">
        <v>3.0143628633833202E-3</v>
      </c>
      <c r="E52" s="43">
        <f t="shared" si="5"/>
        <v>0.1110615362518845</v>
      </c>
      <c r="F52" s="71">
        <f t="shared" si="6"/>
        <v>11.106153625188449</v>
      </c>
      <c r="G52" s="84">
        <f t="shared" si="7"/>
        <v>113.61595158567785</v>
      </c>
      <c r="H52" s="43"/>
      <c r="I52" s="8"/>
      <c r="Y52" s="8"/>
      <c r="Z52" s="8"/>
      <c r="AA52" s="8"/>
      <c r="AB52" s="8"/>
      <c r="AC52" s="8"/>
      <c r="AD52" s="8"/>
    </row>
    <row r="53" spans="1:30" ht="15">
      <c r="A53" s="58"/>
      <c r="B53" s="69">
        <v>23</v>
      </c>
      <c r="C53" s="43" t="s">
        <v>251</v>
      </c>
      <c r="D53" s="69">
        <v>3.2307141234291601E-3</v>
      </c>
      <c r="E53" s="43">
        <f t="shared" si="5"/>
        <v>0.11236505259366068</v>
      </c>
      <c r="F53" s="71">
        <f t="shared" si="6"/>
        <v>11.236505259366067</v>
      </c>
      <c r="G53" s="84">
        <f t="shared" si="7"/>
        <v>114.94944880331488</v>
      </c>
      <c r="H53" s="43"/>
      <c r="I53" s="8"/>
      <c r="Y53" s="8"/>
      <c r="Z53" s="8"/>
      <c r="AA53" s="8"/>
      <c r="AB53" s="8"/>
      <c r="AC53" s="8"/>
      <c r="AD53" s="8"/>
    </row>
    <row r="54" spans="1:30" ht="15">
      <c r="A54" s="58"/>
      <c r="B54" s="69">
        <v>24</v>
      </c>
      <c r="C54" s="43" t="s">
        <v>252</v>
      </c>
      <c r="D54" s="69">
        <v>3.46259366253257E-3</v>
      </c>
      <c r="E54" s="43">
        <f t="shared" si="5"/>
        <v>0.11376212681675874</v>
      </c>
      <c r="F54" s="71">
        <f t="shared" si="6"/>
        <v>11.376212681675874</v>
      </c>
      <c r="G54" s="84">
        <f t="shared" si="7"/>
        <v>116.37865573354419</v>
      </c>
      <c r="H54" s="43"/>
      <c r="I54" s="8"/>
      <c r="Y54" s="8"/>
      <c r="Z54" s="8"/>
      <c r="AA54" s="8"/>
      <c r="AB54" s="8"/>
      <c r="AC54" s="8"/>
      <c r="AD54" s="8"/>
    </row>
    <row r="55" spans="1:30" ht="15">
      <c r="A55" s="58"/>
      <c r="B55" s="69">
        <v>25</v>
      </c>
      <c r="C55" s="43" t="s">
        <v>253</v>
      </c>
      <c r="D55" s="69">
        <v>3.71111599904876E-3</v>
      </c>
      <c r="E55" s="43">
        <f t="shared" si="5"/>
        <v>0.11525947389426877</v>
      </c>
      <c r="F55" s="71">
        <f t="shared" si="6"/>
        <v>11.525947389426877</v>
      </c>
      <c r="G55" s="84">
        <f t="shared" si="7"/>
        <v>117.91044179383695</v>
      </c>
      <c r="H55" s="43"/>
      <c r="I55" s="8"/>
      <c r="Y55" s="8"/>
      <c r="Z55" s="8"/>
      <c r="AA55" s="8"/>
      <c r="AB55" s="8"/>
      <c r="AC55" s="8"/>
      <c r="AD55" s="8"/>
    </row>
    <row r="56" spans="1:30" ht="15">
      <c r="A56" s="58"/>
      <c r="B56" s="69">
        <v>26</v>
      </c>
      <c r="C56" s="43" t="s">
        <v>254</v>
      </c>
      <c r="D56" s="69">
        <v>3.9774756441743296E-3</v>
      </c>
      <c r="E56" s="43">
        <f t="shared" si="5"/>
        <v>0.11686429075615033</v>
      </c>
      <c r="F56" s="71">
        <f t="shared" si="6"/>
        <v>11.686429075615033</v>
      </c>
      <c r="G56" s="84">
        <f t="shared" si="7"/>
        <v>119.55216944354179</v>
      </c>
      <c r="H56" s="43"/>
      <c r="I56" s="8"/>
      <c r="Y56" s="8"/>
      <c r="Z56" s="8"/>
      <c r="AA56" s="8"/>
      <c r="AB56" s="8"/>
      <c r="AC56" s="8"/>
      <c r="AD56" s="8"/>
    </row>
    <row r="57" spans="1:30" ht="15">
      <c r="A57" s="58"/>
      <c r="B57" s="69">
        <v>27</v>
      </c>
      <c r="C57" s="43" t="s">
        <v>255</v>
      </c>
      <c r="D57" s="69">
        <v>4.2629528433104904E-3</v>
      </c>
      <c r="E57" s="43">
        <f t="shared" si="5"/>
        <v>0.1185842908809457</v>
      </c>
      <c r="F57" s="71">
        <f t="shared" si="6"/>
        <v>11.858429088094571</v>
      </c>
      <c r="G57" s="84">
        <f t="shared" si="7"/>
        <v>121.31172957120745</v>
      </c>
      <c r="H57" s="43"/>
      <c r="I57" s="8"/>
      <c r="Y57" s="8"/>
      <c r="Z57" s="8"/>
      <c r="AA57" s="8"/>
      <c r="AB57" s="8"/>
      <c r="AC57" s="8"/>
      <c r="AD57" s="8"/>
    </row>
    <row r="58" spans="1:30" ht="15">
      <c r="A58" s="58"/>
      <c r="B58" s="69">
        <v>28</v>
      </c>
      <c r="C58" s="43" t="s">
        <v>256</v>
      </c>
      <c r="D58" s="69">
        <v>4.5689197295038196E-3</v>
      </c>
      <c r="E58" s="43">
        <f t="shared" si="5"/>
        <v>0.12042774137026051</v>
      </c>
      <c r="F58" s="71">
        <f t="shared" si="6"/>
        <v>12.042774137026051</v>
      </c>
      <c r="G58" s="84">
        <f t="shared" si="7"/>
        <v>123.1975794217765</v>
      </c>
      <c r="H58" s="43"/>
      <c r="I58" s="8"/>
      <c r="Y58" s="8"/>
      <c r="Z58" s="8"/>
      <c r="AA58" s="8"/>
      <c r="AB58" s="8"/>
      <c r="AC58" s="8"/>
      <c r="AD58" s="8"/>
    </row>
    <row r="59" spans="1:30" ht="15">
      <c r="A59" s="58"/>
      <c r="B59" s="69">
        <v>29</v>
      </c>
      <c r="C59" s="43" t="s">
        <v>257</v>
      </c>
      <c r="D59" s="69">
        <v>4.8968469185406904E-3</v>
      </c>
      <c r="E59" s="43">
        <f t="shared" si="5"/>
        <v>0.12240350268420766</v>
      </c>
      <c r="F59" s="71">
        <f t="shared" si="6"/>
        <v>12.240350268420766</v>
      </c>
      <c r="G59" s="84">
        <f t="shared" si="7"/>
        <v>125.21878324594444</v>
      </c>
      <c r="H59" s="43"/>
      <c r="I59" s="8"/>
      <c r="Y59" s="8"/>
      <c r="Z59" s="8"/>
      <c r="AA59" s="8"/>
      <c r="AB59" s="8"/>
      <c r="AC59" s="8"/>
      <c r="AD59" s="8"/>
    </row>
    <row r="60" spans="1:30" ht="15">
      <c r="A60" s="58"/>
      <c r="B60" s="69">
        <v>30</v>
      </c>
      <c r="C60" s="43" t="s">
        <v>258</v>
      </c>
      <c r="D60" s="69">
        <v>5.2483105773945401E-3</v>
      </c>
      <c r="E60" s="43">
        <f t="shared" si="5"/>
        <v>0.1245210712288021</v>
      </c>
      <c r="F60" s="71">
        <f t="shared" si="6"/>
        <v>12.452107122880211</v>
      </c>
      <c r="G60" s="84">
        <f t="shared" si="7"/>
        <v>127.38505586706455</v>
      </c>
      <c r="H60" s="43"/>
      <c r="I60" s="8"/>
      <c r="Y60" s="8"/>
      <c r="Z60" s="8"/>
      <c r="AA60" s="8"/>
      <c r="AB60" s="8"/>
      <c r="AC60" s="8"/>
      <c r="AD60" s="8"/>
    </row>
    <row r="61" spans="1:30" ht="15">
      <c r="A61" s="58"/>
      <c r="B61" s="69">
        <v>31</v>
      </c>
      <c r="C61" s="43" t="s">
        <v>259</v>
      </c>
      <c r="D61" s="69">
        <v>5.6249999999999998E-3</v>
      </c>
      <c r="E61" s="43">
        <f t="shared" si="5"/>
        <v>0.12679062499999999</v>
      </c>
      <c r="F61" s="71">
        <f t="shared" si="6"/>
        <v>12.679062499999999</v>
      </c>
      <c r="G61" s="84">
        <f t="shared" si="7"/>
        <v>129.70680937499998</v>
      </c>
      <c r="H61" s="43"/>
      <c r="I61" s="8"/>
      <c r="Y61" s="8"/>
      <c r="Z61" s="8"/>
      <c r="AA61" s="8"/>
      <c r="AB61" s="8"/>
      <c r="AC61" s="8"/>
      <c r="AD61" s="8"/>
    </row>
    <row r="62" spans="1:30" ht="15">
      <c r="A62" s="58"/>
      <c r="B62" s="69">
        <v>32</v>
      </c>
      <c r="C62" s="43" t="s">
        <v>260</v>
      </c>
      <c r="D62" s="69">
        <v>6.0287257267666403E-3</v>
      </c>
      <c r="E62" s="43">
        <f t="shared" si="5"/>
        <v>0.12922307250376902</v>
      </c>
      <c r="F62" s="71">
        <f t="shared" si="6"/>
        <v>12.922307250376901</v>
      </c>
      <c r="G62" s="84">
        <f t="shared" si="7"/>
        <v>132.1952031713557</v>
      </c>
      <c r="H62" s="43"/>
      <c r="I62" s="8"/>
      <c r="Y62" s="8"/>
      <c r="Z62" s="8"/>
      <c r="AA62" s="8"/>
      <c r="AB62" s="8"/>
      <c r="AC62" s="8"/>
      <c r="AD62" s="8"/>
    </row>
    <row r="63" spans="1:30" ht="15">
      <c r="A63" s="58"/>
      <c r="B63" s="69">
        <v>33</v>
      </c>
      <c r="C63" s="43" t="s">
        <v>261</v>
      </c>
      <c r="D63" s="69">
        <v>6.4614282468583202E-3</v>
      </c>
      <c r="E63" s="43">
        <f t="shared" si="5"/>
        <v>0.13183010518732138</v>
      </c>
      <c r="F63" s="71">
        <f t="shared" si="6"/>
        <v>13.183010518732138</v>
      </c>
      <c r="G63" s="84">
        <f t="shared" si="7"/>
        <v>134.86219760662976</v>
      </c>
      <c r="H63" s="43"/>
      <c r="I63" s="8"/>
      <c r="Y63" s="8"/>
      <c r="Z63" s="8"/>
      <c r="AA63" s="8"/>
      <c r="AB63" s="8"/>
      <c r="AC63" s="8"/>
      <c r="AD63" s="8"/>
    </row>
    <row r="64" spans="1:30" ht="15">
      <c r="A64" s="58"/>
      <c r="B64" s="69">
        <v>34</v>
      </c>
      <c r="C64" s="43" t="s">
        <v>262</v>
      </c>
      <c r="D64" s="69">
        <v>6.9251873250651503E-3</v>
      </c>
      <c r="E64" s="43">
        <f t="shared" si="5"/>
        <v>0.13462425363351754</v>
      </c>
      <c r="F64" s="71">
        <f t="shared" si="6"/>
        <v>13.462425363351754</v>
      </c>
      <c r="G64" s="84">
        <f t="shared" si="7"/>
        <v>137.72061146708845</v>
      </c>
      <c r="H64" s="43"/>
      <c r="I64" s="8"/>
      <c r="Y64" s="8"/>
      <c r="Z64" s="8"/>
      <c r="AA64" s="8"/>
      <c r="AB64" s="8"/>
      <c r="AC64" s="8"/>
      <c r="AD64" s="8"/>
    </row>
    <row r="65" spans="1:30" ht="15">
      <c r="A65" s="58"/>
      <c r="B65" s="69">
        <v>35</v>
      </c>
      <c r="C65" s="43" t="s">
        <v>263</v>
      </c>
      <c r="D65" s="69">
        <v>7.4222319980975296E-3</v>
      </c>
      <c r="E65" s="43">
        <f t="shared" si="5"/>
        <v>0.13761894778853762</v>
      </c>
      <c r="F65" s="71">
        <f t="shared" si="6"/>
        <v>13.761894778853762</v>
      </c>
      <c r="G65" s="84">
        <f t="shared" si="7"/>
        <v>140.78418358767399</v>
      </c>
      <c r="H65" s="43"/>
      <c r="I65" s="8"/>
      <c r="Y65" s="8"/>
      <c r="Z65" s="8"/>
      <c r="AA65" s="8"/>
      <c r="AB65" s="8"/>
      <c r="AC65" s="8"/>
      <c r="AD65" s="8"/>
    </row>
    <row r="66" spans="1:30" ht="15">
      <c r="A66" s="58"/>
      <c r="B66" s="69">
        <v>36</v>
      </c>
      <c r="C66" s="43" t="s">
        <v>264</v>
      </c>
      <c r="D66" s="69">
        <v>7.9549512883486592E-3</v>
      </c>
      <c r="E66" s="43">
        <f t="shared" ref="E66:E191" si="8">(LOG10(D66*0.9892+0.0108))*0.256663+0.584555</f>
        <v>0.14081596929926626</v>
      </c>
      <c r="F66" s="71">
        <f t="shared" si="6"/>
        <v>14.081596929926626</v>
      </c>
      <c r="G66" s="84">
        <f t="shared" si="7"/>
        <v>144.05473659314939</v>
      </c>
      <c r="H66" s="43"/>
      <c r="I66" s="8"/>
      <c r="Y66" s="8"/>
      <c r="Z66" s="8"/>
      <c r="AA66" s="8"/>
      <c r="AB66" s="8"/>
      <c r="AC66" s="8"/>
      <c r="AD66" s="8"/>
    </row>
    <row r="67" spans="1:30" ht="15">
      <c r="A67" s="58"/>
      <c r="B67" s="69">
        <v>37</v>
      </c>
      <c r="C67" s="43" t="s">
        <v>265</v>
      </c>
      <c r="D67" s="69">
        <v>8.5259056866209808E-3</v>
      </c>
      <c r="E67" s="43">
        <f t="shared" si="8"/>
        <v>0.14413814980946965</v>
      </c>
      <c r="F67" s="71">
        <f t="shared" si="6"/>
        <v>14.413814980946965</v>
      </c>
      <c r="G67" s="84">
        <f t="shared" si="7"/>
        <v>147.45332725508746</v>
      </c>
      <c r="H67" s="43"/>
      <c r="I67" s="8"/>
      <c r="Y67" s="8"/>
      <c r="Z67" s="8"/>
      <c r="AA67" s="8"/>
      <c r="AB67" s="8"/>
      <c r="AC67" s="8"/>
      <c r="AD67" s="8"/>
    </row>
    <row r="68" spans="1:30" ht="15">
      <c r="A68" s="58"/>
      <c r="B68" s="69">
        <v>38</v>
      </c>
      <c r="C68" s="43" t="s">
        <v>266</v>
      </c>
      <c r="D68" s="69">
        <v>9.1378394590076496E-3</v>
      </c>
      <c r="E68" s="43">
        <f t="shared" si="8"/>
        <v>0.14759216587375995</v>
      </c>
      <c r="F68" s="71">
        <f t="shared" si="6"/>
        <v>14.759216587375995</v>
      </c>
      <c r="G68" s="84">
        <f t="shared" si="7"/>
        <v>150.98678568885643</v>
      </c>
      <c r="H68" s="43"/>
      <c r="I68" s="8"/>
      <c r="Y68" s="8"/>
      <c r="Z68" s="8"/>
      <c r="AA68" s="8"/>
      <c r="AB68" s="8"/>
      <c r="AC68" s="8"/>
      <c r="AD68" s="8"/>
    </row>
    <row r="69" spans="1:30" ht="15">
      <c r="A69" s="58"/>
      <c r="B69" s="69">
        <v>39</v>
      </c>
      <c r="C69" s="43" t="s">
        <v>267</v>
      </c>
      <c r="D69" s="69">
        <v>9.7936938370813895E-3</v>
      </c>
      <c r="E69" s="43">
        <f t="shared" si="8"/>
        <v>0.15117898829433168</v>
      </c>
      <c r="F69" s="71">
        <f t="shared" si="6"/>
        <v>15.117898829433168</v>
      </c>
      <c r="G69" s="84">
        <f t="shared" si="7"/>
        <v>154.65610502510131</v>
      </c>
      <c r="H69" s="43"/>
      <c r="I69" s="8"/>
      <c r="Y69" s="8"/>
      <c r="Z69" s="8"/>
      <c r="AA69" s="8"/>
      <c r="AB69" s="8"/>
      <c r="AC69" s="8"/>
      <c r="AD69" s="8"/>
    </row>
    <row r="70" spans="1:30" ht="15">
      <c r="A70" s="58"/>
      <c r="B70" s="69">
        <v>40</v>
      </c>
      <c r="C70" s="43" t="s">
        <v>268</v>
      </c>
      <c r="D70" s="69">
        <v>1.0496621154789E-2</v>
      </c>
      <c r="E70" s="43">
        <f t="shared" si="8"/>
        <v>0.1548992767966047</v>
      </c>
      <c r="F70" s="71">
        <f t="shared" si="6"/>
        <v>15.48992767966047</v>
      </c>
      <c r="G70" s="84">
        <f t="shared" si="7"/>
        <v>158.4619601629266</v>
      </c>
      <c r="H70" s="43"/>
      <c r="I70" s="8"/>
      <c r="Y70" s="8"/>
      <c r="Z70" s="8"/>
      <c r="AA70" s="8"/>
      <c r="AB70" s="8"/>
      <c r="AC70" s="8"/>
      <c r="AD70" s="8"/>
    </row>
    <row r="71" spans="1:30" ht="15">
      <c r="A71" s="58"/>
      <c r="B71" s="69">
        <v>41</v>
      </c>
      <c r="C71" s="43" t="s">
        <v>269</v>
      </c>
      <c r="D71" s="69">
        <v>1.125E-2</v>
      </c>
      <c r="E71" s="43">
        <f t="shared" si="8"/>
        <v>0.15875337375747839</v>
      </c>
      <c r="F71" s="71">
        <f t="shared" si="6"/>
        <v>15.875337375747838</v>
      </c>
      <c r="G71" s="84">
        <f t="shared" si="7"/>
        <v>162.40470135390038</v>
      </c>
      <c r="H71" s="43"/>
      <c r="I71" s="8"/>
      <c r="Y71" s="8"/>
      <c r="Z71" s="8"/>
      <c r="AA71" s="8"/>
      <c r="AB71" s="8"/>
      <c r="AC71" s="8"/>
      <c r="AD71" s="8"/>
    </row>
    <row r="72" spans="1:30" ht="15">
      <c r="A72" s="58"/>
      <c r="B72" s="69">
        <v>42</v>
      </c>
      <c r="C72" s="43" t="s">
        <v>270</v>
      </c>
      <c r="D72" s="69">
        <v>1.2057451453533201E-2</v>
      </c>
      <c r="E72" s="43">
        <f t="shared" si="8"/>
        <v>0.1627413009321203</v>
      </c>
      <c r="F72" s="71">
        <f t="shared" si="6"/>
        <v>16.27413009321203</v>
      </c>
      <c r="G72" s="84">
        <f t="shared" si="7"/>
        <v>166.48435085355908</v>
      </c>
      <c r="H72" s="43"/>
      <c r="I72" s="8"/>
      <c r="Y72" s="8"/>
      <c r="Z72" s="8"/>
      <c r="AA72" s="8"/>
      <c r="AB72" s="8"/>
      <c r="AC72" s="8"/>
      <c r="AD72" s="8"/>
    </row>
    <row r="73" spans="1:30" ht="15">
      <c r="A73" s="58"/>
      <c r="B73" s="69">
        <v>43</v>
      </c>
      <c r="C73" s="43" t="s">
        <v>271</v>
      </c>
      <c r="D73" s="69">
        <v>1.2922856493716601E-2</v>
      </c>
      <c r="E73" s="43">
        <f t="shared" si="8"/>
        <v>0.16686275924556404</v>
      </c>
      <c r="F73" s="71">
        <f t="shared" si="6"/>
        <v>16.686275924556405</v>
      </c>
      <c r="G73" s="84">
        <f t="shared" si="7"/>
        <v>170.70060270821202</v>
      </c>
      <c r="H73" s="43"/>
      <c r="I73" s="8"/>
      <c r="Y73" s="8"/>
      <c r="Z73" s="8"/>
      <c r="AA73" s="8"/>
      <c r="AB73" s="8"/>
      <c r="AC73" s="8"/>
      <c r="AD73" s="8"/>
    </row>
    <row r="74" spans="1:30" ht="15">
      <c r="A74" s="58"/>
      <c r="B74" s="69">
        <v>44</v>
      </c>
      <c r="C74" s="43" t="s">
        <v>272</v>
      </c>
      <c r="D74" s="69">
        <v>1.3850374650130301E-2</v>
      </c>
      <c r="E74" s="43">
        <f t="shared" si="8"/>
        <v>0.1711171316533226</v>
      </c>
      <c r="F74" s="71">
        <f t="shared" si="6"/>
        <v>17.111713165332258</v>
      </c>
      <c r="G74" s="84">
        <f t="shared" si="7"/>
        <v>175.05282568134902</v>
      </c>
      <c r="H74" s="43"/>
      <c r="I74" s="8"/>
      <c r="Y74" s="8"/>
      <c r="Z74" s="8"/>
      <c r="AA74" s="8"/>
      <c r="AB74" s="8"/>
      <c r="AC74" s="8"/>
      <c r="AD74" s="8"/>
    </row>
    <row r="75" spans="1:30" ht="15">
      <c r="A75" s="58"/>
      <c r="B75" s="69">
        <v>45</v>
      </c>
      <c r="C75" s="43" t="s">
        <v>273</v>
      </c>
      <c r="D75" s="69">
        <v>1.4844463996195E-2</v>
      </c>
      <c r="E75" s="43">
        <f t="shared" si="8"/>
        <v>0.17550348901309576</v>
      </c>
      <c r="F75" s="71">
        <f t="shared" si="6"/>
        <v>17.550348901309576</v>
      </c>
      <c r="G75" s="84">
        <f t="shared" si="7"/>
        <v>179.54006926039696</v>
      </c>
      <c r="H75" s="43"/>
      <c r="I75" s="8"/>
      <c r="Y75" s="8"/>
      <c r="Z75" s="8"/>
      <c r="AA75" s="8"/>
      <c r="AB75" s="8"/>
      <c r="AC75" s="8"/>
      <c r="AD75" s="8"/>
    </row>
    <row r="76" spans="1:30" ht="15">
      <c r="A76" s="58"/>
      <c r="B76" s="69">
        <v>46</v>
      </c>
      <c r="C76" s="43" t="s">
        <v>274</v>
      </c>
      <c r="D76" s="69">
        <v>1.5909902576697301E-2</v>
      </c>
      <c r="E76" s="43">
        <f t="shared" si="8"/>
        <v>0.18002059884944871</v>
      </c>
      <c r="F76" s="71">
        <f t="shared" si="6"/>
        <v>18.00205988494487</v>
      </c>
      <c r="G76" s="84">
        <f t="shared" si="7"/>
        <v>184.16107262298604</v>
      </c>
      <c r="H76" s="43"/>
      <c r="I76" s="8"/>
      <c r="Y76" s="8"/>
      <c r="Z76" s="8"/>
      <c r="AA76" s="8"/>
      <c r="AB76" s="8"/>
      <c r="AC76" s="8"/>
      <c r="AD76" s="8"/>
    </row>
    <row r="77" spans="1:30" ht="15">
      <c r="A77" s="58"/>
      <c r="B77" s="69">
        <v>47</v>
      </c>
      <c r="C77" s="43" t="s">
        <v>275</v>
      </c>
      <c r="D77" s="69">
        <v>1.7051811373241899E-2</v>
      </c>
      <c r="E77" s="43">
        <f t="shared" si="8"/>
        <v>0.18466693683723329</v>
      </c>
      <c r="F77" s="71">
        <f t="shared" si="6"/>
        <v>18.466693683723328</v>
      </c>
      <c r="G77" s="84">
        <f t="shared" si="7"/>
        <v>188.91427638448965</v>
      </c>
      <c r="H77" s="43"/>
      <c r="I77" s="8"/>
      <c r="Y77" s="8"/>
      <c r="Z77" s="8"/>
      <c r="AA77" s="8"/>
      <c r="AB77" s="8"/>
      <c r="AC77" s="8"/>
      <c r="AD77" s="8"/>
    </row>
    <row r="78" spans="1:30" ht="15">
      <c r="A78" s="58"/>
      <c r="B78" s="69">
        <v>48</v>
      </c>
      <c r="C78" s="43" t="s">
        <v>276</v>
      </c>
      <c r="D78" s="69">
        <v>1.8275678918015299E-2</v>
      </c>
      <c r="E78" s="43">
        <f t="shared" si="8"/>
        <v>0.18944070077930703</v>
      </c>
      <c r="F78" s="71">
        <f t="shared" si="6"/>
        <v>18.944070077930704</v>
      </c>
      <c r="G78" s="84">
        <f t="shared" si="7"/>
        <v>193.79783689723109</v>
      </c>
      <c r="H78" s="43"/>
      <c r="I78" s="8"/>
      <c r="Y78" s="8"/>
      <c r="Z78" s="8"/>
      <c r="AA78" s="8"/>
      <c r="AB78" s="8"/>
      <c r="AC78" s="8"/>
      <c r="AD78" s="8"/>
    </row>
    <row r="79" spans="1:30" ht="15">
      <c r="A79" s="58"/>
      <c r="B79" s="69">
        <v>49</v>
      </c>
      <c r="C79" s="43" t="s">
        <v>277</v>
      </c>
      <c r="D79" s="69">
        <v>1.9587387674162699E-2</v>
      </c>
      <c r="E79" s="43">
        <f t="shared" si="8"/>
        <v>0.19433982681127598</v>
      </c>
      <c r="F79" s="71">
        <f t="shared" si="6"/>
        <v>19.433982681127599</v>
      </c>
      <c r="G79" s="84">
        <f t="shared" si="7"/>
        <v>198.80964282793533</v>
      </c>
      <c r="H79" s="43"/>
      <c r="I79" s="8"/>
      <c r="Y79" s="8"/>
      <c r="Z79" s="8"/>
      <c r="AA79" s="8"/>
      <c r="AB79" s="8"/>
      <c r="AC79" s="8"/>
      <c r="AD79" s="8"/>
    </row>
    <row r="80" spans="1:30" ht="15">
      <c r="A80" s="58"/>
      <c r="B80" s="69">
        <v>50</v>
      </c>
      <c r="C80" s="43" t="s">
        <v>278</v>
      </c>
      <c r="D80" s="69">
        <v>2.0993242309578102E-2</v>
      </c>
      <c r="E80" s="43">
        <f t="shared" si="8"/>
        <v>0.19936200753180283</v>
      </c>
      <c r="F80" s="71">
        <f t="shared" si="6"/>
        <v>19.936200753180284</v>
      </c>
      <c r="G80" s="84">
        <f t="shared" si="7"/>
        <v>203.94733370503431</v>
      </c>
      <c r="H80" s="43"/>
      <c r="I80" s="8"/>
      <c r="Y80" s="8"/>
      <c r="Z80" s="8"/>
      <c r="AA80" s="8"/>
      <c r="AB80" s="8"/>
      <c r="AC80" s="8"/>
      <c r="AD80" s="8"/>
    </row>
    <row r="81" spans="1:30" ht="15">
      <c r="A81" s="58"/>
      <c r="B81" s="69">
        <v>51</v>
      </c>
      <c r="C81" s="43" t="s">
        <v>279</v>
      </c>
      <c r="D81" s="69">
        <v>2.2499999999999999E-2</v>
      </c>
      <c r="E81" s="43">
        <f t="shared" si="8"/>
        <v>0.20450471173211365</v>
      </c>
      <c r="F81" s="71">
        <f t="shared" si="6"/>
        <v>20.450471173211366</v>
      </c>
      <c r="G81" s="84">
        <f t="shared" si="7"/>
        <v>209.20832010195227</v>
      </c>
      <c r="H81" s="43"/>
      <c r="I81" s="8"/>
      <c r="Y81" s="8"/>
      <c r="Z81" s="8"/>
      <c r="AA81" s="8"/>
      <c r="AB81" s="8"/>
      <c r="AC81" s="8"/>
      <c r="AD81" s="8"/>
    </row>
    <row r="82" spans="1:30" ht="15">
      <c r="A82" s="58"/>
      <c r="B82" s="69">
        <v>52</v>
      </c>
      <c r="C82" s="43" t="s">
        <v>280</v>
      </c>
      <c r="D82" s="69">
        <v>2.4114902907066499E-2</v>
      </c>
      <c r="E82" s="43">
        <f t="shared" si="8"/>
        <v>0.20976520538316307</v>
      </c>
      <c r="F82" s="71">
        <f t="shared" si="6"/>
        <v>20.976520538316308</v>
      </c>
      <c r="G82" s="84">
        <f t="shared" si="7"/>
        <v>214.58980510697583</v>
      </c>
      <c r="H82" s="43"/>
      <c r="I82" s="8"/>
      <c r="Y82" s="8"/>
      <c r="Z82" s="8"/>
      <c r="AA82" s="8"/>
      <c r="AB82" s="8"/>
      <c r="AC82" s="8"/>
      <c r="AD82" s="8"/>
    </row>
    <row r="83" spans="1:30" ht="15">
      <c r="A83" s="58"/>
      <c r="B83" s="69">
        <v>53</v>
      </c>
      <c r="C83" s="43" t="s">
        <v>281</v>
      </c>
      <c r="D83" s="69">
        <v>2.5845712987433201E-2</v>
      </c>
      <c r="E83" s="43">
        <f t="shared" si="8"/>
        <v>0.21514057353327198</v>
      </c>
      <c r="F83" s="71">
        <f t="shared" si="6"/>
        <v>21.5140573533272</v>
      </c>
      <c r="G83" s="84">
        <f t="shared" si="7"/>
        <v>220.08880672453725</v>
      </c>
      <c r="H83" s="43"/>
      <c r="I83" s="8"/>
      <c r="Y83" s="8"/>
      <c r="Z83" s="8"/>
      <c r="AA83" s="8"/>
      <c r="AB83" s="8"/>
      <c r="AC83" s="8"/>
      <c r="AD83" s="8"/>
    </row>
    <row r="84" spans="1:30" ht="15">
      <c r="A84" s="58"/>
      <c r="B84" s="69">
        <v>54</v>
      </c>
      <c r="C84" s="43" t="s">
        <v>282</v>
      </c>
      <c r="D84" s="69">
        <v>2.7700749300260601E-2</v>
      </c>
      <c r="E84" s="43">
        <f t="shared" si="8"/>
        <v>0.22062774277253133</v>
      </c>
      <c r="F84" s="71">
        <f t="shared" si="6"/>
        <v>22.062774277253133</v>
      </c>
      <c r="G84" s="84">
        <f t="shared" si="7"/>
        <v>225.70218085629955</v>
      </c>
      <c r="H84" s="43"/>
      <c r="I84" s="8"/>
      <c r="Y84" s="8"/>
      <c r="Z84" s="8"/>
      <c r="AA84" s="8"/>
      <c r="AB84" s="8"/>
      <c r="AC84" s="8"/>
      <c r="AD84" s="8"/>
    </row>
    <row r="85" spans="1:30" ht="15">
      <c r="A85" s="58"/>
      <c r="B85" s="69">
        <v>55</v>
      </c>
      <c r="C85" s="43" t="s">
        <v>283</v>
      </c>
      <c r="D85" s="69">
        <v>2.9688927992390101E-2</v>
      </c>
      <c r="E85" s="43">
        <f t="shared" si="8"/>
        <v>0.22622350393206264</v>
      </c>
      <c r="F85" s="71">
        <f t="shared" si="6"/>
        <v>22.622350393206265</v>
      </c>
      <c r="G85" s="84">
        <f t="shared" si="7"/>
        <v>231.42664452250008</v>
      </c>
      <c r="H85" s="43"/>
      <c r="I85" s="8"/>
      <c r="J85" s="8"/>
      <c r="Y85" s="8"/>
      <c r="Z85" s="8"/>
      <c r="AA85" s="8"/>
      <c r="AB85" s="8"/>
      <c r="AC85" s="8"/>
      <c r="AD85" s="8"/>
    </row>
    <row r="86" spans="1:30" ht="15">
      <c r="A86" s="58"/>
      <c r="B86" s="69">
        <v>56</v>
      </c>
      <c r="C86" s="43" t="s">
        <v>284</v>
      </c>
      <c r="D86" s="69">
        <v>3.1819805153394602E-2</v>
      </c>
      <c r="E86" s="43">
        <f t="shared" si="8"/>
        <v>0.23192453470525648</v>
      </c>
      <c r="F86" s="71">
        <f t="shared" si="6"/>
        <v>23.192453470525649</v>
      </c>
      <c r="G86" s="84">
        <f t="shared" si="7"/>
        <v>237.25879900347738</v>
      </c>
      <c r="H86" s="43"/>
      <c r="I86" s="8"/>
      <c r="J86" s="8"/>
      <c r="Y86" s="8"/>
      <c r="Z86" s="8"/>
      <c r="AA86" s="8"/>
      <c r="AB86" s="8"/>
      <c r="AC86" s="8"/>
      <c r="AD86" s="8"/>
    </row>
    <row r="87" spans="1:30" ht="15">
      <c r="A87" s="58"/>
      <c r="B87" s="69">
        <v>57</v>
      </c>
      <c r="C87" s="43" t="s">
        <v>285</v>
      </c>
      <c r="D87" s="69">
        <v>3.4103622746483903E-2</v>
      </c>
      <c r="E87" s="43">
        <f t="shared" si="8"/>
        <v>0.23772742190315554</v>
      </c>
      <c r="F87" s="71">
        <f t="shared" si="6"/>
        <v>23.772742190315554</v>
      </c>
      <c r="G87" s="84">
        <f t="shared" si="7"/>
        <v>243.19515260692813</v>
      </c>
      <c r="H87" s="43"/>
      <c r="I87" s="8"/>
      <c r="J87" s="8"/>
      <c r="Y87" s="8"/>
      <c r="Z87" s="8"/>
      <c r="AA87" s="8"/>
      <c r="AB87" s="8"/>
      <c r="AC87" s="8"/>
      <c r="AD87" s="8"/>
    </row>
    <row r="88" spans="1:30" ht="15">
      <c r="A88" s="58"/>
      <c r="B88" s="69">
        <v>58</v>
      </c>
      <c r="C88" s="43" t="s">
        <v>286</v>
      </c>
      <c r="D88" s="69">
        <v>3.6551357836030599E-2</v>
      </c>
      <c r="E88" s="43">
        <f t="shared" si="8"/>
        <v>0.24362868308587371</v>
      </c>
      <c r="F88" s="71">
        <f t="shared" si="6"/>
        <v>24.36286830858737</v>
      </c>
      <c r="G88" s="84">
        <f t="shared" si="7"/>
        <v>249.23214279684879</v>
      </c>
      <c r="H88" s="43"/>
      <c r="I88" s="8"/>
      <c r="J88" s="8"/>
      <c r="Y88" s="8"/>
      <c r="Z88" s="8"/>
      <c r="AA88" s="8"/>
      <c r="AB88" s="8"/>
      <c r="AC88" s="8"/>
      <c r="AD88" s="8"/>
    </row>
    <row r="89" spans="1:30" ht="15">
      <c r="A89" s="58"/>
      <c r="B89" s="69">
        <v>59</v>
      </c>
      <c r="C89" s="43" t="s">
        <v>287</v>
      </c>
      <c r="D89" s="69">
        <v>3.9174775348325502E-2</v>
      </c>
      <c r="E89" s="43">
        <f t="shared" si="8"/>
        <v>0.24962478734494076</v>
      </c>
      <c r="F89" s="71">
        <f t="shared" si="6"/>
        <v>24.962478734494077</v>
      </c>
      <c r="G89" s="84">
        <f t="shared" si="7"/>
        <v>255.36615745387439</v>
      </c>
      <c r="H89" s="43"/>
      <c r="I89" s="8"/>
      <c r="J89" s="8"/>
      <c r="Y89" s="8"/>
      <c r="Z89" s="8"/>
      <c r="AA89" s="8"/>
      <c r="AB89" s="8"/>
      <c r="AC89" s="8"/>
      <c r="AD89" s="8"/>
    </row>
    <row r="90" spans="1:30" ht="15">
      <c r="A90" s="58"/>
      <c r="B90" s="69">
        <v>60</v>
      </c>
      <c r="C90" s="43" t="s">
        <v>288</v>
      </c>
      <c r="D90" s="69">
        <v>4.19864846191563E-2</v>
      </c>
      <c r="E90" s="43">
        <f t="shared" si="8"/>
        <v>0.25571217504643429</v>
      </c>
      <c r="F90" s="71">
        <f t="shared" si="6"/>
        <v>25.571217504643428</v>
      </c>
      <c r="G90" s="84">
        <f t="shared" si="7"/>
        <v>261.59355507250228</v>
      </c>
      <c r="H90" s="43"/>
      <c r="I90" s="8"/>
      <c r="J90" s="8"/>
      <c r="Y90" s="8"/>
      <c r="Z90" s="8"/>
      <c r="AA90" s="8"/>
      <c r="AB90" s="8"/>
      <c r="AC90" s="8"/>
      <c r="AD90" s="8"/>
    </row>
    <row r="91" spans="1:30" ht="15">
      <c r="A91" s="58"/>
      <c r="B91" s="69">
        <v>61</v>
      </c>
      <c r="C91" s="43" t="s">
        <v>289</v>
      </c>
      <c r="D91" s="69">
        <v>4.4999999999999998E-2</v>
      </c>
      <c r="E91" s="43">
        <f t="shared" si="8"/>
        <v>0.2618872763804127</v>
      </c>
      <c r="F91" s="71">
        <f t="shared" si="6"/>
        <v>26.188727638041271</v>
      </c>
      <c r="G91" s="84">
        <f t="shared" si="7"/>
        <v>267.91068373716217</v>
      </c>
      <c r="H91" s="43"/>
      <c r="I91" s="8"/>
      <c r="J91" s="8"/>
      <c r="Y91" s="8"/>
      <c r="Z91" s="8"/>
      <c r="AA91" s="8"/>
      <c r="AB91" s="8"/>
      <c r="AC91" s="8"/>
      <c r="AD91" s="8"/>
    </row>
    <row r="92" spans="1:30" ht="15">
      <c r="A92" s="58"/>
      <c r="B92" s="69">
        <v>62</v>
      </c>
      <c r="C92" s="43" t="s">
        <v>290</v>
      </c>
      <c r="D92" s="69">
        <v>4.8229805814133102E-2</v>
      </c>
      <c r="E92" s="43">
        <f t="shared" si="8"/>
        <v>0.26814652859743893</v>
      </c>
      <c r="F92" s="71">
        <f t="shared" si="6"/>
        <v>26.814652859743894</v>
      </c>
      <c r="G92" s="84">
        <f t="shared" si="7"/>
        <v>274.31389875518005</v>
      </c>
      <c r="H92" s="43"/>
      <c r="I92" s="8"/>
      <c r="J92" s="8"/>
      <c r="Y92" s="8"/>
      <c r="Z92" s="8"/>
      <c r="AA92" s="8"/>
      <c r="AB92" s="8"/>
      <c r="AC92" s="8"/>
      <c r="AD92" s="8"/>
    </row>
    <row r="93" spans="1:30" ht="15">
      <c r="A93" s="58"/>
      <c r="B93" s="69">
        <v>63</v>
      </c>
      <c r="C93" s="43" t="s">
        <v>291</v>
      </c>
      <c r="D93" s="69">
        <v>5.1691425974866499E-2</v>
      </c>
      <c r="E93" s="43">
        <f t="shared" si="8"/>
        <v>0.27448639184687285</v>
      </c>
      <c r="F93" s="71">
        <f t="shared" si="6"/>
        <v>27.448639184687284</v>
      </c>
      <c r="G93" s="84">
        <f t="shared" si="7"/>
        <v>280.7995788593509</v>
      </c>
      <c r="H93" s="43"/>
      <c r="I93" s="8"/>
      <c r="J93" s="8"/>
      <c r="Y93" s="8"/>
      <c r="Z93" s="8"/>
      <c r="AA93" s="8"/>
      <c r="AB93" s="8"/>
      <c r="AC93" s="8"/>
      <c r="AD93" s="8"/>
    </row>
    <row r="94" spans="1:30" ht="15">
      <c r="A94" s="58"/>
      <c r="B94" s="69">
        <v>64</v>
      </c>
      <c r="C94" s="43" t="s">
        <v>292</v>
      </c>
      <c r="D94" s="69">
        <v>5.5401498600521203E-2</v>
      </c>
      <c r="E94" s="43">
        <f t="shared" si="8"/>
        <v>0.28090336356338469</v>
      </c>
      <c r="F94" s="71">
        <f t="shared" si="6"/>
        <v>28.090336356338469</v>
      </c>
      <c r="G94" s="84">
        <f t="shared" si="7"/>
        <v>287.36414092534255</v>
      </c>
      <c r="H94" s="43"/>
      <c r="I94" s="8"/>
      <c r="J94" s="8"/>
      <c r="Y94" s="8"/>
      <c r="Z94" s="8"/>
      <c r="AA94" s="8"/>
      <c r="AB94" s="8"/>
      <c r="AC94" s="8"/>
      <c r="AD94" s="8"/>
    </row>
    <row r="95" spans="1:30" ht="15">
      <c r="A95" s="58"/>
      <c r="B95" s="69">
        <v>65</v>
      </c>
      <c r="C95" s="43" t="s">
        <v>293</v>
      </c>
      <c r="D95" s="69">
        <v>5.9377855984780202E-2</v>
      </c>
      <c r="E95" s="43">
        <f t="shared" si="8"/>
        <v>0.28739399137720145</v>
      </c>
      <c r="F95" s="71">
        <f t="shared" si="6"/>
        <v>28.739399137720145</v>
      </c>
      <c r="G95" s="84">
        <f t="shared" si="7"/>
        <v>294.00405317887709</v>
      </c>
      <c r="H95" s="43"/>
      <c r="I95" s="8"/>
      <c r="J95" s="8"/>
      <c r="Y95" s="8"/>
      <c r="Z95" s="8"/>
      <c r="AA95" s="8"/>
      <c r="AB95" s="8"/>
      <c r="AC95" s="8"/>
      <c r="AD95" s="8"/>
    </row>
    <row r="96" spans="1:30" ht="15">
      <c r="A96" s="58"/>
      <c r="B96" s="69">
        <v>66</v>
      </c>
      <c r="C96" s="43" t="s">
        <v>294</v>
      </c>
      <c r="D96" s="69">
        <v>6.3639610306789204E-2</v>
      </c>
      <c r="E96" s="43">
        <f t="shared" si="8"/>
        <v>0.29395488454952118</v>
      </c>
      <c r="F96" s="71">
        <f t="shared" si="6"/>
        <v>29.395488454952119</v>
      </c>
      <c r="G96" s="84">
        <f t="shared" si="7"/>
        <v>300.71584689416017</v>
      </c>
      <c r="H96" s="43"/>
      <c r="I96" s="8"/>
      <c r="J96" s="8"/>
      <c r="Y96" s="8"/>
      <c r="Z96" s="8"/>
      <c r="AA96" s="8"/>
      <c r="AB96" s="8"/>
      <c r="AC96" s="8"/>
      <c r="AD96" s="8"/>
    </row>
    <row r="97" spans="1:30" ht="15">
      <c r="A97" s="58"/>
      <c r="B97" s="69">
        <v>67</v>
      </c>
      <c r="C97" s="43" t="s">
        <v>295</v>
      </c>
      <c r="D97" s="69">
        <v>6.8207245492967902E-2</v>
      </c>
      <c r="E97" s="43">
        <f t="shared" si="8"/>
        <v>0.30058272395709462</v>
      </c>
      <c r="F97" s="71">
        <f t="shared" si="6"/>
        <v>30.058272395709462</v>
      </c>
      <c r="G97" s="84">
        <f t="shared" si="7"/>
        <v>307.49612660810777</v>
      </c>
      <c r="H97" s="43"/>
      <c r="I97" s="8"/>
      <c r="J97" s="8"/>
      <c r="Y97" s="8"/>
      <c r="Z97" s="8"/>
      <c r="AA97" s="8"/>
      <c r="AB97" s="8"/>
      <c r="AC97" s="8"/>
      <c r="AD97" s="8"/>
    </row>
    <row r="98" spans="1:30" ht="15">
      <c r="A98" s="58"/>
      <c r="B98" s="69">
        <v>68</v>
      </c>
      <c r="C98" s="43" t="s">
        <v>296</v>
      </c>
      <c r="D98" s="69">
        <v>7.31027156720611E-2</v>
      </c>
      <c r="E98" s="43">
        <f t="shared" si="8"/>
        <v>0.30727427066907237</v>
      </c>
      <c r="F98" s="71">
        <f t="shared" si="6"/>
        <v>30.727427066907236</v>
      </c>
      <c r="G98" s="84">
        <f t="shared" si="7"/>
        <v>314.34157889446101</v>
      </c>
      <c r="H98" s="43"/>
      <c r="I98" s="8"/>
      <c r="J98" s="8"/>
      <c r="Y98" s="8"/>
      <c r="Z98" s="8"/>
      <c r="AA98" s="8"/>
      <c r="AB98" s="8"/>
      <c r="AC98" s="8"/>
      <c r="AD98" s="8"/>
    </row>
    <row r="99" spans="1:30" ht="15">
      <c r="A99" s="58"/>
      <c r="B99" s="69">
        <v>69</v>
      </c>
      <c r="C99" s="43" t="s">
        <v>297</v>
      </c>
      <c r="D99" s="69">
        <v>7.8349550696651102E-2</v>
      </c>
      <c r="E99" s="43">
        <f t="shared" si="8"/>
        <v>0.31402637317488391</v>
      </c>
      <c r="F99" s="71">
        <f t="shared" si="6"/>
        <v>31.402637317488391</v>
      </c>
      <c r="G99" s="84">
        <f t="shared" si="7"/>
        <v>321.24897975790623</v>
      </c>
      <c r="H99" s="43"/>
      <c r="I99" s="8"/>
      <c r="J99" s="8"/>
      <c r="Y99" s="8"/>
      <c r="Z99" s="8"/>
      <c r="AA99" s="8"/>
      <c r="AB99" s="8"/>
      <c r="AC99" s="8"/>
      <c r="AD99" s="8"/>
    </row>
    <row r="100" spans="1:30" ht="15">
      <c r="A100" s="58"/>
      <c r="B100" s="69">
        <v>70</v>
      </c>
      <c r="C100" s="43" t="s">
        <v>298</v>
      </c>
      <c r="D100" s="69">
        <v>8.39729692383126E-2</v>
      </c>
      <c r="E100" s="43">
        <f t="shared" si="8"/>
        <v>0.32083597333427305</v>
      </c>
      <c r="F100" s="71">
        <f t="shared" si="6"/>
        <v>32.083597333427306</v>
      </c>
      <c r="G100" s="84">
        <f t="shared" si="7"/>
        <v>328.21520072096132</v>
      </c>
      <c r="H100" s="43"/>
      <c r="I100" s="8"/>
      <c r="J100" s="8"/>
      <c r="Y100" s="8"/>
      <c r="Z100" s="8"/>
      <c r="AA100" s="8"/>
      <c r="AB100" s="8"/>
      <c r="AC100" s="8"/>
      <c r="AD100" s="8"/>
    </row>
    <row r="101" spans="1:30" ht="15">
      <c r="A101" s="58"/>
      <c r="B101" s="69">
        <v>71</v>
      </c>
      <c r="C101" s="43" t="s">
        <v>299</v>
      </c>
      <c r="D101" s="69">
        <v>0.09</v>
      </c>
      <c r="E101" s="43">
        <f t="shared" si="8"/>
        <v>0.32770011112989705</v>
      </c>
      <c r="F101" s="71">
        <f t="shared" si="6"/>
        <v>32.770011112989707</v>
      </c>
      <c r="G101" s="84">
        <f t="shared" si="7"/>
        <v>335.23721368588468</v>
      </c>
      <c r="H101" s="43"/>
      <c r="I101" s="8"/>
      <c r="J101" s="8"/>
      <c r="Y101" s="8"/>
      <c r="Z101" s="8"/>
      <c r="AA101" s="8"/>
      <c r="AB101" s="8"/>
      <c r="AC101" s="8"/>
      <c r="AD101" s="8"/>
    </row>
    <row r="102" spans="1:30" ht="15">
      <c r="A102" s="58"/>
      <c r="B102" s="69">
        <v>72</v>
      </c>
      <c r="C102" s="43" t="s">
        <v>300</v>
      </c>
      <c r="D102" s="69">
        <v>9.6459611628266301E-2</v>
      </c>
      <c r="E102" s="43">
        <f t="shared" si="8"/>
        <v>0.3346159283093384</v>
      </c>
      <c r="F102" s="71">
        <f t="shared" si="6"/>
        <v>33.461592830933839</v>
      </c>
      <c r="G102" s="84">
        <f t="shared" si="7"/>
        <v>342.31209466045317</v>
      </c>
      <c r="H102" s="43"/>
      <c r="I102" s="8"/>
      <c r="J102" s="8"/>
      <c r="Y102" s="8"/>
      <c r="Z102" s="8"/>
      <c r="AA102" s="8"/>
      <c r="AB102" s="8"/>
      <c r="AC102" s="8"/>
      <c r="AD102" s="8"/>
    </row>
    <row r="103" spans="1:30" ht="15">
      <c r="A103" s="58"/>
      <c r="B103" s="69">
        <v>73</v>
      </c>
      <c r="C103" s="43" t="s">
        <v>301</v>
      </c>
      <c r="D103" s="69">
        <v>0.103382851949733</v>
      </c>
      <c r="E103" s="43">
        <f t="shared" si="8"/>
        <v>0.34158067100731315</v>
      </c>
      <c r="F103" s="71">
        <f t="shared" si="6"/>
        <v>34.158067100731316</v>
      </c>
      <c r="G103" s="84">
        <f t="shared" si="7"/>
        <v>349.43702644048136</v>
      </c>
      <c r="H103" s="43"/>
      <c r="I103" s="8"/>
      <c r="J103" s="8"/>
      <c r="Y103" s="8"/>
      <c r="Z103" s="8"/>
      <c r="AA103" s="8"/>
      <c r="AB103" s="8"/>
      <c r="AC103" s="8"/>
      <c r="AD103" s="8"/>
    </row>
    <row r="104" spans="1:30" ht="15">
      <c r="A104" s="58"/>
      <c r="B104" s="69">
        <v>74</v>
      </c>
      <c r="C104" s="43" t="s">
        <v>302</v>
      </c>
      <c r="D104" s="69">
        <v>0.110802997201042</v>
      </c>
      <c r="E104" s="43">
        <f t="shared" si="8"/>
        <v>0.34859169144057911</v>
      </c>
      <c r="F104" s="71">
        <f t="shared" si="6"/>
        <v>34.859169144057908</v>
      </c>
      <c r="G104" s="84">
        <f t="shared" si="7"/>
        <v>356.60930034371245</v>
      </c>
      <c r="H104" s="43"/>
      <c r="I104" s="8"/>
      <c r="J104" s="8"/>
      <c r="Y104" s="8"/>
      <c r="Z104" s="8"/>
      <c r="AA104" s="8"/>
      <c r="AB104" s="8"/>
      <c r="AC104" s="8"/>
      <c r="AD104" s="8"/>
    </row>
    <row r="105" spans="1:30" ht="15">
      <c r="A105" s="58"/>
      <c r="B105" s="69">
        <v>75</v>
      </c>
      <c r="C105" s="43" t="s">
        <v>303</v>
      </c>
      <c r="D105" s="69">
        <v>0.11875571196956</v>
      </c>
      <c r="E105" s="43">
        <f t="shared" si="8"/>
        <v>0.35564644876790658</v>
      </c>
      <c r="F105" s="71">
        <f t="shared" si="6"/>
        <v>35.564644876790659</v>
      </c>
      <c r="G105" s="84">
        <f t="shared" si="7"/>
        <v>363.82631708956842</v>
      </c>
      <c r="H105" s="43"/>
      <c r="I105" s="8"/>
      <c r="J105" s="8"/>
      <c r="Y105" s="8"/>
      <c r="Z105" s="8"/>
      <c r="AA105" s="8"/>
      <c r="AB105" s="8"/>
      <c r="AC105" s="8"/>
      <c r="AD105" s="8"/>
    </row>
    <row r="106" spans="1:30" ht="15">
      <c r="A106" s="58"/>
      <c r="B106" s="69">
        <v>76</v>
      </c>
      <c r="C106" s="43" t="s">
        <v>304</v>
      </c>
      <c r="D106" s="69">
        <v>0.12727922061357799</v>
      </c>
      <c r="E106" s="43">
        <f t="shared" si="8"/>
        <v>0.36274250920575812</v>
      </c>
      <c r="F106" s="71">
        <f t="shared" si="6"/>
        <v>36.27425092057581</v>
      </c>
      <c r="G106" s="84">
        <f t="shared" si="7"/>
        <v>371.08558691749056</v>
      </c>
      <c r="H106" s="43"/>
      <c r="I106" s="8"/>
      <c r="J106" s="8"/>
      <c r="Y106" s="8"/>
      <c r="Z106" s="8"/>
      <c r="AA106" s="8"/>
      <c r="AB106" s="8"/>
      <c r="AC106" s="8"/>
      <c r="AD106" s="8"/>
    </row>
    <row r="107" spans="1:30" ht="15">
      <c r="A107" s="58"/>
      <c r="B107" s="69">
        <v>77</v>
      </c>
      <c r="C107" s="43" t="s">
        <v>305</v>
      </c>
      <c r="D107" s="69">
        <v>0.136414490985935</v>
      </c>
      <c r="E107" s="43">
        <f t="shared" si="8"/>
        <v>0.36987754548736507</v>
      </c>
      <c r="F107" s="71">
        <f t="shared" si="6"/>
        <v>36.987754548736504</v>
      </c>
      <c r="G107" s="84">
        <f t="shared" si="7"/>
        <v>378.38472903357444</v>
      </c>
      <c r="H107" s="43"/>
      <c r="I107" s="8"/>
      <c r="J107" s="8"/>
      <c r="Y107" s="8"/>
      <c r="Z107" s="8"/>
      <c r="AA107" s="8"/>
      <c r="AB107" s="8"/>
      <c r="AC107" s="8"/>
      <c r="AD107" s="8"/>
    </row>
    <row r="108" spans="1:30" ht="15">
      <c r="A108" s="58"/>
      <c r="B108" s="69">
        <v>78</v>
      </c>
      <c r="C108" s="43" t="s">
        <v>306</v>
      </c>
      <c r="D108" s="69">
        <v>0.14620543134412201</v>
      </c>
      <c r="E108" s="43">
        <f t="shared" si="8"/>
        <v>0.37704933574893684</v>
      </c>
      <c r="F108" s="71">
        <f t="shared" si="6"/>
        <v>37.704933574893687</v>
      </c>
      <c r="G108" s="84">
        <f t="shared" si="7"/>
        <v>385.72147047116238</v>
      </c>
      <c r="H108" s="43"/>
      <c r="I108" s="8"/>
      <c r="J108" s="8"/>
      <c r="Y108" s="8"/>
      <c r="Z108" s="8"/>
      <c r="AA108" s="8"/>
      <c r="AB108" s="8"/>
      <c r="AC108" s="8"/>
      <c r="AD108" s="8"/>
    </row>
    <row r="109" spans="1:30" ht="15">
      <c r="A109" s="58"/>
      <c r="B109" s="69">
        <v>79</v>
      </c>
      <c r="C109" s="43" t="s">
        <v>307</v>
      </c>
      <c r="D109" s="69">
        <v>0.15669910139330201</v>
      </c>
      <c r="E109" s="43">
        <f t="shared" si="8"/>
        <v>0.38425576192205613</v>
      </c>
      <c r="F109" s="71">
        <f t="shared" si="6"/>
        <v>38.425576192205611</v>
      </c>
      <c r="G109" s="84">
        <f t="shared" si="7"/>
        <v>393.0936444462634</v>
      </c>
      <c r="H109" s="43"/>
      <c r="I109" s="8"/>
      <c r="J109" s="8"/>
      <c r="Y109" s="8"/>
      <c r="Z109" s="8"/>
      <c r="AA109" s="8"/>
      <c r="AB109" s="8"/>
      <c r="AC109" s="8"/>
      <c r="AD109" s="8"/>
    </row>
    <row r="110" spans="1:30" ht="15">
      <c r="A110" s="58"/>
      <c r="B110" s="69">
        <v>80</v>
      </c>
      <c r="C110" s="43" t="s">
        <v>85</v>
      </c>
      <c r="D110" s="69">
        <v>0.16794593847662501</v>
      </c>
      <c r="E110" s="43">
        <f t="shared" si="8"/>
        <v>0.39149480770614131</v>
      </c>
      <c r="F110" s="71">
        <f t="shared" si="6"/>
        <v>39.149480770614133</v>
      </c>
      <c r="G110" s="84">
        <f t="shared" si="7"/>
        <v>400.49918828338258</v>
      </c>
      <c r="H110" s="43"/>
      <c r="I110" s="8"/>
      <c r="J110" s="8"/>
      <c r="Y110" s="8"/>
      <c r="Z110" s="8"/>
      <c r="AA110" s="8"/>
      <c r="AB110" s="8"/>
      <c r="AC110" s="8"/>
      <c r="AD110" s="8"/>
    </row>
    <row r="111" spans="1:30" ht="15">
      <c r="A111" s="58"/>
      <c r="B111" s="69">
        <v>81</v>
      </c>
      <c r="C111" s="43" t="s">
        <v>308</v>
      </c>
      <c r="D111" s="69">
        <v>0.18</v>
      </c>
      <c r="E111" s="43">
        <f t="shared" si="8"/>
        <v>0.3987645561893306</v>
      </c>
      <c r="F111" s="71">
        <f t="shared" si="6"/>
        <v>39.876455618933058</v>
      </c>
      <c r="G111" s="84">
        <f t="shared" si="7"/>
        <v>407.93614098168518</v>
      </c>
      <c r="H111" s="43"/>
      <c r="I111" s="8"/>
      <c r="J111" s="8"/>
      <c r="Y111" s="8"/>
      <c r="Z111" s="8"/>
      <c r="AA111" s="8"/>
      <c r="AB111" s="8"/>
      <c r="AC111" s="8"/>
      <c r="AD111" s="8"/>
    </row>
    <row r="112" spans="1:30" ht="15">
      <c r="A112" s="58"/>
      <c r="B112" s="69">
        <v>82</v>
      </c>
      <c r="C112" s="43" t="s">
        <v>309</v>
      </c>
      <c r="D112" s="69">
        <v>0.19291922325653199</v>
      </c>
      <c r="E112" s="43">
        <f t="shared" si="8"/>
        <v>0.40606318718049672</v>
      </c>
      <c r="F112" s="71">
        <f t="shared" si="6"/>
        <v>40.606318718049671</v>
      </c>
      <c r="G112" s="84">
        <f t="shared" si="7"/>
        <v>415.40264048564813</v>
      </c>
      <c r="H112" s="43"/>
      <c r="I112" s="8"/>
      <c r="J112" s="8"/>
      <c r="Y112" s="8"/>
      <c r="Z112" s="8"/>
      <c r="AA112" s="8"/>
      <c r="AB112" s="8"/>
      <c r="AC112" s="8"/>
      <c r="AD112" s="8"/>
    </row>
    <row r="113" spans="1:30" ht="15">
      <c r="A113" s="58"/>
      <c r="B113" s="69">
        <v>83</v>
      </c>
      <c r="C113" s="43" t="s">
        <v>87</v>
      </c>
      <c r="D113" s="69">
        <v>0.206765703899466</v>
      </c>
      <c r="E113" s="43">
        <f t="shared" si="8"/>
        <v>0.41338897430941646</v>
      </c>
      <c r="F113" s="71">
        <f t="shared" si="6"/>
        <v>41.338897430941643</v>
      </c>
      <c r="G113" s="84">
        <f t="shared" si="7"/>
        <v>422.89692071853301</v>
      </c>
      <c r="H113" s="43"/>
      <c r="I113" s="8"/>
      <c r="J113" s="8"/>
      <c r="Y113" s="8"/>
      <c r="Z113" s="8"/>
      <c r="AA113" s="8"/>
      <c r="AB113" s="8"/>
      <c r="AC113" s="8"/>
      <c r="AD113" s="8"/>
    </row>
    <row r="114" spans="1:30" ht="15">
      <c r="A114" s="58"/>
      <c r="B114" s="69">
        <v>84</v>
      </c>
      <c r="C114" s="43" t="s">
        <v>310</v>
      </c>
      <c r="D114" s="69">
        <v>0.22160599440208401</v>
      </c>
      <c r="E114" s="43">
        <f t="shared" si="8"/>
        <v>0.42074028194651175</v>
      </c>
      <c r="F114" s="71">
        <f t="shared" si="6"/>
        <v>42.074028194651177</v>
      </c>
      <c r="G114" s="84">
        <f t="shared" si="7"/>
        <v>430.41730843128153</v>
      </c>
      <c r="H114" s="43"/>
      <c r="I114" s="8"/>
      <c r="J114" s="8"/>
      <c r="Y114" s="8"/>
      <c r="Z114" s="8"/>
      <c r="AA114" s="8"/>
      <c r="AB114" s="8"/>
      <c r="AC114" s="8"/>
      <c r="AD114" s="8"/>
    </row>
    <row r="115" spans="1:30" ht="15">
      <c r="A115" s="58"/>
      <c r="B115" s="69">
        <v>85</v>
      </c>
      <c r="C115" s="43" t="s">
        <v>311</v>
      </c>
      <c r="D115" s="69">
        <v>0.23751142393912</v>
      </c>
      <c r="E115" s="43">
        <f t="shared" si="8"/>
        <v>0.42811556198818101</v>
      </c>
      <c r="F115" s="71">
        <f t="shared" si="6"/>
        <v>42.811556198818103</v>
      </c>
      <c r="G115" s="84">
        <f t="shared" si="7"/>
        <v>437.96221991390917</v>
      </c>
      <c r="H115" s="43"/>
      <c r="I115" s="8"/>
      <c r="J115" s="8"/>
      <c r="Y115" s="8"/>
      <c r="Z115" s="8"/>
      <c r="AA115" s="8"/>
      <c r="AB115" s="8"/>
      <c r="AC115" s="8"/>
      <c r="AD115" s="8"/>
    </row>
    <row r="116" spans="1:30" ht="15">
      <c r="A116" s="58"/>
      <c r="B116" s="69">
        <v>86</v>
      </c>
      <c r="C116" s="43" t="s">
        <v>312</v>
      </c>
      <c r="D116" s="69">
        <v>0.25455844122715698</v>
      </c>
      <c r="E116" s="43">
        <f t="shared" si="8"/>
        <v>0.43551335054852947</v>
      </c>
      <c r="F116" s="71">
        <f t="shared" si="6"/>
        <v>43.551335054852949</v>
      </c>
      <c r="G116" s="84">
        <f t="shared" si="7"/>
        <v>445.53015761114563</v>
      </c>
      <c r="H116" s="43"/>
      <c r="I116" s="8"/>
      <c r="J116" s="8"/>
      <c r="Y116" s="8"/>
      <c r="Z116" s="8"/>
      <c r="AA116" s="8"/>
      <c r="AB116" s="8"/>
      <c r="AC116" s="8"/>
      <c r="AD116" s="8"/>
    </row>
    <row r="117" spans="1:30" ht="15">
      <c r="A117" s="58"/>
      <c r="B117" s="69">
        <v>87</v>
      </c>
      <c r="C117" s="43" t="s">
        <v>313</v>
      </c>
      <c r="D117" s="69">
        <v>0.272828981971871</v>
      </c>
      <c r="E117" s="43">
        <f t="shared" si="8"/>
        <v>0.44293226459342883</v>
      </c>
      <c r="F117" s="71">
        <f t="shared" si="6"/>
        <v>44.293226459342883</v>
      </c>
      <c r="G117" s="84">
        <f t="shared" si="7"/>
        <v>453.11970667907769</v>
      </c>
      <c r="H117" s="43"/>
      <c r="I117" s="8"/>
      <c r="J117" s="8"/>
      <c r="Y117" s="8"/>
      <c r="Z117" s="8"/>
      <c r="AA117" s="8"/>
      <c r="AB117" s="8"/>
      <c r="AC117" s="8"/>
      <c r="AD117" s="8"/>
    </row>
    <row r="118" spans="1:30" ht="15">
      <c r="A118" s="58"/>
      <c r="B118" s="69">
        <v>88</v>
      </c>
      <c r="C118" s="43" t="s">
        <v>314</v>
      </c>
      <c r="D118" s="69">
        <v>0.29241086268824401</v>
      </c>
      <c r="E118" s="43">
        <f t="shared" si="8"/>
        <v>0.4503709985482513</v>
      </c>
      <c r="F118" s="71">
        <f t="shared" si="6"/>
        <v>45.037099854825129</v>
      </c>
      <c r="G118" s="84">
        <f t="shared" si="7"/>
        <v>460.72953151486109</v>
      </c>
      <c r="H118" s="43"/>
      <c r="I118" s="8"/>
      <c r="J118" s="8"/>
      <c r="Y118" s="8"/>
      <c r="Z118" s="8"/>
      <c r="AA118" s="8"/>
      <c r="AB118" s="8"/>
      <c r="AC118" s="8"/>
      <c r="AD118" s="8"/>
    </row>
    <row r="119" spans="1:30" ht="15">
      <c r="A119" s="58"/>
      <c r="B119" s="69">
        <v>89</v>
      </c>
      <c r="C119" s="43" t="s">
        <v>315</v>
      </c>
      <c r="D119" s="69">
        <v>0.31339820278660402</v>
      </c>
      <c r="E119" s="43">
        <f t="shared" si="8"/>
        <v>0.45782832090636666</v>
      </c>
      <c r="F119" s="71">
        <f t="shared" si="6"/>
        <v>45.782832090636667</v>
      </c>
      <c r="G119" s="84">
        <f t="shared" si="7"/>
        <v>468.35837228721311</v>
      </c>
      <c r="H119" s="43"/>
      <c r="I119" s="8"/>
      <c r="J119" s="8"/>
      <c r="Y119" s="8"/>
      <c r="Z119" s="8"/>
      <c r="AA119" s="8"/>
      <c r="AB119" s="8"/>
      <c r="AC119" s="8"/>
      <c r="AD119" s="8"/>
    </row>
    <row r="120" spans="1:30" ht="15">
      <c r="A120" s="58"/>
      <c r="B120" s="69">
        <v>90</v>
      </c>
      <c r="C120" s="43" t="s">
        <v>316</v>
      </c>
      <c r="D120" s="69">
        <v>0.33589187695325001</v>
      </c>
      <c r="E120" s="43">
        <f t="shared" si="8"/>
        <v>0.46530307086160744</v>
      </c>
      <c r="F120" s="71">
        <f t="shared" si="6"/>
        <v>46.530307086160747</v>
      </c>
      <c r="G120" s="84">
        <f t="shared" si="7"/>
        <v>476.00504149142444</v>
      </c>
      <c r="H120" s="43"/>
      <c r="I120" s="8"/>
      <c r="J120" s="8"/>
      <c r="Y120" s="8"/>
      <c r="Z120" s="8"/>
      <c r="AA120" s="8"/>
      <c r="AB120" s="8"/>
      <c r="AC120" s="8"/>
      <c r="AD120" s="8"/>
    </row>
    <row r="121" spans="1:30" ht="15">
      <c r="A121" s="58"/>
      <c r="B121" s="69">
        <v>91</v>
      </c>
      <c r="C121" s="43" t="s">
        <v>317</v>
      </c>
      <c r="D121" s="69">
        <v>0.36</v>
      </c>
      <c r="E121" s="43">
        <f t="shared" si="8"/>
        <v>0.47279415498433996</v>
      </c>
      <c r="F121" s="71">
        <f t="shared" si="6"/>
        <v>47.279415498433998</v>
      </c>
      <c r="G121" s="84">
        <f t="shared" si="7"/>
        <v>483.66842054897978</v>
      </c>
      <c r="H121" s="43"/>
      <c r="I121" s="8"/>
      <c r="J121" s="8"/>
      <c r="Y121" s="8"/>
      <c r="Z121" s="8"/>
      <c r="AA121" s="8"/>
      <c r="AB121" s="8"/>
      <c r="AC121" s="8"/>
      <c r="AD121" s="8"/>
    </row>
    <row r="122" spans="1:30" ht="15">
      <c r="A122" s="58"/>
      <c r="B122" s="69">
        <v>92</v>
      </c>
      <c r="C122" s="43" t="s">
        <v>318</v>
      </c>
      <c r="D122" s="69">
        <v>0.38583844651306498</v>
      </c>
      <c r="E122" s="43">
        <f t="shared" si="8"/>
        <v>0.48030054395756111</v>
      </c>
      <c r="F122" s="71">
        <f t="shared" si="6"/>
        <v>48.03005439575611</v>
      </c>
      <c r="G122" s="84">
        <f t="shared" si="7"/>
        <v>491.34745646858499</v>
      </c>
      <c r="H122" s="43"/>
      <c r="I122" s="8"/>
      <c r="J122" s="8"/>
      <c r="Y122" s="8"/>
      <c r="Z122" s="8"/>
      <c r="AA122" s="8"/>
      <c r="AB122" s="8"/>
      <c r="AC122" s="8"/>
      <c r="AD122" s="8"/>
    </row>
    <row r="123" spans="1:30" ht="15">
      <c r="A123" s="58"/>
      <c r="B123" s="69">
        <v>93</v>
      </c>
      <c r="C123" s="43" t="s">
        <v>319</v>
      </c>
      <c r="D123" s="69">
        <v>0.41353140779893199</v>
      </c>
      <c r="E123" s="43">
        <f t="shared" si="8"/>
        <v>0.48782126938655485</v>
      </c>
      <c r="F123" s="71">
        <f t="shared" si="6"/>
        <v>48.782126938655487</v>
      </c>
      <c r="G123" s="84">
        <f t="shared" si="7"/>
        <v>499.04115858244563</v>
      </c>
      <c r="H123" s="43"/>
      <c r="I123" s="8"/>
      <c r="J123" s="8"/>
      <c r="Y123" s="8"/>
      <c r="Z123" s="8"/>
      <c r="AA123" s="8"/>
      <c r="AB123" s="8"/>
      <c r="AC123" s="8"/>
      <c r="AD123" s="8"/>
    </row>
    <row r="124" spans="1:30" ht="15">
      <c r="A124" s="58"/>
      <c r="B124" s="69">
        <v>94</v>
      </c>
      <c r="C124" s="43" t="s">
        <v>320</v>
      </c>
      <c r="D124" s="69">
        <v>0.44321198880416901</v>
      </c>
      <c r="E124" s="43">
        <f t="shared" si="8"/>
        <v>0.49535542069304728</v>
      </c>
      <c r="F124" s="71">
        <f t="shared" si="6"/>
        <v>49.535542069304725</v>
      </c>
      <c r="G124" s="84">
        <f t="shared" si="7"/>
        <v>506.74859536898737</v>
      </c>
      <c r="H124" s="43"/>
      <c r="I124" s="8"/>
      <c r="J124" s="8"/>
      <c r="K124" s="8"/>
      <c r="L124" s="8"/>
      <c r="M124" s="8"/>
      <c r="N124" s="8"/>
      <c r="O124" s="8"/>
      <c r="P124" s="8"/>
      <c r="Q124" s="8"/>
      <c r="R124" s="8"/>
      <c r="S124" s="8"/>
      <c r="T124" s="8"/>
      <c r="U124" s="8"/>
      <c r="V124" s="8"/>
      <c r="W124" s="8"/>
      <c r="X124" s="8"/>
      <c r="Y124" s="8"/>
      <c r="Z124" s="8"/>
      <c r="AA124" s="8"/>
      <c r="AB124" s="8"/>
      <c r="AC124" s="8"/>
      <c r="AD124" s="8"/>
    </row>
    <row r="125" spans="1:30" ht="15">
      <c r="A125" s="58"/>
      <c r="B125" s="69">
        <v>95</v>
      </c>
      <c r="C125" s="43" t="s">
        <v>321</v>
      </c>
      <c r="D125" s="69">
        <v>0.47502284787824101</v>
      </c>
      <c r="E125" s="43">
        <f t="shared" si="8"/>
        <v>0.50290214210252315</v>
      </c>
      <c r="F125" s="71">
        <f t="shared" si="6"/>
        <v>50.290214210252316</v>
      </c>
      <c r="G125" s="84">
        <f t="shared" si="7"/>
        <v>514.46889137088124</v>
      </c>
      <c r="H125" s="43"/>
      <c r="I125" s="8"/>
      <c r="J125" s="8"/>
      <c r="K125" s="8"/>
      <c r="L125" s="8"/>
      <c r="M125" s="8"/>
      <c r="N125" s="8"/>
      <c r="O125" s="8"/>
      <c r="P125" s="8"/>
      <c r="Q125" s="8"/>
      <c r="R125" s="8"/>
      <c r="S125" s="8"/>
      <c r="T125" s="8"/>
      <c r="U125" s="8"/>
      <c r="V125" s="8"/>
      <c r="W125" s="8"/>
      <c r="X125" s="8"/>
      <c r="Y125" s="8"/>
      <c r="Z125" s="8"/>
      <c r="AA125" s="8"/>
      <c r="AB125" s="8"/>
      <c r="AC125" s="8"/>
      <c r="AD125" s="8"/>
    </row>
    <row r="126" spans="1:30" ht="15">
      <c r="A126" s="58"/>
      <c r="B126" s="69">
        <v>96</v>
      </c>
      <c r="C126" s="43" t="s">
        <v>322</v>
      </c>
      <c r="D126" s="69">
        <v>0.50911688245431397</v>
      </c>
      <c r="E126" s="43">
        <f t="shared" si="8"/>
        <v>0.51046062973133621</v>
      </c>
      <c r="F126" s="71">
        <f t="shared" si="6"/>
        <v>51.046062973133623</v>
      </c>
      <c r="G126" s="84">
        <f t="shared" si="7"/>
        <v>522.20122421515691</v>
      </c>
      <c r="H126" s="43"/>
      <c r="I126" s="8"/>
      <c r="J126" s="8"/>
      <c r="K126" s="8"/>
      <c r="L126" s="8"/>
      <c r="M126" s="8"/>
      <c r="N126" s="8"/>
      <c r="O126" s="8"/>
      <c r="P126" s="8"/>
      <c r="Q126" s="8"/>
      <c r="R126" s="8"/>
      <c r="S126" s="8"/>
      <c r="T126" s="8"/>
      <c r="U126" s="8"/>
      <c r="V126" s="8"/>
      <c r="W126" s="8"/>
      <c r="X126" s="8"/>
      <c r="Y126" s="8"/>
      <c r="Z126" s="8"/>
      <c r="AA126" s="8"/>
      <c r="AB126" s="8"/>
      <c r="AC126" s="8"/>
      <c r="AD126" s="8"/>
    </row>
    <row r="127" spans="1:30" ht="15">
      <c r="A127" s="58"/>
      <c r="B127" s="69">
        <v>97</v>
      </c>
      <c r="C127" s="43" t="s">
        <v>323</v>
      </c>
      <c r="D127" s="69">
        <v>0.545657963943743</v>
      </c>
      <c r="E127" s="43">
        <f t="shared" si="8"/>
        <v>0.51803012877848598</v>
      </c>
      <c r="F127" s="71">
        <f t="shared" si="6"/>
        <v>51.803012877848595</v>
      </c>
      <c r="G127" s="84">
        <f t="shared" si="7"/>
        <v>529.94482174039115</v>
      </c>
      <c r="H127" s="43"/>
      <c r="I127" s="8"/>
      <c r="J127" s="8"/>
      <c r="K127" s="8"/>
      <c r="L127" s="8"/>
      <c r="M127" s="8"/>
      <c r="N127" s="8"/>
      <c r="O127" s="8"/>
      <c r="P127" s="8"/>
      <c r="Q127" s="8"/>
      <c r="R127" s="8"/>
      <c r="S127" s="8"/>
      <c r="T127" s="8"/>
      <c r="U127" s="8"/>
      <c r="V127" s="8"/>
      <c r="W127" s="8"/>
      <c r="X127" s="8"/>
      <c r="Y127" s="8"/>
      <c r="Z127" s="8"/>
      <c r="AA127" s="8"/>
      <c r="AB127" s="8"/>
      <c r="AC127" s="8"/>
      <c r="AD127" s="8"/>
    </row>
    <row r="128" spans="1:30" ht="15">
      <c r="A128" s="58"/>
      <c r="B128" s="69">
        <v>98</v>
      </c>
      <c r="C128" s="43" t="s">
        <v>324</v>
      </c>
      <c r="D128" s="69">
        <v>0.58482172537648902</v>
      </c>
      <c r="E128" s="43">
        <f t="shared" si="8"/>
        <v>0.52560993082539975</v>
      </c>
      <c r="F128" s="71">
        <f t="shared" si="6"/>
        <v>52.560993082539973</v>
      </c>
      <c r="G128" s="84">
        <f t="shared" si="7"/>
        <v>537.69895923438389</v>
      </c>
      <c r="H128" s="43"/>
      <c r="I128" s="8"/>
      <c r="J128" s="8"/>
      <c r="K128" s="8"/>
      <c r="L128" s="8"/>
      <c r="M128" s="8"/>
      <c r="N128" s="8"/>
      <c r="O128" s="8"/>
      <c r="P128" s="8"/>
      <c r="Q128" s="8"/>
      <c r="R128" s="8"/>
      <c r="S128" s="8"/>
      <c r="T128" s="8"/>
      <c r="U128" s="8"/>
      <c r="V128" s="8"/>
      <c r="W128" s="8"/>
      <c r="X128" s="8"/>
      <c r="Y128" s="8"/>
      <c r="Z128" s="8"/>
      <c r="AA128" s="8"/>
      <c r="AB128" s="8"/>
      <c r="AC128" s="8"/>
      <c r="AD128" s="8"/>
    </row>
    <row r="129" spans="1:30" ht="15">
      <c r="A129" s="58"/>
      <c r="B129" s="69">
        <v>99</v>
      </c>
      <c r="C129" s="43" t="s">
        <v>325</v>
      </c>
      <c r="D129" s="69">
        <v>0.62679640557320904</v>
      </c>
      <c r="E129" s="43">
        <f t="shared" si="8"/>
        <v>0.53319937124572636</v>
      </c>
      <c r="F129" s="71">
        <f t="shared" si="6"/>
        <v>53.319937124572633</v>
      </c>
      <c r="G129" s="84">
        <f t="shared" si="7"/>
        <v>545.46295678437809</v>
      </c>
      <c r="H129" s="43"/>
      <c r="I129" s="8"/>
      <c r="J129" s="8"/>
      <c r="K129" s="8"/>
      <c r="L129" s="8"/>
      <c r="M129" s="8"/>
      <c r="N129" s="8"/>
      <c r="O129" s="8"/>
      <c r="P129" s="8"/>
      <c r="Q129" s="8"/>
      <c r="R129" s="8"/>
      <c r="S129" s="8"/>
      <c r="T129" s="8"/>
      <c r="U129" s="8"/>
      <c r="V129" s="8"/>
      <c r="W129" s="8"/>
      <c r="X129" s="8"/>
      <c r="Y129" s="8"/>
      <c r="Z129" s="8"/>
      <c r="AA129" s="8"/>
      <c r="AB129" s="8"/>
      <c r="AC129" s="8"/>
      <c r="AD129" s="8"/>
    </row>
    <row r="130" spans="1:30" ht="15">
      <c r="A130" s="58"/>
      <c r="B130" s="69">
        <v>100</v>
      </c>
      <c r="C130" s="43" t="s">
        <v>326</v>
      </c>
      <c r="D130" s="69">
        <v>0.67178375390650102</v>
      </c>
      <c r="E130" s="43">
        <f t="shared" si="8"/>
        <v>0.54079782672602272</v>
      </c>
      <c r="F130" s="71">
        <f t="shared" si="6"/>
        <v>54.079782672602271</v>
      </c>
      <c r="G130" s="84">
        <f t="shared" si="7"/>
        <v>553.23617674072125</v>
      </c>
      <c r="H130" s="43"/>
      <c r="I130" s="8"/>
      <c r="J130" s="8"/>
      <c r="K130" s="8"/>
      <c r="L130" s="8"/>
      <c r="M130" s="8"/>
      <c r="N130" s="8"/>
      <c r="O130" s="8"/>
      <c r="P130" s="8"/>
      <c r="Q130" s="8"/>
      <c r="R130" s="8"/>
      <c r="S130" s="8"/>
      <c r="T130" s="8"/>
      <c r="U130" s="8"/>
      <c r="V130" s="8"/>
      <c r="W130" s="8"/>
      <c r="X130" s="8"/>
      <c r="Y130" s="8"/>
      <c r="Z130" s="8"/>
      <c r="AA130" s="8"/>
      <c r="AB130" s="8"/>
      <c r="AC130" s="8"/>
      <c r="AD130" s="8"/>
    </row>
    <row r="131" spans="1:30" ht="15">
      <c r="A131" s="58"/>
      <c r="B131" s="69">
        <v>101</v>
      </c>
      <c r="C131" s="43" t="s">
        <v>327</v>
      </c>
      <c r="D131" s="69">
        <v>0.72</v>
      </c>
      <c r="E131" s="43">
        <f t="shared" si="8"/>
        <v>0.54840471289724713</v>
      </c>
      <c r="F131" s="71">
        <f t="shared" si="6"/>
        <v>54.840471289724711</v>
      </c>
      <c r="G131" s="84">
        <f t="shared" si="7"/>
        <v>561.01802129388386</v>
      </c>
      <c r="H131" s="43"/>
      <c r="I131" s="8"/>
      <c r="J131" s="8"/>
      <c r="K131" s="8"/>
      <c r="L131" s="8"/>
      <c r="M131" s="8"/>
      <c r="N131" s="8"/>
      <c r="O131" s="8"/>
      <c r="P131" s="8"/>
      <c r="Q131" s="8"/>
      <c r="R131" s="8"/>
      <c r="S131" s="8"/>
      <c r="T131" s="8"/>
      <c r="U131" s="8"/>
      <c r="V131" s="8"/>
      <c r="W131" s="8"/>
      <c r="X131" s="8"/>
      <c r="Y131" s="8"/>
      <c r="Z131" s="8"/>
      <c r="AA131" s="8"/>
      <c r="AB131" s="8"/>
      <c r="AC131" s="8"/>
      <c r="AD131" s="8"/>
    </row>
    <row r="132" spans="1:30" ht="15">
      <c r="A132" s="58"/>
      <c r="B132" s="69">
        <v>102</v>
      </c>
      <c r="C132" s="43" t="s">
        <v>328</v>
      </c>
      <c r="D132" s="69">
        <v>0.77167689302613096</v>
      </c>
      <c r="E132" s="43">
        <f t="shared" si="8"/>
        <v>0.55601948207616136</v>
      </c>
      <c r="F132" s="71">
        <f t="shared" si="6"/>
        <v>55.60194820761614</v>
      </c>
      <c r="G132" s="84">
        <f t="shared" si="7"/>
        <v>568.80793016391306</v>
      </c>
      <c r="H132" s="43"/>
      <c r="I132" s="8"/>
      <c r="J132" s="8"/>
      <c r="K132" s="8"/>
      <c r="L132" s="8"/>
      <c r="M132" s="8"/>
      <c r="N132" s="8"/>
      <c r="O132" s="8"/>
      <c r="P132" s="8"/>
      <c r="Q132" s="8"/>
      <c r="R132" s="8"/>
      <c r="S132" s="8"/>
      <c r="T132" s="8"/>
      <c r="U132" s="8"/>
      <c r="V132" s="8"/>
      <c r="W132" s="8"/>
      <c r="X132" s="8"/>
      <c r="Y132" s="8"/>
      <c r="Z132" s="8"/>
      <c r="AA132" s="8"/>
      <c r="AB132" s="8"/>
      <c r="AC132" s="8"/>
      <c r="AD132" s="8"/>
    </row>
    <row r="133" spans="1:30" ht="15">
      <c r="A133" s="58"/>
      <c r="B133" s="69">
        <v>103</v>
      </c>
      <c r="C133" s="43" t="s">
        <v>329</v>
      </c>
      <c r="D133" s="69">
        <v>0.82706281559786499</v>
      </c>
      <c r="E133" s="43">
        <f t="shared" si="8"/>
        <v>0.56364162111507743</v>
      </c>
      <c r="F133" s="71">
        <f t="shared" si="6"/>
        <v>56.364162111507746</v>
      </c>
      <c r="G133" s="84">
        <f t="shared" si="7"/>
        <v>576.60537840072425</v>
      </c>
      <c r="H133" s="43"/>
      <c r="I133" s="8"/>
      <c r="J133" s="8"/>
      <c r="K133" s="8"/>
      <c r="L133" s="8"/>
      <c r="M133" s="8"/>
      <c r="N133" s="8"/>
      <c r="O133" s="8"/>
      <c r="P133" s="8"/>
      <c r="Q133" s="8"/>
      <c r="R133" s="8"/>
      <c r="S133" s="8"/>
      <c r="T133" s="8"/>
      <c r="U133" s="8"/>
      <c r="V133" s="8"/>
      <c r="W133" s="8"/>
      <c r="X133" s="8"/>
      <c r="Y133" s="8"/>
      <c r="Z133" s="8"/>
      <c r="AA133" s="8"/>
      <c r="AB133" s="8"/>
      <c r="AC133" s="8"/>
      <c r="AD133" s="8"/>
    </row>
    <row r="134" spans="1:30" ht="15">
      <c r="A134" s="58"/>
      <c r="B134" s="69">
        <v>104</v>
      </c>
      <c r="C134" s="43" t="s">
        <v>330</v>
      </c>
      <c r="D134" s="69">
        <v>0.88642397760833902</v>
      </c>
      <c r="E134" s="43">
        <f t="shared" si="8"/>
        <v>0.57127064935782235</v>
      </c>
      <c r="F134" s="71">
        <f t="shared" si="6"/>
        <v>57.127064935782236</v>
      </c>
      <c r="G134" s="84">
        <f t="shared" si="7"/>
        <v>584.40987429305221</v>
      </c>
      <c r="H134" s="43"/>
      <c r="I134" s="8"/>
      <c r="J134" s="8"/>
      <c r="K134" s="8"/>
      <c r="L134" s="8"/>
      <c r="M134" s="8"/>
      <c r="N134" s="8"/>
      <c r="O134" s="8"/>
      <c r="P134" s="8"/>
      <c r="Q134" s="8"/>
      <c r="R134" s="8"/>
      <c r="S134" s="8"/>
      <c r="T134" s="8"/>
      <c r="U134" s="8"/>
      <c r="V134" s="8"/>
      <c r="W134" s="8"/>
      <c r="X134" s="8"/>
      <c r="Y134" s="8"/>
      <c r="Z134" s="8"/>
      <c r="AA134" s="8"/>
      <c r="AB134" s="8"/>
      <c r="AC134" s="8"/>
      <c r="AD134" s="8"/>
    </row>
    <row r="135" spans="1:30" ht="15">
      <c r="A135" s="58"/>
      <c r="B135" s="69">
        <v>105</v>
      </c>
      <c r="C135" s="43" t="s">
        <v>331</v>
      </c>
      <c r="D135" s="69">
        <v>0.95004569575648301</v>
      </c>
      <c r="E135" s="43">
        <f t="shared" si="8"/>
        <v>0.57890611669935665</v>
      </c>
      <c r="F135" s="71">
        <f t="shared" si="6"/>
        <v>57.890611669935666</v>
      </c>
      <c r="G135" s="84">
        <f t="shared" si="7"/>
        <v>592.22095738344183</v>
      </c>
      <c r="H135" s="43"/>
      <c r="I135" s="8"/>
      <c r="J135" s="8"/>
      <c r="K135" s="8"/>
      <c r="L135" s="8"/>
      <c r="M135" s="8"/>
      <c r="N135" s="8"/>
      <c r="O135" s="8"/>
      <c r="P135" s="8"/>
      <c r="Q135" s="8"/>
      <c r="R135" s="8"/>
      <c r="S135" s="8"/>
      <c r="T135" s="8"/>
      <c r="U135" s="8"/>
      <c r="V135" s="8"/>
      <c r="W135" s="8"/>
      <c r="X135" s="8"/>
      <c r="Y135" s="8"/>
      <c r="Z135" s="8"/>
      <c r="AA135" s="8"/>
      <c r="AB135" s="8"/>
      <c r="AC135" s="8"/>
      <c r="AD135" s="8"/>
    </row>
    <row r="136" spans="1:30" ht="15">
      <c r="A136" s="58"/>
      <c r="B136" s="69">
        <v>106</v>
      </c>
      <c r="C136" s="43" t="s">
        <v>332</v>
      </c>
      <c r="D136" s="69">
        <v>1.0182337649086199</v>
      </c>
      <c r="E136" s="43">
        <f t="shared" si="8"/>
        <v>0.58654760174611986</v>
      </c>
      <c r="F136" s="71">
        <f t="shared" si="6"/>
        <v>58.654760174611987</v>
      </c>
      <c r="G136" s="84">
        <f t="shared" si="7"/>
        <v>600.03819658628061</v>
      </c>
      <c r="H136" s="43"/>
      <c r="I136" s="8"/>
      <c r="J136" s="8"/>
      <c r="K136" s="8"/>
      <c r="L136" s="8"/>
      <c r="M136" s="8"/>
      <c r="N136" s="8"/>
      <c r="O136" s="8"/>
      <c r="P136" s="8"/>
      <c r="Q136" s="8"/>
      <c r="R136" s="8"/>
      <c r="S136" s="8"/>
      <c r="T136" s="8"/>
      <c r="U136" s="8"/>
      <c r="V136" s="8"/>
      <c r="W136" s="8"/>
      <c r="X136" s="8"/>
      <c r="Y136" s="8"/>
      <c r="Z136" s="8"/>
      <c r="AA136" s="8"/>
      <c r="AB136" s="8"/>
      <c r="AC136" s="8"/>
      <c r="AD136" s="8"/>
    </row>
    <row r="137" spans="1:30" ht="15">
      <c r="A137" s="58"/>
      <c r="B137" s="69">
        <v>107</v>
      </c>
      <c r="C137" s="43" t="s">
        <v>333</v>
      </c>
      <c r="D137" s="69">
        <v>1.09131592788748</v>
      </c>
      <c r="E137" s="43">
        <f t="shared" si="8"/>
        <v>0.59419471007391522</v>
      </c>
      <c r="F137" s="71">
        <f t="shared" si="6"/>
        <v>59.419471007391522</v>
      </c>
      <c r="G137" s="84">
        <f t="shared" si="7"/>
        <v>607.86118840561528</v>
      </c>
      <c r="H137" s="43"/>
      <c r="I137" s="8"/>
      <c r="J137" s="8"/>
      <c r="K137" s="8"/>
      <c r="L137" s="8"/>
      <c r="M137" s="8"/>
      <c r="N137" s="8"/>
      <c r="O137" s="8"/>
      <c r="P137" s="8"/>
      <c r="Q137" s="8"/>
      <c r="R137" s="8"/>
      <c r="S137" s="8"/>
      <c r="T137" s="8"/>
      <c r="U137" s="8"/>
      <c r="V137" s="8"/>
      <c r="W137" s="8"/>
      <c r="X137" s="8"/>
      <c r="Y137" s="8"/>
      <c r="Z137" s="8"/>
      <c r="AA137" s="8"/>
      <c r="AB137" s="8"/>
      <c r="AC137" s="8"/>
      <c r="AD137" s="8"/>
    </row>
    <row r="138" spans="1:30" ht="15">
      <c r="A138" s="58"/>
      <c r="B138" s="69">
        <v>108</v>
      </c>
      <c r="C138" s="43" t="s">
        <v>334</v>
      </c>
      <c r="D138" s="69">
        <v>1.16964345075297</v>
      </c>
      <c r="E138" s="43">
        <f t="shared" si="8"/>
        <v>0.6018470725799171</v>
      </c>
      <c r="F138" s="71">
        <f t="shared" si="6"/>
        <v>60.184707257991711</v>
      </c>
      <c r="G138" s="84">
        <f t="shared" si="7"/>
        <v>615.68955524925514</v>
      </c>
      <c r="H138" s="43"/>
      <c r="I138" s="8"/>
      <c r="J138" s="8"/>
      <c r="K138" s="8"/>
      <c r="L138" s="8"/>
      <c r="M138" s="8"/>
      <c r="N138" s="8"/>
      <c r="O138" s="8"/>
      <c r="P138" s="8"/>
      <c r="Q138" s="8"/>
      <c r="R138" s="8"/>
      <c r="S138" s="8"/>
      <c r="T138" s="8"/>
      <c r="U138" s="8"/>
      <c r="V138" s="8"/>
      <c r="W138" s="8"/>
      <c r="X138" s="8"/>
      <c r="Y138" s="8"/>
      <c r="Z138" s="8"/>
      <c r="AA138" s="8"/>
      <c r="AB138" s="8"/>
      <c r="AC138" s="8"/>
      <c r="AD138" s="8"/>
    </row>
    <row r="139" spans="1:30" ht="15">
      <c r="A139" s="58"/>
      <c r="B139" s="69">
        <v>109</v>
      </c>
      <c r="C139" s="43" t="s">
        <v>335</v>
      </c>
      <c r="D139" s="69">
        <v>1.2535928111464101</v>
      </c>
      <c r="E139" s="43">
        <f t="shared" si="8"/>
        <v>0.60950434392528219</v>
      </c>
      <c r="F139" s="71">
        <f t="shared" si="6"/>
        <v>60.950434392528216</v>
      </c>
      <c r="G139" s="84">
        <f t="shared" si="7"/>
        <v>623.52294383556364</v>
      </c>
      <c r="H139" s="43"/>
      <c r="I139" s="8"/>
      <c r="J139" s="8"/>
      <c r="K139" s="8"/>
      <c r="L139" s="8"/>
      <c r="M139" s="8"/>
      <c r="N139" s="8"/>
      <c r="O139" s="8"/>
      <c r="P139" s="8"/>
      <c r="Q139" s="8"/>
      <c r="R139" s="8"/>
      <c r="S139" s="8"/>
      <c r="T139" s="8"/>
      <c r="U139" s="8"/>
      <c r="V139" s="8"/>
      <c r="W139" s="8"/>
      <c r="X139" s="8"/>
      <c r="Y139" s="8"/>
      <c r="Z139" s="8"/>
      <c r="AA139" s="8"/>
      <c r="AB139" s="8"/>
      <c r="AC139" s="8"/>
      <c r="AD139" s="8"/>
    </row>
    <row r="140" spans="1:30" ht="15">
      <c r="A140" s="58"/>
      <c r="B140" s="69">
        <v>110</v>
      </c>
      <c r="C140" s="43" t="s">
        <v>336</v>
      </c>
      <c r="D140" s="69">
        <v>1.3435675078130001</v>
      </c>
      <c r="E140" s="43">
        <f t="shared" si="8"/>
        <v>0.61716620106470876</v>
      </c>
      <c r="F140" s="71">
        <f t="shared" si="6"/>
        <v>61.716620106470877</v>
      </c>
      <c r="G140" s="84">
        <f t="shared" si="7"/>
        <v>631.36102368919705</v>
      </c>
      <c r="H140" s="43"/>
      <c r="I140" s="8"/>
      <c r="J140" s="8"/>
      <c r="K140" s="8"/>
      <c r="L140" s="8"/>
      <c r="M140" s="8"/>
      <c r="N140" s="8"/>
      <c r="O140" s="8"/>
      <c r="P140" s="8"/>
      <c r="Q140" s="8"/>
      <c r="R140" s="8"/>
      <c r="S140" s="8"/>
      <c r="T140" s="8"/>
      <c r="U140" s="8"/>
      <c r="V140" s="8"/>
      <c r="W140" s="8"/>
      <c r="X140" s="8"/>
      <c r="Y140" s="8"/>
      <c r="Z140" s="8"/>
      <c r="AA140" s="8"/>
      <c r="AB140" s="8"/>
      <c r="AC140" s="8"/>
      <c r="AD140" s="8"/>
    </row>
    <row r="141" spans="1:30" ht="15">
      <c r="A141" s="58"/>
      <c r="B141" s="69">
        <v>111</v>
      </c>
      <c r="C141" s="43" t="s">
        <v>337</v>
      </c>
      <c r="D141" s="69">
        <v>1.44</v>
      </c>
      <c r="E141" s="43">
        <f t="shared" si="8"/>
        <v>0.62483234185927117</v>
      </c>
      <c r="F141" s="71">
        <f t="shared" si="6"/>
        <v>62.483234185927117</v>
      </c>
      <c r="G141" s="84">
        <f t="shared" si="7"/>
        <v>639.20348572203443</v>
      </c>
      <c r="H141" s="43"/>
      <c r="I141" s="8"/>
      <c r="J141" s="8"/>
      <c r="K141" s="8"/>
      <c r="L141" s="8"/>
      <c r="M141" s="8"/>
      <c r="N141" s="8"/>
      <c r="O141" s="8"/>
      <c r="P141" s="8"/>
      <c r="Q141" s="8"/>
      <c r="R141" s="8"/>
      <c r="S141" s="8"/>
      <c r="T141" s="8"/>
      <c r="U141" s="8"/>
      <c r="V141" s="8"/>
      <c r="W141" s="8"/>
      <c r="X141" s="8"/>
      <c r="Y141" s="8"/>
      <c r="Z141" s="8"/>
      <c r="AA141" s="8"/>
      <c r="AB141" s="8"/>
      <c r="AC141" s="8"/>
      <c r="AD141" s="8"/>
    </row>
    <row r="142" spans="1:30" ht="15">
      <c r="A142" s="58"/>
      <c r="B142" s="69">
        <v>112</v>
      </c>
      <c r="C142" s="43" t="s">
        <v>338</v>
      </c>
      <c r="D142" s="69">
        <v>1.5433537860522599</v>
      </c>
      <c r="E142" s="43">
        <f t="shared" si="8"/>
        <v>0.63250248376883667</v>
      </c>
      <c r="F142" s="71">
        <f t="shared" si="6"/>
        <v>63.250248376883668</v>
      </c>
      <c r="G142" s="84">
        <f t="shared" si="7"/>
        <v>647.05004089551994</v>
      </c>
      <c r="H142" s="43"/>
      <c r="I142" s="8"/>
      <c r="J142" s="8"/>
      <c r="K142" s="8"/>
      <c r="L142" s="8"/>
      <c r="M142" s="8"/>
      <c r="N142" s="8"/>
      <c r="O142" s="8"/>
      <c r="P142" s="8"/>
      <c r="Q142" s="8"/>
      <c r="R142" s="8"/>
      <c r="S142" s="8"/>
      <c r="T142" s="8"/>
      <c r="U142" s="8"/>
      <c r="V142" s="8"/>
      <c r="W142" s="8"/>
      <c r="X142" s="8"/>
      <c r="Y142" s="8"/>
      <c r="Z142" s="8"/>
      <c r="AA142" s="8"/>
      <c r="AB142" s="8"/>
      <c r="AC142" s="8"/>
      <c r="AD142" s="8"/>
    </row>
    <row r="143" spans="1:30" ht="15">
      <c r="A143" s="58"/>
      <c r="B143" s="69">
        <v>113</v>
      </c>
      <c r="C143" s="43" t="s">
        <v>339</v>
      </c>
      <c r="D143" s="69">
        <v>1.65412563119573</v>
      </c>
      <c r="E143" s="43">
        <f t="shared" si="8"/>
        <v>0.64017636262038424</v>
      </c>
      <c r="F143" s="71">
        <f t="shared" si="6"/>
        <v>64.017636262038423</v>
      </c>
      <c r="G143" s="84">
        <f t="shared" si="7"/>
        <v>654.90041896065304</v>
      </c>
      <c r="H143" s="43"/>
      <c r="I143" s="8"/>
      <c r="J143" s="8"/>
      <c r="K143" s="8"/>
      <c r="L143" s="8"/>
      <c r="M143" s="8"/>
      <c r="N143" s="8"/>
      <c r="O143" s="8"/>
      <c r="P143" s="8"/>
      <c r="Q143" s="8"/>
      <c r="R143" s="8"/>
      <c r="S143" s="8"/>
      <c r="T143" s="8"/>
      <c r="U143" s="8"/>
      <c r="V143" s="8"/>
      <c r="W143" s="8"/>
      <c r="X143" s="8"/>
      <c r="Y143" s="8"/>
      <c r="Z143" s="8"/>
      <c r="AA143" s="8"/>
      <c r="AB143" s="8"/>
      <c r="AC143" s="8"/>
      <c r="AD143" s="8"/>
    </row>
    <row r="144" spans="1:30" ht="15">
      <c r="A144" s="58"/>
      <c r="B144" s="69">
        <v>114</v>
      </c>
      <c r="C144" s="43" t="s">
        <v>340</v>
      </c>
      <c r="D144" s="69">
        <v>1.77284795521667</v>
      </c>
      <c r="E144" s="43">
        <f t="shared" si="8"/>
        <v>0.64785373144859548</v>
      </c>
      <c r="F144" s="71">
        <f t="shared" si="6"/>
        <v>64.785373144859548</v>
      </c>
      <c r="G144" s="84">
        <f t="shared" si="7"/>
        <v>662.75436727191322</v>
      </c>
      <c r="H144" s="43"/>
      <c r="I144" s="8"/>
      <c r="J144" s="8"/>
      <c r="K144" s="8"/>
      <c r="L144" s="8"/>
      <c r="M144" s="8"/>
      <c r="N144" s="8"/>
      <c r="O144" s="8"/>
      <c r="P144" s="8"/>
      <c r="Q144" s="8"/>
      <c r="R144" s="8"/>
      <c r="S144" s="8"/>
      <c r="T144" s="8"/>
      <c r="U144" s="8"/>
      <c r="V144" s="8"/>
      <c r="W144" s="8"/>
      <c r="X144" s="8"/>
      <c r="Y144" s="8"/>
      <c r="Z144" s="8"/>
      <c r="AA144" s="8"/>
      <c r="AB144" s="8"/>
      <c r="AC144" s="8"/>
      <c r="AD144" s="8"/>
    </row>
    <row r="145" spans="1:30" ht="15">
      <c r="A145" s="58"/>
      <c r="B145" s="69">
        <v>115</v>
      </c>
      <c r="C145" s="43" t="s">
        <v>341</v>
      </c>
      <c r="D145" s="69">
        <v>1.90009139151296</v>
      </c>
      <c r="E145" s="43">
        <f t="shared" si="8"/>
        <v>0.65553435940516103</v>
      </c>
      <c r="F145" s="71">
        <f t="shared" si="6"/>
        <v>65.553435940516096</v>
      </c>
      <c r="G145" s="84">
        <f t="shared" si="7"/>
        <v>670.61164967147977</v>
      </c>
      <c r="H145" s="43"/>
      <c r="I145" s="8"/>
      <c r="J145" s="8"/>
      <c r="K145" s="8"/>
      <c r="L145" s="8"/>
      <c r="M145" s="8"/>
      <c r="N145" s="8"/>
      <c r="O145" s="8"/>
      <c r="P145" s="8"/>
      <c r="Q145" s="8"/>
      <c r="R145" s="8"/>
      <c r="S145" s="8"/>
      <c r="T145" s="8"/>
      <c r="U145" s="8"/>
      <c r="V145" s="8"/>
      <c r="W145" s="8"/>
      <c r="X145" s="8"/>
      <c r="Y145" s="8"/>
      <c r="Z145" s="8"/>
      <c r="AA145" s="8"/>
      <c r="AB145" s="8"/>
      <c r="AC145" s="8"/>
      <c r="AD145" s="8"/>
    </row>
    <row r="146" spans="1:30" ht="15">
      <c r="A146" s="58"/>
      <c r="B146" s="69">
        <v>116</v>
      </c>
      <c r="C146" s="43" t="s">
        <v>342</v>
      </c>
      <c r="D146" s="69">
        <v>2.0364675298172501</v>
      </c>
      <c r="E146" s="43">
        <f t="shared" si="8"/>
        <v>0.6632180307333041</v>
      </c>
      <c r="F146" s="71">
        <f t="shared" si="6"/>
        <v>66.321803073330415</v>
      </c>
      <c r="G146" s="84">
        <f t="shared" si="7"/>
        <v>678.47204544017006</v>
      </c>
      <c r="H146" s="43"/>
      <c r="I146" s="8"/>
      <c r="J146" s="8"/>
      <c r="K146" s="8"/>
      <c r="L146" s="8"/>
      <c r="M146" s="8"/>
      <c r="N146" s="8"/>
      <c r="O146" s="8"/>
      <c r="P146" s="8"/>
      <c r="Q146" s="8"/>
      <c r="R146" s="8"/>
      <c r="S146" s="8"/>
      <c r="T146" s="8"/>
      <c r="U146" s="8"/>
      <c r="V146" s="8"/>
      <c r="W146" s="8"/>
      <c r="X146" s="8"/>
      <c r="Y146" s="8"/>
      <c r="Z146" s="8"/>
      <c r="AA146" s="8"/>
      <c r="AB146" s="8"/>
      <c r="AC146" s="8"/>
      <c r="AD146" s="8"/>
    </row>
    <row r="147" spans="1:30" ht="15">
      <c r="A147" s="58"/>
      <c r="B147" s="69">
        <v>117</v>
      </c>
      <c r="C147" s="43" t="s">
        <v>343</v>
      </c>
      <c r="D147" s="69">
        <v>2.1826318557749702</v>
      </c>
      <c r="E147" s="43">
        <f t="shared" si="8"/>
        <v>0.67090454380415243</v>
      </c>
      <c r="F147" s="71">
        <f t="shared" si="6"/>
        <v>67.090454380415238</v>
      </c>
      <c r="G147" s="84">
        <f t="shared" si="7"/>
        <v>686.33534831164798</v>
      </c>
      <c r="H147" s="43"/>
      <c r="I147" s="8"/>
      <c r="J147" s="8"/>
      <c r="K147" s="8"/>
      <c r="L147" s="8"/>
      <c r="M147" s="8"/>
      <c r="N147" s="8"/>
      <c r="O147" s="8"/>
      <c r="P147" s="8"/>
      <c r="Q147" s="8"/>
      <c r="R147" s="8"/>
      <c r="S147" s="8"/>
      <c r="T147" s="8"/>
      <c r="U147" s="8"/>
      <c r="V147" s="8"/>
      <c r="W147" s="8"/>
      <c r="X147" s="8"/>
      <c r="Y147" s="8"/>
      <c r="Z147" s="8"/>
      <c r="AA147" s="8"/>
      <c r="AB147" s="8"/>
      <c r="AC147" s="8"/>
      <c r="AD147" s="8"/>
    </row>
    <row r="148" spans="1:30" ht="15">
      <c r="A148" s="58"/>
      <c r="B148" s="69">
        <v>118</v>
      </c>
      <c r="C148" s="43" t="s">
        <v>344</v>
      </c>
      <c r="D148" s="69">
        <v>2.3392869015059499</v>
      </c>
      <c r="E148" s="43">
        <f t="shared" si="8"/>
        <v>0.67859371021166148</v>
      </c>
      <c r="F148" s="71">
        <f t="shared" si="6"/>
        <v>67.859371021166154</v>
      </c>
      <c r="G148" s="84">
        <f t="shared" si="7"/>
        <v>694.2013655465297</v>
      </c>
      <c r="H148" s="43"/>
      <c r="I148" s="8"/>
      <c r="J148" s="8"/>
      <c r="K148" s="8"/>
      <c r="L148" s="8"/>
      <c r="M148" s="8"/>
      <c r="N148" s="8"/>
      <c r="O148" s="8"/>
      <c r="P148" s="8"/>
      <c r="Q148" s="8"/>
      <c r="R148" s="8"/>
      <c r="S148" s="8"/>
      <c r="T148" s="8"/>
      <c r="U148" s="8"/>
      <c r="V148" s="8"/>
      <c r="W148" s="8"/>
      <c r="X148" s="8"/>
      <c r="Y148" s="8"/>
      <c r="Z148" s="8"/>
      <c r="AA148" s="8"/>
      <c r="AB148" s="8"/>
      <c r="AC148" s="8"/>
      <c r="AD148" s="8"/>
    </row>
    <row r="149" spans="1:30" ht="15">
      <c r="A149" s="58"/>
      <c r="B149" s="69">
        <v>119</v>
      </c>
      <c r="C149" s="43" t="s">
        <v>345</v>
      </c>
      <c r="D149" s="69">
        <v>2.5071856222928299</v>
      </c>
      <c r="E149" s="43">
        <f t="shared" si="8"/>
        <v>0.686285353922931</v>
      </c>
      <c r="F149" s="71">
        <f t="shared" si="6"/>
        <v>68.628535392293102</v>
      </c>
      <c r="G149" s="84">
        <f t="shared" si="7"/>
        <v>702.06991706315841</v>
      </c>
      <c r="H149" s="43"/>
      <c r="I149" s="8"/>
      <c r="J149" s="8"/>
      <c r="K149" s="8"/>
      <c r="L149" s="8"/>
      <c r="M149" s="8"/>
      <c r="N149" s="8"/>
      <c r="O149" s="8"/>
      <c r="P149" s="8"/>
      <c r="Q149" s="8"/>
      <c r="R149" s="8"/>
      <c r="S149" s="8"/>
      <c r="T149" s="8"/>
      <c r="U149" s="8"/>
      <c r="V149" s="8"/>
      <c r="W149" s="8"/>
      <c r="X149" s="8"/>
      <c r="Y149" s="8"/>
      <c r="Z149" s="8"/>
      <c r="AA149" s="8"/>
      <c r="AB149" s="8"/>
      <c r="AC149" s="8"/>
      <c r="AD149" s="8"/>
    </row>
    <row r="150" spans="1:30" ht="15">
      <c r="A150" s="58"/>
      <c r="B150" s="69">
        <v>120</v>
      </c>
      <c r="C150" s="43" t="s">
        <v>346</v>
      </c>
      <c r="D150" s="69">
        <v>2.6871350156260001</v>
      </c>
      <c r="E150" s="43">
        <f t="shared" si="8"/>
        <v>0.69397931048085626</v>
      </c>
      <c r="F150" s="71">
        <f t="shared" si="6"/>
        <v>69.397931048085624</v>
      </c>
      <c r="G150" s="84">
        <f t="shared" si="7"/>
        <v>709.940834621916</v>
      </c>
      <c r="H150" s="43"/>
      <c r="I150" s="8"/>
      <c r="J150" s="8"/>
      <c r="K150" s="8"/>
      <c r="L150" s="8"/>
      <c r="M150" s="8"/>
      <c r="N150" s="8"/>
      <c r="O150" s="8"/>
      <c r="P150" s="8"/>
      <c r="Q150" s="8"/>
      <c r="R150" s="8"/>
      <c r="S150" s="8"/>
      <c r="T150" s="8"/>
      <c r="U150" s="8"/>
      <c r="V150" s="8"/>
      <c r="W150" s="8"/>
      <c r="X150" s="8"/>
      <c r="Y150" s="8"/>
      <c r="Z150" s="8"/>
      <c r="AA150" s="8"/>
      <c r="AB150" s="8"/>
      <c r="AC150" s="8"/>
      <c r="AD150" s="8"/>
    </row>
    <row r="151" spans="1:30" ht="15">
      <c r="A151" s="58"/>
      <c r="B151" s="69">
        <v>121</v>
      </c>
      <c r="C151" s="43" t="s">
        <v>347</v>
      </c>
      <c r="D151" s="69">
        <v>2.88</v>
      </c>
      <c r="E151" s="43">
        <f t="shared" si="8"/>
        <v>0.70167542625619317</v>
      </c>
      <c r="F151" s="71">
        <f t="shared" si="6"/>
        <v>70.167542625619319</v>
      </c>
      <c r="G151" s="84">
        <f t="shared" si="7"/>
        <v>717.8139610600856</v>
      </c>
      <c r="H151" s="43"/>
      <c r="I151" s="8"/>
      <c r="J151" s="8"/>
      <c r="K151" s="8"/>
      <c r="L151" s="8"/>
      <c r="M151" s="8"/>
      <c r="N151" s="8"/>
      <c r="O151" s="8"/>
      <c r="P151" s="8"/>
      <c r="Q151" s="8"/>
      <c r="R151" s="8"/>
      <c r="S151" s="8"/>
      <c r="T151" s="8"/>
      <c r="U151" s="8"/>
      <c r="V151" s="8"/>
      <c r="W151" s="8"/>
      <c r="X151" s="8"/>
      <c r="Y151" s="8"/>
      <c r="Z151" s="8"/>
      <c r="AA151" s="8"/>
      <c r="AB151" s="8"/>
      <c r="AC151" s="8"/>
      <c r="AD151" s="8"/>
    </row>
    <row r="152" spans="1:30" ht="15">
      <c r="A152" s="58"/>
      <c r="B152" s="69">
        <v>122</v>
      </c>
      <c r="C152" s="43" t="s">
        <v>348</v>
      </c>
      <c r="D152" s="69">
        <v>3.0867075721045198</v>
      </c>
      <c r="E152" s="43">
        <f t="shared" si="8"/>
        <v>0.70937355774622834</v>
      </c>
      <c r="F152" s="71">
        <f t="shared" si="6"/>
        <v>70.93735577462283</v>
      </c>
      <c r="G152" s="84">
        <f t="shared" si="7"/>
        <v>725.68914957439165</v>
      </c>
      <c r="H152" s="43"/>
      <c r="I152" s="8"/>
      <c r="J152" s="8"/>
      <c r="K152" s="8"/>
      <c r="L152" s="8"/>
      <c r="M152" s="8"/>
      <c r="N152" s="8"/>
      <c r="O152" s="8"/>
      <c r="P152" s="8"/>
      <c r="Q152" s="8"/>
      <c r="R152" s="8"/>
      <c r="S152" s="8"/>
      <c r="T152" s="8"/>
      <c r="U152" s="8"/>
      <c r="V152" s="8"/>
      <c r="W152" s="8"/>
      <c r="X152" s="8"/>
      <c r="Y152" s="8"/>
      <c r="Z152" s="8"/>
      <c r="AA152" s="8"/>
      <c r="AB152" s="8"/>
      <c r="AC152" s="8"/>
      <c r="AD152" s="8"/>
    </row>
    <row r="153" spans="1:30" ht="15">
      <c r="A153" s="58"/>
      <c r="B153" s="69">
        <v>123</v>
      </c>
      <c r="C153" s="43" t="s">
        <v>349</v>
      </c>
      <c r="D153" s="69">
        <v>3.3082512623914599</v>
      </c>
      <c r="E153" s="43">
        <f t="shared" si="8"/>
        <v>0.717073570917379</v>
      </c>
      <c r="F153" s="71">
        <f t="shared" si="6"/>
        <v>71.707357091737904</v>
      </c>
      <c r="G153" s="84">
        <f t="shared" si="7"/>
        <v>733.56626304847873</v>
      </c>
      <c r="H153" s="43"/>
      <c r="I153" s="8"/>
      <c r="J153" s="8"/>
      <c r="K153" s="8"/>
      <c r="L153" s="8"/>
      <c r="M153" s="8"/>
      <c r="N153" s="8"/>
      <c r="O153" s="8"/>
      <c r="P153" s="8"/>
      <c r="Q153" s="8"/>
      <c r="R153" s="8"/>
      <c r="S153" s="8"/>
      <c r="T153" s="8"/>
      <c r="U153" s="8"/>
      <c r="V153" s="8"/>
      <c r="W153" s="8"/>
      <c r="X153" s="8"/>
      <c r="Y153" s="8"/>
      <c r="Z153" s="8"/>
      <c r="AA153" s="8"/>
      <c r="AB153" s="8"/>
      <c r="AC153" s="8"/>
      <c r="AD153" s="8"/>
    </row>
    <row r="154" spans="1:30" ht="15">
      <c r="A154" s="58"/>
      <c r="B154" s="69">
        <v>124</v>
      </c>
      <c r="C154" s="43" t="s">
        <v>350</v>
      </c>
      <c r="D154" s="69">
        <v>3.5456959104333499</v>
      </c>
      <c r="E154" s="43">
        <f t="shared" si="8"/>
        <v>0.72477534058915927</v>
      </c>
      <c r="F154" s="71">
        <f t="shared" si="6"/>
        <v>72.477534058915921</v>
      </c>
      <c r="G154" s="84">
        <f t="shared" si="7"/>
        <v>741.4451734227099</v>
      </c>
      <c r="H154" s="43"/>
      <c r="I154" s="8"/>
      <c r="J154" s="8"/>
      <c r="K154" s="8"/>
      <c r="L154" s="8"/>
      <c r="M154" s="8"/>
      <c r="N154" s="8"/>
      <c r="O154" s="8"/>
      <c r="P154" s="8"/>
      <c r="Q154" s="8"/>
      <c r="R154" s="8"/>
      <c r="S154" s="8"/>
      <c r="T154" s="8"/>
      <c r="U154" s="8"/>
      <c r="V154" s="8"/>
      <c r="W154" s="8"/>
      <c r="X154" s="8"/>
      <c r="Y154" s="8"/>
      <c r="Z154" s="8"/>
      <c r="AA154" s="8"/>
      <c r="AB154" s="8"/>
      <c r="AC154" s="8"/>
      <c r="AD154" s="8"/>
    </row>
    <row r="155" spans="1:30" ht="15">
      <c r="A155" s="58"/>
      <c r="B155" s="69">
        <v>125</v>
      </c>
      <c r="C155" s="43" t="s">
        <v>351</v>
      </c>
      <c r="D155" s="69">
        <v>3.8001827830259298</v>
      </c>
      <c r="E155" s="43">
        <f t="shared" si="8"/>
        <v>0.73247874985709116</v>
      </c>
      <c r="F155" s="71">
        <f t="shared" si="6"/>
        <v>73.247874985709117</v>
      </c>
      <c r="G155" s="84">
        <f t="shared" si="7"/>
        <v>749.32576110380421</v>
      </c>
      <c r="H155" s="43"/>
      <c r="I155" s="8"/>
      <c r="J155" s="8"/>
      <c r="K155" s="8"/>
      <c r="L155" s="8"/>
      <c r="M155" s="8"/>
      <c r="N155" s="8"/>
      <c r="O155" s="8"/>
      <c r="P155" s="8"/>
      <c r="Q155" s="8"/>
      <c r="R155" s="8"/>
      <c r="S155" s="8"/>
      <c r="T155" s="8"/>
      <c r="U155" s="8"/>
      <c r="V155" s="8"/>
      <c r="W155" s="8"/>
      <c r="X155" s="8"/>
      <c r="Y155" s="8"/>
      <c r="Z155" s="8"/>
      <c r="AA155" s="8"/>
      <c r="AB155" s="8"/>
      <c r="AC155" s="8"/>
      <c r="AD155" s="8"/>
    </row>
    <row r="156" spans="1:30" ht="15">
      <c r="A156" s="58"/>
      <c r="B156" s="69">
        <v>126</v>
      </c>
      <c r="C156" s="43" t="s">
        <v>352</v>
      </c>
      <c r="D156" s="69">
        <v>4.07293505963451</v>
      </c>
      <c r="E156" s="43">
        <f t="shared" si="8"/>
        <v>0.74018368955223524</v>
      </c>
      <c r="F156" s="71">
        <f t="shared" si="6"/>
        <v>74.018368955223522</v>
      </c>
      <c r="G156" s="84">
        <f t="shared" si="7"/>
        <v>757.2079144119366</v>
      </c>
      <c r="H156" s="43"/>
      <c r="I156" s="8"/>
      <c r="J156" s="8"/>
      <c r="K156" s="8"/>
      <c r="L156" s="8"/>
      <c r="M156" s="8"/>
      <c r="N156" s="8"/>
      <c r="O156" s="8"/>
      <c r="P156" s="8"/>
      <c r="Q156" s="8"/>
      <c r="R156" s="8"/>
      <c r="S156" s="8"/>
      <c r="T156" s="8"/>
      <c r="U156" s="8"/>
      <c r="V156" s="8"/>
      <c r="W156" s="8"/>
      <c r="X156" s="8"/>
      <c r="Y156" s="8"/>
      <c r="Z156" s="8"/>
      <c r="AA156" s="8"/>
      <c r="AB156" s="8"/>
      <c r="AC156" s="8"/>
      <c r="AD156" s="8"/>
    </row>
    <row r="157" spans="1:30" ht="15">
      <c r="A157" s="58"/>
      <c r="B157" s="69">
        <v>127</v>
      </c>
      <c r="C157" s="43" t="s">
        <v>353</v>
      </c>
      <c r="D157" s="69">
        <v>4.3652637115499404</v>
      </c>
      <c r="E157" s="43">
        <f t="shared" si="8"/>
        <v>0.74789005773515571</v>
      </c>
      <c r="F157" s="71">
        <f t="shared" si="6"/>
        <v>74.789005773515569</v>
      </c>
      <c r="G157" s="84">
        <f t="shared" si="7"/>
        <v>765.09152906306429</v>
      </c>
      <c r="H157" s="43"/>
      <c r="I157" s="8"/>
      <c r="J157" s="8"/>
      <c r="K157" s="8"/>
      <c r="L157" s="8"/>
      <c r="M157" s="8"/>
      <c r="N157" s="8"/>
      <c r="O157" s="8"/>
      <c r="P157" s="8"/>
      <c r="Q157" s="8"/>
      <c r="R157" s="8"/>
      <c r="S157" s="8"/>
      <c r="T157" s="8"/>
      <c r="U157" s="8"/>
      <c r="V157" s="8"/>
      <c r="W157" s="8"/>
      <c r="X157" s="8"/>
      <c r="Y157" s="8"/>
      <c r="Z157" s="8"/>
      <c r="AA157" s="8"/>
      <c r="AB157" s="8"/>
      <c r="AC157" s="8"/>
      <c r="AD157" s="8"/>
    </row>
    <row r="158" spans="1:30" ht="15">
      <c r="A158" s="58"/>
      <c r="B158" s="69">
        <v>128</v>
      </c>
      <c r="C158" s="43" t="s">
        <v>354</v>
      </c>
      <c r="D158" s="69">
        <v>4.6785738030119104</v>
      </c>
      <c r="E158" s="43">
        <f t="shared" si="8"/>
        <v>0.75559775922223416</v>
      </c>
      <c r="F158" s="71">
        <f t="shared" si="6"/>
        <v>75.559775922223409</v>
      </c>
      <c r="G158" s="84">
        <f t="shared" si="7"/>
        <v>772.97650768434551</v>
      </c>
      <c r="H158" s="43"/>
      <c r="I158" s="8"/>
      <c r="J158" s="8"/>
      <c r="K158" s="8"/>
      <c r="L158" s="8"/>
      <c r="M158" s="8"/>
      <c r="N158" s="8"/>
      <c r="O158" s="8"/>
      <c r="P158" s="8"/>
      <c r="Q158" s="8"/>
      <c r="R158" s="8"/>
      <c r="S158" s="8"/>
      <c r="T158" s="8"/>
      <c r="U158" s="8"/>
      <c r="V158" s="8"/>
      <c r="W158" s="8"/>
      <c r="X158" s="8"/>
      <c r="Y158" s="8"/>
      <c r="Z158" s="8"/>
      <c r="AA158" s="8"/>
      <c r="AB158" s="8"/>
      <c r="AC158" s="8"/>
      <c r="AD158" s="8"/>
    </row>
    <row r="159" spans="1:30" ht="15">
      <c r="A159" s="58"/>
      <c r="B159" s="69">
        <v>129</v>
      </c>
      <c r="C159" s="43" t="s">
        <v>355</v>
      </c>
      <c r="D159" s="69">
        <v>5.0143712445856696</v>
      </c>
      <c r="E159" s="43">
        <f t="shared" si="8"/>
        <v>0.7633067051423621</v>
      </c>
      <c r="F159" s="71">
        <f t="shared" si="6"/>
        <v>76.330670514236203</v>
      </c>
      <c r="G159" s="84">
        <f t="shared" si="7"/>
        <v>780.86275936063646</v>
      </c>
      <c r="H159" s="43"/>
      <c r="I159" s="8"/>
      <c r="J159" s="8"/>
      <c r="K159" s="8"/>
      <c r="L159" s="8"/>
      <c r="M159" s="8"/>
      <c r="N159" s="8"/>
      <c r="O159" s="8"/>
      <c r="P159" s="8"/>
      <c r="Q159" s="8"/>
      <c r="R159" s="8"/>
      <c r="S159" s="8"/>
      <c r="T159" s="8"/>
      <c r="U159" s="8"/>
      <c r="V159" s="8"/>
      <c r="W159" s="8"/>
      <c r="X159" s="8"/>
      <c r="Y159" s="8"/>
      <c r="Z159" s="8"/>
      <c r="AA159" s="8"/>
      <c r="AB159" s="8"/>
      <c r="AC159" s="8"/>
      <c r="AD159" s="8"/>
    </row>
    <row r="160" spans="1:30" ht="15">
      <c r="A160" s="58"/>
      <c r="B160" s="69">
        <v>130</v>
      </c>
      <c r="C160" s="43" t="s">
        <v>356</v>
      </c>
      <c r="D160" s="69">
        <v>5.37427003125201</v>
      </c>
      <c r="E160" s="43">
        <f t="shared" si="8"/>
        <v>0.77101681252215193</v>
      </c>
      <c r="F160" s="71">
        <f t="shared" si="6"/>
        <v>77.101681252215187</v>
      </c>
      <c r="G160" s="84">
        <f t="shared" si="7"/>
        <v>788.75019921016144</v>
      </c>
      <c r="H160" s="43"/>
      <c r="I160" s="8"/>
      <c r="J160" s="8"/>
      <c r="K160" s="8"/>
      <c r="L160" s="8"/>
      <c r="M160" s="8"/>
      <c r="N160" s="8"/>
      <c r="O160" s="8"/>
      <c r="P160" s="8"/>
      <c r="Q160" s="8"/>
      <c r="R160" s="8"/>
      <c r="S160" s="8"/>
      <c r="T160" s="8"/>
      <c r="U160" s="8"/>
      <c r="V160" s="8"/>
      <c r="W160" s="8"/>
      <c r="X160" s="8"/>
      <c r="Y160" s="8"/>
      <c r="Z160" s="8"/>
      <c r="AA160" s="8"/>
      <c r="AB160" s="8"/>
      <c r="AC160" s="8"/>
      <c r="AD160" s="8"/>
    </row>
    <row r="161" spans="1:30" ht="15">
      <c r="A161" s="58"/>
      <c r="B161" s="69">
        <v>131</v>
      </c>
      <c r="C161" s="43" t="s">
        <v>357</v>
      </c>
      <c r="D161" s="69">
        <v>5.76</v>
      </c>
      <c r="E161" s="43">
        <f t="shared" si="8"/>
        <v>0.77872800389790386</v>
      </c>
      <c r="F161" s="71">
        <f t="shared" si="6"/>
        <v>77.872800389790385</v>
      </c>
      <c r="G161" s="84">
        <f t="shared" si="7"/>
        <v>796.63874798755569</v>
      </c>
      <c r="H161" s="43"/>
      <c r="I161" s="8"/>
      <c r="J161" s="8"/>
      <c r="K161" s="8"/>
      <c r="L161" s="8"/>
      <c r="M161" s="8"/>
      <c r="N161" s="8"/>
      <c r="O161" s="8"/>
      <c r="P161" s="8"/>
      <c r="Q161" s="8"/>
      <c r="R161" s="8"/>
      <c r="S161" s="8"/>
      <c r="T161" s="8"/>
      <c r="U161" s="8"/>
      <c r="V161" s="8"/>
      <c r="W161" s="8"/>
      <c r="X161" s="8"/>
      <c r="Y161" s="8"/>
      <c r="Z161" s="8"/>
      <c r="AA161" s="8"/>
      <c r="AB161" s="8"/>
      <c r="AC161" s="8"/>
      <c r="AD161" s="8"/>
    </row>
    <row r="162" spans="1:30" ht="15">
      <c r="A162" s="58"/>
      <c r="B162" s="69">
        <v>132</v>
      </c>
      <c r="C162" s="43" t="s">
        <v>358</v>
      </c>
      <c r="D162" s="69">
        <v>6.1734151442090397</v>
      </c>
      <c r="E162" s="43">
        <f t="shared" si="8"/>
        <v>0.78644020695266914</v>
      </c>
      <c r="F162" s="71">
        <f t="shared" si="6"/>
        <v>78.644020695266917</v>
      </c>
      <c r="G162" s="84">
        <f t="shared" si="7"/>
        <v>804.52833171258055</v>
      </c>
      <c r="H162" s="43"/>
      <c r="I162" s="8"/>
      <c r="J162" s="8"/>
      <c r="K162" s="8"/>
      <c r="L162" s="8"/>
      <c r="M162" s="8"/>
      <c r="N162" s="8"/>
      <c r="O162" s="8"/>
      <c r="P162" s="8"/>
      <c r="Q162" s="8"/>
      <c r="R162" s="8"/>
      <c r="S162" s="8"/>
      <c r="T162" s="8"/>
      <c r="U162" s="8"/>
      <c r="V162" s="8"/>
      <c r="W162" s="8"/>
      <c r="X162" s="8"/>
      <c r="Y162" s="8"/>
      <c r="Z162" s="8"/>
      <c r="AA162" s="8"/>
      <c r="AB162" s="8"/>
      <c r="AC162" s="8"/>
      <c r="AD162" s="8"/>
    </row>
    <row r="163" spans="1:30" ht="15">
      <c r="A163" s="58"/>
      <c r="B163" s="69">
        <v>133</v>
      </c>
      <c r="C163" s="43" t="s">
        <v>359</v>
      </c>
      <c r="D163" s="69">
        <v>6.6165025247829199</v>
      </c>
      <c r="E163" s="43">
        <f t="shared" si="8"/>
        <v>0.79415335417684296</v>
      </c>
      <c r="F163" s="71">
        <f t="shared" si="6"/>
        <v>79.41533541768429</v>
      </c>
      <c r="G163" s="84">
        <f t="shared" si="7"/>
        <v>812.41888132291035</v>
      </c>
      <c r="H163" s="43"/>
      <c r="I163" s="8"/>
      <c r="J163" s="8"/>
      <c r="K163" s="8"/>
      <c r="L163" s="8"/>
      <c r="M163" s="8"/>
      <c r="N163" s="8"/>
      <c r="O163" s="8"/>
      <c r="P163" s="8"/>
      <c r="Q163" s="8"/>
      <c r="R163" s="8"/>
      <c r="S163" s="8"/>
      <c r="T163" s="8"/>
      <c r="U163" s="8"/>
      <c r="V163" s="8"/>
      <c r="W163" s="8"/>
      <c r="X163" s="8"/>
      <c r="Y163" s="8"/>
      <c r="Z163" s="8"/>
      <c r="AA163" s="8"/>
      <c r="AB163" s="8"/>
      <c r="AC163" s="8"/>
      <c r="AD163" s="8"/>
    </row>
    <row r="164" spans="1:30" ht="15">
      <c r="A164" s="58"/>
      <c r="B164" s="69">
        <v>134</v>
      </c>
      <c r="C164" s="43" t="s">
        <v>360</v>
      </c>
      <c r="D164" s="69">
        <v>7.0913918208667104</v>
      </c>
      <c r="E164" s="43">
        <f t="shared" si="8"/>
        <v>0.80186738255080781</v>
      </c>
      <c r="F164" s="71">
        <f t="shared" si="6"/>
        <v>80.186738255080783</v>
      </c>
      <c r="G164" s="84">
        <f t="shared" si="7"/>
        <v>820.31033234947643</v>
      </c>
      <c r="H164" s="107"/>
      <c r="I164" s="8"/>
      <c r="J164" s="8"/>
      <c r="K164" s="8"/>
      <c r="L164" s="8"/>
      <c r="M164" s="8"/>
      <c r="N164" s="8"/>
      <c r="O164" s="8"/>
      <c r="P164" s="8"/>
      <c r="Q164" s="8"/>
      <c r="R164" s="8"/>
      <c r="S164" s="8"/>
      <c r="T164" s="8"/>
      <c r="U164" s="8"/>
      <c r="V164" s="8"/>
      <c r="W164" s="8"/>
      <c r="X164" s="8"/>
      <c r="Y164" s="8"/>
      <c r="Z164" s="8"/>
      <c r="AA164" s="8"/>
      <c r="AB164" s="8"/>
      <c r="AC164" s="8"/>
      <c r="AD164" s="8"/>
    </row>
    <row r="165" spans="1:30" ht="15">
      <c r="A165" s="58"/>
      <c r="B165" s="69">
        <v>135</v>
      </c>
      <c r="C165" s="43" t="s">
        <v>361</v>
      </c>
      <c r="D165" s="69">
        <v>7.6003655660518703</v>
      </c>
      <c r="E165" s="43">
        <f t="shared" si="8"/>
        <v>0.80958223324824363</v>
      </c>
      <c r="F165" s="71">
        <f t="shared" si="6"/>
        <v>80.95822332482436</v>
      </c>
      <c r="G165" s="84">
        <f t="shared" si="7"/>
        <v>828.20262461295329</v>
      </c>
      <c r="H165" s="43"/>
      <c r="I165" s="8"/>
      <c r="J165" s="8"/>
      <c r="K165" s="8"/>
      <c r="L165" s="8"/>
      <c r="M165" s="8"/>
      <c r="N165" s="8"/>
      <c r="O165" s="8"/>
      <c r="P165" s="8"/>
      <c r="Q165" s="8"/>
      <c r="R165" s="8"/>
      <c r="S165" s="8"/>
      <c r="T165" s="8"/>
      <c r="U165" s="8"/>
      <c r="V165" s="8"/>
      <c r="W165" s="8"/>
      <c r="X165" s="8"/>
      <c r="Y165" s="8"/>
      <c r="Z165" s="8"/>
      <c r="AA165" s="8"/>
      <c r="AB165" s="8"/>
      <c r="AC165" s="8"/>
      <c r="AD165" s="8"/>
    </row>
    <row r="166" spans="1:30" ht="15">
      <c r="A166" s="58"/>
      <c r="B166" s="69">
        <v>136</v>
      </c>
      <c r="C166" s="43" t="s">
        <v>362</v>
      </c>
      <c r="D166" s="69">
        <v>8.1458701192690199</v>
      </c>
      <c r="E166" s="43">
        <f t="shared" si="8"/>
        <v>0.81729785135878918</v>
      </c>
      <c r="F166" s="71">
        <f t="shared" si="6"/>
        <v>81.729785135878913</v>
      </c>
      <c r="G166" s="84">
        <f t="shared" si="7"/>
        <v>836.09570194004129</v>
      </c>
      <c r="H166" s="43"/>
      <c r="I166" s="8"/>
      <c r="J166" s="8"/>
      <c r="K166" s="8"/>
      <c r="L166" s="8"/>
      <c r="M166" s="8"/>
      <c r="N166" s="8"/>
      <c r="O166" s="8"/>
      <c r="P166" s="8"/>
      <c r="Q166" s="8"/>
      <c r="R166" s="8"/>
      <c r="S166" s="8"/>
      <c r="T166" s="8"/>
      <c r="U166" s="8"/>
      <c r="V166" s="8"/>
      <c r="W166" s="8"/>
      <c r="X166" s="8"/>
      <c r="Y166" s="8"/>
      <c r="Z166" s="8"/>
      <c r="AA166" s="8"/>
      <c r="AB166" s="8"/>
      <c r="AC166" s="8"/>
      <c r="AD166" s="8"/>
    </row>
    <row r="167" spans="1:30" ht="15">
      <c r="A167" s="58"/>
      <c r="B167" s="69">
        <v>137</v>
      </c>
      <c r="C167" s="43" t="s">
        <v>363</v>
      </c>
      <c r="D167" s="69">
        <v>8.7305274230998897</v>
      </c>
      <c r="E167" s="43">
        <f t="shared" si="8"/>
        <v>0.82501418562883133</v>
      </c>
      <c r="F167" s="71">
        <f t="shared" si="6"/>
        <v>82.501418562883131</v>
      </c>
      <c r="G167" s="84">
        <f t="shared" si="7"/>
        <v>843.9895118982945</v>
      </c>
      <c r="H167" s="43"/>
      <c r="I167" s="8"/>
      <c r="J167" s="8"/>
      <c r="K167" s="8"/>
      <c r="L167" s="8"/>
      <c r="M167" s="8"/>
      <c r="N167" s="8"/>
      <c r="O167" s="8"/>
      <c r="P167" s="8"/>
      <c r="Q167" s="8"/>
      <c r="R167" s="8"/>
      <c r="S167" s="8"/>
      <c r="T167" s="8"/>
      <c r="U167" s="8"/>
      <c r="V167" s="8"/>
      <c r="W167" s="8"/>
      <c r="X167" s="8"/>
      <c r="Y167" s="8"/>
      <c r="Z167" s="8"/>
      <c r="AA167" s="8"/>
      <c r="AB167" s="8"/>
      <c r="AC167" s="8"/>
      <c r="AD167" s="8"/>
    </row>
    <row r="168" spans="1:30" ht="15">
      <c r="A168" s="58"/>
      <c r="B168" s="69">
        <v>138</v>
      </c>
      <c r="C168" s="43" t="s">
        <v>364</v>
      </c>
      <c r="D168" s="69">
        <v>9.3571476060238297</v>
      </c>
      <c r="E168" s="43">
        <f t="shared" si="8"/>
        <v>0.8327311882192594</v>
      </c>
      <c r="F168" s="71">
        <f t="shared" si="6"/>
        <v>83.273118821925934</v>
      </c>
      <c r="G168" s="84">
        <f t="shared" si="7"/>
        <v>851.88400554830241</v>
      </c>
      <c r="H168" s="43"/>
      <c r="I168" s="8"/>
      <c r="J168" s="8"/>
      <c r="K168" s="8"/>
      <c r="L168" s="8"/>
      <c r="M168" s="8"/>
      <c r="N168" s="8"/>
      <c r="O168" s="8"/>
      <c r="P168" s="8"/>
      <c r="Q168" s="8"/>
      <c r="R168" s="8"/>
      <c r="S168" s="8"/>
      <c r="T168" s="8"/>
      <c r="U168" s="8"/>
      <c r="V168" s="8"/>
      <c r="W168" s="8"/>
      <c r="X168" s="8"/>
      <c r="Y168" s="8"/>
      <c r="Z168" s="8"/>
      <c r="AA168" s="8"/>
      <c r="AB168" s="8"/>
      <c r="AC168" s="8"/>
      <c r="AD168" s="8"/>
    </row>
    <row r="169" spans="1:30" ht="15">
      <c r="A169" s="58"/>
      <c r="B169" s="69">
        <v>139</v>
      </c>
      <c r="C169" s="43" t="s">
        <v>365</v>
      </c>
      <c r="D169" s="69">
        <v>10.0287424891713</v>
      </c>
      <c r="E169" s="43">
        <f t="shared" si="8"/>
        <v>0.84044881447910491</v>
      </c>
      <c r="F169" s="71">
        <f t="shared" si="6"/>
        <v>84.044881447910484</v>
      </c>
      <c r="G169" s="84">
        <f t="shared" si="7"/>
        <v>859.77913721212428</v>
      </c>
      <c r="H169" s="43"/>
      <c r="I169" s="8"/>
      <c r="J169" s="8"/>
      <c r="K169" s="8"/>
      <c r="L169" s="8"/>
      <c r="M169" s="8"/>
      <c r="N169" s="8"/>
      <c r="O169" s="8"/>
      <c r="P169" s="8"/>
      <c r="Q169" s="8"/>
      <c r="R169" s="8"/>
      <c r="S169" s="8"/>
      <c r="T169" s="8"/>
      <c r="U169" s="8"/>
      <c r="V169" s="8"/>
      <c r="W169" s="8"/>
      <c r="X169" s="8"/>
      <c r="Y169" s="8"/>
      <c r="Z169" s="8"/>
      <c r="AA169" s="8"/>
      <c r="AB169" s="8"/>
      <c r="AC169" s="8"/>
      <c r="AD169" s="8"/>
    </row>
    <row r="170" spans="1:30" ht="15">
      <c r="A170" s="58"/>
      <c r="B170" s="69">
        <v>140</v>
      </c>
      <c r="C170" s="43" t="s">
        <v>366</v>
      </c>
      <c r="D170" s="69">
        <v>10.748540062504</v>
      </c>
      <c r="E170" s="43">
        <f t="shared" si="8"/>
        <v>0.84816702273404398</v>
      </c>
      <c r="F170" s="71">
        <f t="shared" si="6"/>
        <v>84.816702273404402</v>
      </c>
      <c r="G170" s="84">
        <f t="shared" si="7"/>
        <v>867.67486425692698</v>
      </c>
      <c r="H170" s="43"/>
      <c r="I170" s="8"/>
      <c r="J170" s="8"/>
      <c r="K170" s="8"/>
      <c r="L170" s="8"/>
      <c r="M170" s="8"/>
      <c r="N170" s="8"/>
      <c r="O170" s="8"/>
      <c r="P170" s="8"/>
      <c r="Q170" s="8"/>
      <c r="R170" s="8"/>
      <c r="S170" s="8"/>
      <c r="T170" s="8"/>
      <c r="U170" s="8"/>
      <c r="V170" s="8"/>
      <c r="W170" s="8"/>
      <c r="X170" s="8"/>
      <c r="Y170" s="8"/>
      <c r="Z170" s="8"/>
      <c r="AA170" s="8"/>
      <c r="AB170" s="8"/>
      <c r="AC170" s="8"/>
      <c r="AD170" s="8"/>
    </row>
    <row r="171" spans="1:30" ht="15">
      <c r="A171" s="58"/>
      <c r="B171" s="69">
        <v>141</v>
      </c>
      <c r="C171" s="43" t="s">
        <v>367</v>
      </c>
      <c r="D171" s="69">
        <v>11.52</v>
      </c>
      <c r="E171" s="43">
        <f t="shared" si="8"/>
        <v>0.85588577408879984</v>
      </c>
      <c r="F171" s="71">
        <f t="shared" si="6"/>
        <v>85.588577408879985</v>
      </c>
      <c r="G171" s="84">
        <f t="shared" si="7"/>
        <v>875.57114689284219</v>
      </c>
      <c r="H171" s="43"/>
      <c r="I171" s="8"/>
      <c r="J171" s="8"/>
      <c r="K171" s="8"/>
      <c r="L171" s="8"/>
      <c r="M171" s="8"/>
      <c r="N171" s="8"/>
      <c r="O171" s="8"/>
      <c r="P171" s="8"/>
      <c r="Q171" s="8"/>
      <c r="R171" s="8"/>
      <c r="S171" s="8"/>
      <c r="T171" s="8"/>
      <c r="U171" s="8"/>
      <c r="V171" s="8"/>
      <c r="W171" s="8"/>
      <c r="X171" s="8"/>
      <c r="Y171" s="8"/>
      <c r="Z171" s="8"/>
      <c r="AA171" s="8"/>
      <c r="AB171" s="8"/>
      <c r="AC171" s="8"/>
      <c r="AD171" s="8"/>
    </row>
    <row r="172" spans="1:30" ht="15">
      <c r="A172" s="58"/>
      <c r="B172" s="69">
        <v>142</v>
      </c>
      <c r="C172" s="43" t="s">
        <v>368</v>
      </c>
      <c r="D172" s="69">
        <v>12.346830288417999</v>
      </c>
      <c r="E172" s="43">
        <f t="shared" si="8"/>
        <v>0.86360503224255902</v>
      </c>
      <c r="F172" s="71">
        <f t="shared" si="6"/>
        <v>86.360503224255908</v>
      </c>
      <c r="G172" s="84">
        <f t="shared" si="7"/>
        <v>883.46794798413794</v>
      </c>
      <c r="H172" s="43"/>
      <c r="I172" s="8"/>
      <c r="J172" s="8"/>
      <c r="K172" s="8"/>
      <c r="L172" s="8"/>
      <c r="M172" s="8"/>
      <c r="N172" s="8"/>
      <c r="O172" s="8"/>
      <c r="P172" s="8"/>
      <c r="Q172" s="8"/>
      <c r="R172" s="8"/>
      <c r="S172" s="8"/>
      <c r="T172" s="8"/>
      <c r="U172" s="8"/>
      <c r="V172" s="8"/>
      <c r="W172" s="8"/>
      <c r="X172" s="8"/>
      <c r="Y172" s="8"/>
      <c r="Z172" s="8"/>
      <c r="AA172" s="8"/>
      <c r="AB172" s="8"/>
      <c r="AC172" s="8"/>
      <c r="AD172" s="8"/>
    </row>
    <row r="173" spans="1:30" ht="15">
      <c r="A173" s="58"/>
      <c r="B173" s="69">
        <v>143</v>
      </c>
      <c r="C173" s="43" t="s">
        <v>369</v>
      </c>
      <c r="D173" s="69">
        <v>13.233005049565801</v>
      </c>
      <c r="E173" s="43">
        <f t="shared" si="8"/>
        <v>0.87132476331655351</v>
      </c>
      <c r="F173" s="71">
        <f t="shared" si="6"/>
        <v>87.132476331655354</v>
      </c>
      <c r="G173" s="84">
        <f t="shared" si="7"/>
        <v>891.36523287283421</v>
      </c>
      <c r="H173" s="43"/>
      <c r="I173" s="8"/>
      <c r="J173" s="8"/>
      <c r="K173" s="8"/>
      <c r="L173" s="8"/>
      <c r="M173" s="8"/>
      <c r="N173" s="8"/>
      <c r="O173" s="8"/>
      <c r="P173" s="8"/>
      <c r="Q173" s="8"/>
      <c r="R173" s="8"/>
      <c r="S173" s="8"/>
      <c r="T173" s="8"/>
      <c r="U173" s="8"/>
      <c r="V173" s="8"/>
      <c r="W173" s="8"/>
      <c r="X173" s="8"/>
      <c r="Y173" s="8"/>
      <c r="Z173" s="8"/>
      <c r="AA173" s="8"/>
      <c r="AB173" s="8"/>
      <c r="AC173" s="8"/>
      <c r="AD173" s="8"/>
    </row>
    <row r="174" spans="1:30" ht="15">
      <c r="A174" s="58"/>
      <c r="B174" s="69">
        <v>144</v>
      </c>
      <c r="C174" s="43" t="s">
        <v>370</v>
      </c>
      <c r="D174" s="69">
        <v>14.182783641733399</v>
      </c>
      <c r="E174" s="43">
        <f t="shared" si="8"/>
        <v>0.87904493569300812</v>
      </c>
      <c r="F174" s="71">
        <f t="shared" si="6"/>
        <v>87.904493569300811</v>
      </c>
      <c r="G174" s="84">
        <f t="shared" si="7"/>
        <v>899.26296921394726</v>
      </c>
      <c r="H174" s="43"/>
      <c r="I174" s="8"/>
      <c r="J174" s="8"/>
      <c r="K174" s="8"/>
      <c r="L174" s="8"/>
      <c r="M174" s="8"/>
      <c r="N174" s="8"/>
      <c r="O174" s="8"/>
      <c r="P174" s="8"/>
      <c r="Q174" s="8"/>
      <c r="R174" s="8"/>
      <c r="S174" s="8"/>
      <c r="T174" s="8"/>
      <c r="U174" s="8"/>
      <c r="V174" s="8"/>
      <c r="W174" s="8"/>
      <c r="X174" s="8"/>
      <c r="Y174" s="8"/>
      <c r="Z174" s="8"/>
      <c r="AA174" s="8"/>
      <c r="AB174" s="8"/>
      <c r="AC174" s="8"/>
      <c r="AD174" s="8"/>
    </row>
    <row r="175" spans="1:30" ht="15">
      <c r="A175" s="58"/>
      <c r="B175" s="69">
        <v>145</v>
      </c>
      <c r="C175" s="43" t="s">
        <v>371</v>
      </c>
      <c r="D175" s="69">
        <v>15.2007311321037</v>
      </c>
      <c r="E175" s="43">
        <f t="shared" si="8"/>
        <v>0.88676551986473751</v>
      </c>
      <c r="F175" s="71">
        <f t="shared" si="6"/>
        <v>88.676551986473754</v>
      </c>
      <c r="G175" s="84">
        <f t="shared" si="7"/>
        <v>907.16112682162645</v>
      </c>
      <c r="H175" s="43"/>
      <c r="I175" s="8"/>
      <c r="J175" s="8"/>
      <c r="K175" s="8"/>
      <c r="L175" s="8"/>
      <c r="M175" s="8"/>
      <c r="N175" s="8"/>
      <c r="O175" s="8"/>
      <c r="P175" s="8"/>
      <c r="Q175" s="8"/>
      <c r="R175" s="8"/>
      <c r="S175" s="8"/>
      <c r="T175" s="8"/>
      <c r="U175" s="8"/>
      <c r="V175" s="8"/>
      <c r="W175" s="8"/>
      <c r="X175" s="8"/>
      <c r="Y175" s="8"/>
      <c r="Z175" s="8"/>
      <c r="AA175" s="8"/>
      <c r="AB175" s="8"/>
      <c r="AC175" s="8"/>
      <c r="AD175" s="8"/>
    </row>
    <row r="176" spans="1:30" ht="15">
      <c r="A176" s="58"/>
      <c r="B176" s="69">
        <v>146</v>
      </c>
      <c r="C176" s="43" t="s">
        <v>372</v>
      </c>
      <c r="D176" s="69">
        <v>16.291740238538001</v>
      </c>
      <c r="E176" s="43">
        <f t="shared" si="8"/>
        <v>0.89448648829467836</v>
      </c>
      <c r="F176" s="71">
        <f t="shared" si="6"/>
        <v>89.448648829467842</v>
      </c>
      <c r="G176" s="84">
        <f t="shared" si="7"/>
        <v>915.05967752545598</v>
      </c>
      <c r="H176" s="43"/>
      <c r="I176" s="8"/>
      <c r="J176" s="8"/>
      <c r="K176" s="8"/>
      <c r="L176" s="8"/>
      <c r="M176" s="8"/>
      <c r="N176" s="8"/>
      <c r="O176" s="8"/>
      <c r="P176" s="8"/>
      <c r="Q176" s="8"/>
      <c r="R176" s="8"/>
      <c r="S176" s="8"/>
      <c r="T176" s="8"/>
      <c r="U176" s="8"/>
      <c r="V176" s="8"/>
      <c r="W176" s="8"/>
      <c r="X176" s="8"/>
      <c r="Y176" s="8"/>
      <c r="Z176" s="8"/>
      <c r="AA176" s="8"/>
      <c r="AB176" s="8"/>
      <c r="AC176" s="8"/>
      <c r="AD176" s="8"/>
    </row>
    <row r="177" spans="1:30" ht="15">
      <c r="A177" s="58"/>
      <c r="B177" s="69">
        <v>147</v>
      </c>
      <c r="C177" s="43" t="s">
        <v>373</v>
      </c>
      <c r="D177" s="69">
        <v>17.461054846199701</v>
      </c>
      <c r="E177" s="43">
        <f t="shared" si="8"/>
        <v>0.90220781528471594</v>
      </c>
      <c r="F177" s="71">
        <f t="shared" si="6"/>
        <v>90.220781528471591</v>
      </c>
      <c r="G177" s="84">
        <f t="shared" si="7"/>
        <v>922.95859503626446</v>
      </c>
      <c r="H177" s="43"/>
      <c r="I177" s="8"/>
      <c r="J177" s="8"/>
      <c r="K177" s="8"/>
      <c r="L177" s="8"/>
      <c r="M177" s="8"/>
      <c r="N177" s="8"/>
      <c r="O177" s="8"/>
      <c r="P177" s="8"/>
      <c r="Q177" s="8"/>
      <c r="R177" s="8"/>
      <c r="S177" s="8"/>
      <c r="T177" s="8"/>
      <c r="U177" s="8"/>
      <c r="V177" s="8"/>
      <c r="W177" s="8"/>
      <c r="X177" s="8"/>
      <c r="Y177" s="8"/>
      <c r="Z177" s="8"/>
      <c r="AA177" s="8"/>
      <c r="AB177" s="8"/>
      <c r="AC177" s="8"/>
      <c r="AD177" s="8"/>
    </row>
    <row r="178" spans="1:30" ht="15">
      <c r="A178" s="58"/>
      <c r="B178" s="69">
        <v>148</v>
      </c>
      <c r="C178" s="43" t="s">
        <v>374</v>
      </c>
      <c r="D178" s="69">
        <v>18.714295212047599</v>
      </c>
      <c r="E178" s="43">
        <f t="shared" si="8"/>
        <v>0.90992947685319947</v>
      </c>
      <c r="F178" s="71">
        <f t="shared" si="6"/>
        <v>90.992947685319947</v>
      </c>
      <c r="G178" s="84">
        <f t="shared" si="7"/>
        <v>930.85785482082304</v>
      </c>
      <c r="H178" s="43"/>
      <c r="I178" s="8"/>
      <c r="J178" s="8"/>
      <c r="K178" s="8"/>
      <c r="L178" s="8"/>
      <c r="M178" s="8"/>
      <c r="N178" s="8"/>
      <c r="O178" s="8"/>
      <c r="P178" s="8"/>
      <c r="Q178" s="8"/>
      <c r="R178" s="8"/>
      <c r="S178" s="8"/>
      <c r="T178" s="8"/>
      <c r="U178" s="8"/>
      <c r="V178" s="8"/>
      <c r="W178" s="8"/>
      <c r="X178" s="8"/>
      <c r="Y178" s="8"/>
      <c r="Z178" s="8"/>
      <c r="AA178" s="8"/>
      <c r="AB178" s="8"/>
      <c r="AC178" s="8"/>
      <c r="AD178" s="8"/>
    </row>
    <row r="179" spans="1:30" ht="15">
      <c r="A179" s="58"/>
      <c r="B179" s="69">
        <v>149</v>
      </c>
      <c r="C179" s="43" t="s">
        <v>375</v>
      </c>
      <c r="D179" s="69">
        <v>20.0574849783426</v>
      </c>
      <c r="E179" s="43">
        <f t="shared" si="8"/>
        <v>0.91765145062057019</v>
      </c>
      <c r="F179" s="71">
        <f t="shared" si="6"/>
        <v>91.765145062057016</v>
      </c>
      <c r="G179" s="84">
        <f t="shared" si="7"/>
        <v>938.75743398484326</v>
      </c>
      <c r="H179" s="43"/>
      <c r="I179" s="8"/>
      <c r="J179" s="8"/>
      <c r="K179" s="8"/>
      <c r="L179" s="8"/>
      <c r="M179" s="8"/>
      <c r="N179" s="8"/>
      <c r="O179" s="8"/>
      <c r="P179" s="8"/>
      <c r="Q179" s="8"/>
      <c r="R179" s="8"/>
      <c r="S179" s="8"/>
      <c r="T179" s="8"/>
      <c r="U179" s="8"/>
      <c r="V179" s="8"/>
      <c r="W179" s="8"/>
      <c r="X179" s="8"/>
      <c r="Y179" s="8"/>
      <c r="Z179" s="8"/>
      <c r="AA179" s="8"/>
      <c r="AB179" s="8"/>
      <c r="AC179" s="8"/>
      <c r="AD179" s="8"/>
    </row>
    <row r="180" spans="1:30" ht="15">
      <c r="A180" s="58"/>
      <c r="B180" s="69">
        <v>150</v>
      </c>
      <c r="C180" s="43" t="s">
        <v>376</v>
      </c>
      <c r="D180" s="69">
        <v>21.497080125008001</v>
      </c>
      <c r="E180" s="43">
        <f t="shared" si="8"/>
        <v>0.92537371570257931</v>
      </c>
      <c r="F180" s="71">
        <f t="shared" si="6"/>
        <v>92.537371570257932</v>
      </c>
      <c r="G180" s="84">
        <f t="shared" si="7"/>
        <v>946.65731116373865</v>
      </c>
      <c r="H180" s="43"/>
      <c r="I180" s="8"/>
      <c r="J180" s="8"/>
      <c r="K180" s="8"/>
      <c r="L180" s="8"/>
      <c r="M180" s="8"/>
      <c r="N180" s="8"/>
      <c r="O180" s="8"/>
      <c r="P180" s="8"/>
      <c r="Q180" s="8"/>
      <c r="R180" s="8"/>
      <c r="S180" s="8"/>
      <c r="T180" s="8"/>
      <c r="U180" s="8"/>
      <c r="V180" s="8"/>
      <c r="W180" s="8"/>
      <c r="X180" s="8"/>
      <c r="Y180" s="8"/>
      <c r="Z180" s="8"/>
      <c r="AA180" s="8"/>
      <c r="AB180" s="8"/>
      <c r="AC180" s="8"/>
      <c r="AD180" s="8"/>
    </row>
    <row r="181" spans="1:30" ht="15">
      <c r="A181" s="58"/>
      <c r="B181" s="69">
        <v>151</v>
      </c>
      <c r="C181" s="43" t="s">
        <v>377</v>
      </c>
      <c r="D181" s="69">
        <v>23.04</v>
      </c>
      <c r="E181" s="43">
        <f t="shared" si="8"/>
        <v>0.9330962526105866</v>
      </c>
      <c r="F181" s="71">
        <f t="shared" si="6"/>
        <v>93.309625261058656</v>
      </c>
      <c r="G181" s="84">
        <f t="shared" si="7"/>
        <v>954.55746642063013</v>
      </c>
      <c r="H181" s="43"/>
      <c r="I181" s="8"/>
      <c r="J181" s="8"/>
      <c r="K181" s="8"/>
      <c r="L181" s="8"/>
      <c r="M181" s="8"/>
      <c r="N181" s="8"/>
      <c r="O181" s="8"/>
      <c r="P181" s="8"/>
      <c r="Q181" s="8"/>
      <c r="R181" s="8"/>
      <c r="S181" s="8"/>
      <c r="T181" s="8"/>
      <c r="U181" s="8"/>
      <c r="V181" s="8"/>
      <c r="W181" s="8"/>
      <c r="X181" s="8"/>
      <c r="Y181" s="8"/>
      <c r="Z181" s="8"/>
      <c r="AA181" s="8"/>
      <c r="AB181" s="8"/>
      <c r="AC181" s="8"/>
      <c r="AD181" s="8"/>
    </row>
    <row r="182" spans="1:30" ht="15">
      <c r="A182" s="58"/>
      <c r="B182" s="69">
        <v>152</v>
      </c>
      <c r="C182" s="43" t="s">
        <v>378</v>
      </c>
      <c r="D182" s="69">
        <v>24.693660576836098</v>
      </c>
      <c r="E182" s="43">
        <f t="shared" si="8"/>
        <v>0.94081904315848219</v>
      </c>
      <c r="F182" s="71">
        <f t="shared" si="6"/>
        <v>94.08190431584822</v>
      </c>
      <c r="G182" s="84">
        <f t="shared" si="7"/>
        <v>962.45788115112725</v>
      </c>
      <c r="H182" s="43"/>
      <c r="I182" s="8"/>
      <c r="J182" s="8"/>
      <c r="K182" s="8"/>
      <c r="L182" s="8"/>
      <c r="M182" s="8"/>
      <c r="N182" s="8"/>
      <c r="O182" s="8"/>
      <c r="P182" s="8"/>
      <c r="Q182" s="8"/>
      <c r="R182" s="8"/>
      <c r="S182" s="8"/>
      <c r="T182" s="8"/>
      <c r="U182" s="8"/>
      <c r="V182" s="8"/>
      <c r="W182" s="8"/>
      <c r="X182" s="8"/>
      <c r="Y182" s="8"/>
      <c r="Z182" s="8"/>
      <c r="AA182" s="8"/>
      <c r="AB182" s="8"/>
      <c r="AC182" s="8"/>
      <c r="AD182" s="8"/>
    </row>
    <row r="183" spans="1:30" ht="15">
      <c r="A183" s="58"/>
      <c r="B183" s="69">
        <v>153</v>
      </c>
      <c r="C183" s="43" t="s">
        <v>379</v>
      </c>
      <c r="D183" s="69">
        <v>26.466010099131601</v>
      </c>
      <c r="E183" s="43">
        <f t="shared" si="8"/>
        <v>0.94854207037579408</v>
      </c>
      <c r="F183" s="71">
        <f t="shared" si="6"/>
        <v>94.854207037579414</v>
      </c>
      <c r="G183" s="84">
        <f t="shared" si="7"/>
        <v>970.35853799443737</v>
      </c>
      <c r="H183" s="43"/>
      <c r="I183" s="8"/>
      <c r="J183" s="8"/>
      <c r="K183" s="8"/>
      <c r="L183" s="8"/>
      <c r="M183" s="8"/>
      <c r="N183" s="8"/>
      <c r="O183" s="8"/>
      <c r="P183" s="8"/>
      <c r="Q183" s="8"/>
      <c r="R183" s="8"/>
      <c r="S183" s="8"/>
      <c r="T183" s="8"/>
      <c r="U183" s="8"/>
      <c r="V183" s="8"/>
      <c r="W183" s="8"/>
      <c r="X183" s="8"/>
      <c r="Y183" s="8"/>
      <c r="Z183" s="8"/>
      <c r="AA183" s="8"/>
      <c r="AB183" s="8"/>
      <c r="AC183" s="8"/>
      <c r="AD183" s="8"/>
    </row>
    <row r="184" spans="1:30" ht="15">
      <c r="A184" s="58"/>
      <c r="B184" s="69">
        <v>154</v>
      </c>
      <c r="C184" s="43" t="s">
        <v>380</v>
      </c>
      <c r="D184" s="69">
        <v>28.365567283466799</v>
      </c>
      <c r="E184" s="43">
        <f t="shared" si="8"/>
        <v>0.95626531842656559</v>
      </c>
      <c r="F184" s="71">
        <f t="shared" si="6"/>
        <v>95.626531842656561</v>
      </c>
      <c r="G184" s="84">
        <f t="shared" si="7"/>
        <v>978.25942075037665</v>
      </c>
      <c r="H184" s="43"/>
      <c r="I184" s="8"/>
      <c r="J184" s="8"/>
      <c r="K184" s="8"/>
      <c r="L184" s="8"/>
      <c r="M184" s="8"/>
      <c r="N184" s="8"/>
      <c r="O184" s="8"/>
      <c r="P184" s="8"/>
      <c r="Q184" s="8"/>
      <c r="R184" s="8"/>
      <c r="S184" s="8"/>
      <c r="T184" s="8"/>
      <c r="U184" s="8"/>
      <c r="V184" s="8"/>
      <c r="W184" s="8"/>
      <c r="X184" s="8"/>
      <c r="Y184" s="8"/>
      <c r="Z184" s="8"/>
      <c r="AA184" s="8"/>
      <c r="AB184" s="8"/>
      <c r="AC184" s="8"/>
      <c r="AD184" s="8"/>
    </row>
    <row r="185" spans="1:30" ht="15">
      <c r="A185" s="58"/>
      <c r="B185" s="69">
        <v>155</v>
      </c>
      <c r="C185" s="43" t="s">
        <v>381</v>
      </c>
      <c r="D185" s="69">
        <v>30.401462264207399</v>
      </c>
      <c r="E185" s="43">
        <f t="shared" si="8"/>
        <v>0.96398877253363446</v>
      </c>
      <c r="F185" s="71">
        <f t="shared" si="6"/>
        <v>96.398877253363452</v>
      </c>
      <c r="G185" s="84">
        <f t="shared" si="7"/>
        <v>986.16051430190805</v>
      </c>
      <c r="H185" s="43"/>
      <c r="I185" s="8"/>
      <c r="J185" s="8"/>
      <c r="K185" s="8"/>
      <c r="L185" s="8"/>
      <c r="M185" s="8"/>
      <c r="N185" s="8"/>
      <c r="O185" s="8"/>
      <c r="P185" s="8"/>
      <c r="Q185" s="8"/>
      <c r="R185" s="8"/>
      <c r="S185" s="8"/>
      <c r="T185" s="8"/>
      <c r="U185" s="8"/>
      <c r="V185" s="8"/>
      <c r="W185" s="8"/>
      <c r="X185" s="8"/>
      <c r="Y185" s="8"/>
      <c r="Z185" s="8"/>
      <c r="AA185" s="8"/>
      <c r="AB185" s="8"/>
      <c r="AC185" s="8"/>
      <c r="AD185" s="8"/>
    </row>
    <row r="186" spans="1:30" ht="15">
      <c r="A186" s="58"/>
      <c r="B186" s="69">
        <v>156</v>
      </c>
      <c r="C186" s="43" t="s">
        <v>382</v>
      </c>
      <c r="D186" s="69">
        <v>32.583480477076101</v>
      </c>
      <c r="E186" s="43">
        <f t="shared" si="8"/>
        <v>0.97171241890794668</v>
      </c>
      <c r="F186" s="71">
        <f t="shared" si="6"/>
        <v>97.171241890794676</v>
      </c>
      <c r="G186" s="84">
        <f t="shared" si="7"/>
        <v>994.06180454282946</v>
      </c>
      <c r="H186" s="43"/>
      <c r="I186" s="8"/>
      <c r="J186" s="8"/>
      <c r="K186" s="8"/>
      <c r="L186" s="8"/>
      <c r="M186" s="8"/>
      <c r="N186" s="8"/>
      <c r="O186" s="8"/>
      <c r="P186" s="8"/>
      <c r="Q186" s="8"/>
      <c r="R186" s="8"/>
      <c r="S186" s="8"/>
      <c r="T186" s="8"/>
      <c r="U186" s="8"/>
      <c r="V186" s="8"/>
      <c r="W186" s="8"/>
      <c r="X186" s="8"/>
      <c r="Y186" s="8"/>
      <c r="Z186" s="8"/>
      <c r="AA186" s="8"/>
      <c r="AB186" s="8"/>
      <c r="AC186" s="8"/>
      <c r="AD186" s="8"/>
    </row>
    <row r="187" spans="1:30" ht="15">
      <c r="A187" s="58"/>
      <c r="B187" s="69">
        <v>157</v>
      </c>
      <c r="C187" s="43" t="s">
        <v>383</v>
      </c>
      <c r="D187" s="69">
        <v>34.922109692399502</v>
      </c>
      <c r="E187" s="43">
        <f t="shared" si="8"/>
        <v>0.97943624468257551</v>
      </c>
      <c r="F187" s="71">
        <f t="shared" si="6"/>
        <v>97.943624468257553</v>
      </c>
      <c r="G187" s="84">
        <f t="shared" si="7"/>
        <v>1001.9632783102747</v>
      </c>
      <c r="H187" s="43"/>
      <c r="I187" s="8"/>
      <c r="J187" s="8"/>
      <c r="K187" s="8"/>
      <c r="L187" s="8"/>
      <c r="M187" s="8"/>
      <c r="N187" s="8"/>
      <c r="O187" s="8"/>
      <c r="P187" s="8"/>
      <c r="Q187" s="8"/>
      <c r="R187" s="8"/>
      <c r="S187" s="8"/>
      <c r="T187" s="8"/>
      <c r="U187" s="8"/>
      <c r="V187" s="8"/>
      <c r="W187" s="8"/>
      <c r="X187" s="8"/>
      <c r="Y187" s="8"/>
      <c r="Z187" s="8"/>
      <c r="AA187" s="8"/>
      <c r="AB187" s="8"/>
      <c r="AC187" s="8"/>
      <c r="AD187" s="8"/>
    </row>
    <row r="188" spans="1:30" ht="15">
      <c r="A188" s="58"/>
      <c r="B188" s="69">
        <v>158</v>
      </c>
      <c r="C188" s="43" t="s">
        <v>384</v>
      </c>
      <c r="D188" s="69">
        <v>37.428590424095297</v>
      </c>
      <c r="E188" s="43">
        <f t="shared" si="8"/>
        <v>0.98716023785113793</v>
      </c>
      <c r="F188" s="71">
        <f t="shared" si="6"/>
        <v>98.716023785113791</v>
      </c>
      <c r="G188" s="84">
        <f t="shared" si="7"/>
        <v>1009.8649233217141</v>
      </c>
      <c r="H188" s="43"/>
      <c r="I188" s="8"/>
      <c r="J188" s="8"/>
      <c r="K188" s="8"/>
      <c r="L188" s="8"/>
      <c r="M188" s="8"/>
      <c r="N188" s="8"/>
      <c r="O188" s="8"/>
      <c r="P188" s="8"/>
      <c r="Q188" s="8"/>
      <c r="R188" s="8"/>
      <c r="S188" s="8"/>
      <c r="T188" s="8"/>
      <c r="U188" s="8"/>
      <c r="V188" s="8"/>
      <c r="W188" s="8"/>
      <c r="X188" s="8"/>
      <c r="Y188" s="8"/>
      <c r="Z188" s="8"/>
      <c r="AA188" s="8"/>
      <c r="AB188" s="8"/>
      <c r="AC188" s="8"/>
      <c r="AD188" s="8"/>
    </row>
    <row r="189" spans="1:30" ht="15">
      <c r="A189" s="58"/>
      <c r="B189" s="69">
        <v>159</v>
      </c>
      <c r="C189" s="43" t="s">
        <v>385</v>
      </c>
      <c r="D189" s="69">
        <v>40.1149699566853</v>
      </c>
      <c r="E189" s="43">
        <f t="shared" si="8"/>
        <v>0.99488438721030814</v>
      </c>
      <c r="F189" s="71">
        <f t="shared" si="6"/>
        <v>99.488438721030818</v>
      </c>
      <c r="G189" s="84">
        <f t="shared" si="7"/>
        <v>1017.7667281161453</v>
      </c>
      <c r="H189" s="43" t="s">
        <v>737</v>
      </c>
      <c r="I189" s="8"/>
      <c r="J189" s="8"/>
      <c r="K189" s="8"/>
      <c r="L189" s="8"/>
      <c r="M189" s="8"/>
      <c r="N189" s="8"/>
      <c r="O189" s="8"/>
      <c r="P189" s="8"/>
      <c r="Q189" s="8"/>
      <c r="R189" s="8"/>
      <c r="S189" s="8"/>
      <c r="T189" s="8"/>
      <c r="U189" s="8"/>
      <c r="V189" s="8"/>
      <c r="W189" s="8"/>
      <c r="X189" s="8"/>
      <c r="Y189" s="8"/>
      <c r="Z189" s="8"/>
      <c r="AA189" s="8"/>
      <c r="AB189" s="8"/>
      <c r="AC189" s="8"/>
      <c r="AD189" s="8"/>
    </row>
    <row r="190" spans="1:30" ht="15">
      <c r="A190" s="58"/>
      <c r="B190" s="69">
        <v>160</v>
      </c>
      <c r="C190" s="43" t="s">
        <v>386</v>
      </c>
      <c r="D190" s="69">
        <v>42.994160250016002</v>
      </c>
      <c r="E190" s="43">
        <f t="shared" si="8"/>
        <v>1.0026086823061677</v>
      </c>
      <c r="F190" s="71">
        <f t="shared" si="6"/>
        <v>100.26086823061678</v>
      </c>
      <c r="G190" s="84">
        <f t="shared" si="7"/>
        <v>1025.6686819992096</v>
      </c>
      <c r="H190" s="43"/>
      <c r="I190" s="8"/>
      <c r="J190" s="8"/>
      <c r="K190" s="8"/>
      <c r="L190" s="8"/>
      <c r="M190" s="8"/>
      <c r="N190" s="8"/>
      <c r="O190" s="8"/>
      <c r="P190" s="8"/>
      <c r="Q190" s="8"/>
      <c r="R190" s="8"/>
      <c r="S190" s="8"/>
      <c r="T190" s="8"/>
      <c r="U190" s="8"/>
      <c r="V190" s="8"/>
      <c r="W190" s="8"/>
      <c r="X190" s="8"/>
      <c r="Y190" s="8"/>
      <c r="Z190" s="8"/>
      <c r="AA190" s="8"/>
      <c r="AB190" s="8"/>
      <c r="AC190" s="8"/>
      <c r="AD190" s="8"/>
    </row>
    <row r="191" spans="1:30" ht="15">
      <c r="A191" s="58"/>
      <c r="B191" s="69">
        <v>161</v>
      </c>
      <c r="C191" s="43" t="s">
        <v>387</v>
      </c>
      <c r="D191" s="69">
        <v>46.08</v>
      </c>
      <c r="E191" s="43">
        <f t="shared" si="8"/>
        <v>1.010333113384128</v>
      </c>
      <c r="F191" s="71">
        <f t="shared" si="6"/>
        <v>101.0333113384128</v>
      </c>
      <c r="G191" s="84">
        <f t="shared" si="7"/>
        <v>1033.5707749919629</v>
      </c>
      <c r="H191" s="43"/>
      <c r="I191" s="8"/>
      <c r="J191" s="8"/>
      <c r="K191" s="8"/>
      <c r="L191" s="8"/>
      <c r="M191" s="8"/>
      <c r="N191" s="8"/>
      <c r="O191" s="8"/>
      <c r="P191" s="8"/>
      <c r="Q191" s="8"/>
      <c r="R191" s="8"/>
      <c r="S191" s="8"/>
      <c r="T191" s="8"/>
      <c r="U191" s="8"/>
      <c r="V191" s="8"/>
      <c r="W191" s="8"/>
      <c r="X191" s="8"/>
      <c r="Y191" s="8"/>
      <c r="Z191" s="8"/>
      <c r="AA191" s="8"/>
      <c r="AB191" s="8"/>
      <c r="AC191" s="8"/>
      <c r="AD191" s="8"/>
    </row>
    <row r="192" spans="1:30"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row>
    <row r="193" spans="1:30"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spans="1:30"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spans="1:30"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spans="1:30"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spans="1:30"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spans="1:30"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spans="1:30"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spans="1:30"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spans="1:30"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spans="1:30"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spans="1:30"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spans="1:30"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spans="1:30"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spans="1:30"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spans="1:30"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spans="1:30"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spans="1:30"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spans="1:30"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spans="1:30"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spans="1:30"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spans="1:30"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spans="1:30"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spans="1:30"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spans="1:30"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spans="1:30"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spans="1:30"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spans="1:30"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spans="1:30"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spans="1:30"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spans="1:30"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spans="1:30"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spans="1:30"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spans="1:30"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spans="1:30"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spans="1:30"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spans="1:30"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spans="1:30"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spans="1:30"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spans="1:30"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spans="1:30"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spans="1:30"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spans="1:30"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spans="1:30"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spans="1:30"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spans="1:30"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spans="1:30"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spans="1:30"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spans="1:30"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spans="1:30"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spans="1:30"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spans="1:30"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spans="1:30"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spans="1:30"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spans="1:30"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spans="1:30"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spans="1:30"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spans="1:30"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spans="1:30"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spans="1:30"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spans="1:30"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spans="1:30"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spans="1:30"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spans="1:30"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spans="1:30"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spans="1:30"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spans="1:30"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spans="1:30"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spans="1:30"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spans="1:30"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spans="1:30"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spans="1:30"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spans="1:30"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spans="1:30"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spans="1:30"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spans="1:30"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spans="1:30"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spans="1:30"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spans="1:30"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spans="1:30"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spans="1:30"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spans="1:30"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spans="1:30"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spans="1:30"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spans="1:30"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spans="1:30"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spans="1:30"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spans="1:30"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spans="1:30"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spans="1:30"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spans="1:30"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spans="1:30"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spans="1:30"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spans="1:30"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spans="1:30"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spans="1:30"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spans="1:30"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spans="1:30"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spans="1:30"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spans="1:30"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spans="1:30"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spans="1:30"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spans="1:30"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spans="1:30"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spans="1:30"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spans="1:30"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spans="1:30"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spans="1:30"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spans="1:30"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spans="1:30"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spans="1:30"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spans="1:30"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spans="1:30"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spans="1:30"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spans="1:30"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spans="1:30"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spans="1:30"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spans="1:30"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spans="1:30"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spans="1:30"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spans="1:30"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spans="1:30"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spans="1:30"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spans="1:30"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spans="1:30"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spans="1:30"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spans="1:30"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spans="1:30"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spans="1:30"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spans="1:30"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spans="1:30"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spans="1:30"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spans="1:30"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spans="1:30"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spans="1:30"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spans="1:30"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spans="1:30"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spans="1:30"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spans="1:30"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spans="1:30"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spans="1:30"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spans="1:30"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spans="1:30"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spans="1:30"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spans="1:30"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spans="1:30"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spans="1:30"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spans="1:30"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spans="1:30"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spans="1:30"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spans="1:30"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spans="1:30"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spans="1:30"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spans="1:30"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spans="1:30"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spans="1:30"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spans="1:30"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spans="1:30"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spans="1:30"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spans="1:30"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spans="1:30"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spans="1:30"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spans="1:30"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spans="1:30"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spans="1:30"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spans="1:30"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spans="1:30"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spans="1:30"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spans="1:30"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spans="1:30"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spans="1:30"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spans="1:30"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spans="1:30"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spans="1:30"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spans="1:30"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spans="1:30"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spans="1:30"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spans="1:30"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spans="1:30"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spans="1:30"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spans="1:30"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spans="1:30"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spans="1:30"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spans="1:30"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spans="1:30"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spans="1:30"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spans="1:30"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spans="1:30"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spans="1:30"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spans="1:30"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spans="1:30"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spans="1:30"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spans="1:30"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spans="1:30"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spans="1:30"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spans="1:30"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spans="1:30"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spans="1:30"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spans="1:30"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spans="1:30"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spans="1:30"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spans="1:30"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spans="1:30"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spans="1:30"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spans="1:30"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spans="1:30"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spans="1:30"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spans="1:30"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spans="1:30"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spans="1:30"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spans="1:30"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spans="1:30"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spans="1:30"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spans="1:30"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spans="1:30"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spans="1:30"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spans="1:30"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spans="1:30"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spans="1:30"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spans="1:30"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spans="1:30"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spans="1:30"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spans="1:30"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spans="1:30"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spans="1:30"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spans="1:30"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spans="1:30"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spans="1:30"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spans="1:30"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spans="1:30"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spans="1:30"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spans="1:30"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spans="1:30"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spans="1:30"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spans="1:30"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spans="1:30"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spans="1:30"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spans="1:30"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spans="1:30"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spans="1:30"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spans="1:30"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spans="1:30"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spans="1:30"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spans="1:30"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spans="1:30"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spans="1:30"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spans="1:30"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spans="1:30"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spans="1:30"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spans="1:30"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spans="1:30"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spans="1:30"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spans="1:30"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spans="1:30"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spans="1:30"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spans="1:30"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spans="1:30"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spans="1:30"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spans="1:30"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spans="1:30"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spans="1:30"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spans="1:30"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spans="1:30"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spans="1:30"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spans="1:30"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spans="1:30"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spans="1:30"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spans="1:30"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spans="1:30"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spans="1:30"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spans="1:30"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spans="1:30"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spans="1:30"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spans="1:30"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spans="1:30"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spans="1:30"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spans="1:30"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spans="1:30"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spans="1:30"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spans="1:30"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spans="1:30"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spans="1:30"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spans="1:30"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spans="1:30"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spans="1:30"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spans="1:30"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spans="1:30"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spans="1:30"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spans="1:30"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spans="1:30"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spans="1:30"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spans="1:30"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spans="1:30"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spans="1:30"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spans="1:30"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spans="1:30"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spans="1:30"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spans="1:30"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spans="1:30"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spans="1:30"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spans="1:30"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spans="1:30"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spans="1:30"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spans="1:30"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spans="1:30"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spans="1:30"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spans="1:30"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spans="1:30"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spans="1:30"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spans="1:30"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spans="1:30"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spans="1:30"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spans="1:30"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spans="1:30"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spans="1:30"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spans="1:30"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spans="1:30"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spans="1:30"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spans="1:30"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spans="1:30"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spans="1:30"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spans="1:30"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spans="1:30"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spans="1:30"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spans="1:30"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spans="1:30"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spans="1:30"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spans="1:30"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spans="1:30"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spans="1:30"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spans="1:30"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spans="1:30"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spans="1:30"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spans="1:30"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spans="1:30"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spans="1:30"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spans="1:30"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spans="1:30"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spans="1:30"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spans="1:30"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spans="1:30"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spans="1:30"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spans="1:30"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spans="1:30"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spans="1:30"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spans="1:30"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spans="1:30"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spans="1:30"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spans="1:30"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spans="1:30"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spans="1:30"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spans="1:30"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spans="1:30"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spans="1:30"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spans="1:30"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spans="1:30"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spans="1:30"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spans="1:30"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spans="1:30"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spans="1:30"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spans="1:30"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spans="1:30"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spans="1:30"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spans="1:30"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spans="1:30"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spans="1:30"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spans="1:30"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spans="1:30"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spans="1:30"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spans="1:30"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spans="1:30"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spans="1:30"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spans="1:30"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spans="1:30"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spans="1:30"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spans="1:30"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spans="1:30"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spans="1:30"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spans="1:30"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spans="1:30"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spans="1:30"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spans="1:30"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spans="1:30"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spans="1:30"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spans="1:30"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spans="1:30"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spans="1:30"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spans="1:30"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spans="1:30"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spans="1:30"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spans="1:30"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spans="1:30"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spans="1:30"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spans="1:30"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spans="1:30"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spans="1:30"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spans="1:30"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spans="1:30"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spans="1:30"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spans="1:30"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spans="1:30"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spans="1:30"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spans="1:30"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spans="1:30"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spans="1:30"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spans="1:30"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spans="1:30"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spans="1:30"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spans="1:30"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spans="1:30"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spans="1:30"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spans="1:30"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spans="1:30"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spans="1:30"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spans="1:30"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spans="1:30"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spans="1:30"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spans="1:30"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spans="1:30"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spans="1:30"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spans="1:30"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spans="1:30"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spans="1:30"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spans="1:30"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spans="1:30"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spans="1:30"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spans="1:30"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spans="1:30"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spans="1:30"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spans="1:30"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spans="1:30"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spans="1:30"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spans="1:30"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spans="1:30"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spans="1:30"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spans="1:30"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spans="1:30"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spans="1:30"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spans="1:30"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spans="1:30"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spans="1:30"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spans="1:30"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spans="1:30"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spans="1:30"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spans="1:30"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spans="1:30"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spans="1:30"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spans="1:30"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spans="1:30"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spans="1:30"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spans="1:30"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spans="1:30"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spans="1:30"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spans="1:30"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spans="1:30"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spans="1:30"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spans="1:30"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spans="1:30"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spans="1:30"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spans="1:30"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spans="1:30"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spans="1:30"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spans="1:30"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spans="1:30"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spans="1:30"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spans="1:30"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spans="1:30"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spans="1:30"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spans="1:30"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spans="1:30"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spans="1:30"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spans="1:30"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spans="1:30"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spans="1:30"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spans="1:30"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spans="1:30"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spans="1:30"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spans="1:30"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spans="1:30"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spans="1:30"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spans="1:30"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spans="1:30"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spans="1:30"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spans="1:30"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spans="1:30"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spans="1:30"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spans="1:30"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spans="1:30"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spans="1:30"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spans="1:30"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spans="1:30"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spans="1:30"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spans="1:30"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spans="1:30"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spans="1:30"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spans="1:30"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spans="1:30"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spans="1:30"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spans="1:30"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spans="1:30"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spans="1:30"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spans="1:30"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spans="1:30"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spans="1:30"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spans="1:30"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spans="1:30"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spans="1:30"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spans="1:30"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spans="1:30"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spans="1:30"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spans="1:30"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spans="1:30"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spans="1:30"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spans="1:30"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spans="1:30"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spans="1:30"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spans="1:30"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spans="1:30"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spans="1:30"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spans="1:30"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spans="1:30"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spans="1:30"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spans="1:30"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spans="1:30"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spans="1:30"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spans="1:30"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spans="1:30"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spans="1:30"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spans="1:30"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spans="1:30"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spans="1:30"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spans="1:30"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spans="1:30"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spans="1:30"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spans="1:30"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spans="1:30"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spans="1:30"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spans="1:30"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spans="1:30"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spans="1:30"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spans="1:30"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spans="1:30"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spans="1:30"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spans="1:30"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spans="1:30"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spans="1:30"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spans="1:30"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spans="1:30"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spans="1:30"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spans="1:30"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spans="1:30"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spans="1:30"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spans="1:30"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spans="1:30"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spans="1:30"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spans="1:30"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spans="1:30"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spans="1:30"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spans="1:30"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spans="1:30"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spans="1:30"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spans="1:30"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spans="1:30"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spans="1:30"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spans="1:30"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spans="1:30"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spans="1:30"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spans="1:30"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spans="1:30"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spans="1:30"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spans="1:30"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spans="1:30"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spans="1:30"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spans="1:30"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spans="1:30"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spans="1:30"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spans="1:30"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spans="1:30"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spans="1:30"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spans="1:30"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spans="1:30"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spans="1:30"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spans="1:30"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spans="1:30"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spans="1:30"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spans="1:30"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spans="1:30"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spans="1:30"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spans="1:30"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spans="1:30"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spans="1:30"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spans="1:30"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spans="1:30"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spans="1:30"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spans="1:30"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spans="1:30"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spans="1:30"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spans="1:30"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spans="1:30"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spans="1:30"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spans="1:30"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spans="1:30"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spans="1:30"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spans="1:30"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spans="1:30"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spans="1:30"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spans="1:30"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spans="1:30"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spans="1:30"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spans="1:30"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spans="1:30"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spans="1:30"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spans="1:30"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spans="1:30"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spans="1:30"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spans="1:30"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spans="1:30"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spans="1:30"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spans="1:30"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spans="1:30"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spans="1:30"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spans="1:30"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spans="1:30"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spans="1:30"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spans="1:30"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spans="1:30"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spans="1:30"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spans="1:30"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spans="1:30"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spans="1:30"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spans="1:30"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spans="1:30"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spans="1:30"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spans="1:30"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spans="1:30"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spans="1:30"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spans="1:30"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spans="1:30"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spans="1:30"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spans="1:30"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spans="1:30"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spans="1:30"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spans="1:30"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spans="1:30"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spans="1:30"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spans="1:30"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spans="1:30"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spans="1:30"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spans="1:30"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spans="1:30"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spans="1:30"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spans="1:30"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spans="1:30"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spans="1:30"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spans="1:30"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spans="1:30"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spans="1:30"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spans="1:30"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spans="1:30"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spans="1:30"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spans="1:30"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spans="1:30"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spans="1:30"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spans="1:30"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spans="1:30"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spans="1:30"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spans="1:30"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spans="1:30"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spans="1:30"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spans="1:30"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spans="1:30"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spans="1:30"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spans="1:30"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spans="1:30"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spans="1:30"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spans="1:30"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spans="1:30"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spans="1:30"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spans="1:30"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spans="1:30"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spans="1:30"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spans="1:30"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spans="1:30"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spans="1:30"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spans="1:30"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spans="1:30"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spans="1:30"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spans="1:30"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spans="1:30"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spans="1:30"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spans="1:30"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spans="1:30"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spans="1:30"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spans="1:30"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spans="1:30"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spans="1:30"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spans="1:30"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spans="1:30"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spans="1:30"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spans="1:30"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spans="1:30"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spans="1:30"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spans="1:30"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spans="1:30"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spans="1:30"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spans="1:30"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spans="1:30"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spans="1:30"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spans="1:30"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spans="1:30"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spans="1:30"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spans="1:30"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spans="1:30"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spans="1:30"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spans="1:30"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spans="1:30"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spans="1:30"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spans="1:30"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spans="1:30"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spans="1:30"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spans="1:30"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spans="1:30"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spans="1:30"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spans="1:30"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spans="1:30"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spans="1:30"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spans="1:30"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spans="1:30"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spans="1:30"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spans="1:30"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spans="1:30"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spans="1:30"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spans="1:30"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spans="1:30"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spans="1:30"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spans="1:30"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spans="1:30"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spans="1:30"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spans="1:30"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spans="1:30"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spans="1:30"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spans="1:30"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spans="1:30"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spans="1:30"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spans="1:30"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spans="1:30"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spans="1:30"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spans="1:30"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spans="1:30"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spans="1:30"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spans="1:30"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spans="1:30"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spans="1:30"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spans="1:30"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spans="1:30"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spans="1:30"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spans="1:30"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spans="1:30"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spans="1:30"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spans="1:30"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spans="1:30"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spans="1:30"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spans="1:30"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spans="1:30"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spans="1:30"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spans="1:30"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spans="1:30"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spans="1:30"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spans="1:30"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spans="1:30"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spans="1:30"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spans="1:30"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spans="1:30"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spans="1:30"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spans="1:30"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spans="1:30"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spans="1:30"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spans="1:30"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spans="1:30"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spans="1:30"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spans="1:30"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spans="1:30"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spans="1:30"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spans="1:30"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spans="1:30"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spans="1:30"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spans="1:30"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spans="1:30"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spans="1:30"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spans="1:30"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spans="1:30"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spans="1:30"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spans="1:30"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spans="1:30"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spans="1:30"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spans="1:30"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spans="1:30"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spans="1:30"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spans="1:30"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spans="1:30"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spans="1:30"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spans="1:30"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spans="1:30"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spans="1:30"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spans="1:30"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spans="1:30"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spans="1:30"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spans="1:30"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spans="1:30"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spans="1:30"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row r="1002" spans="1:30"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c r="AD1002" s="8"/>
    </row>
    <row r="1003" spans="1:30"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c r="AD1003" s="8"/>
    </row>
    <row r="1004" spans="1:30" ht="13">
      <c r="A1004" s="8"/>
      <c r="B1004" s="8"/>
      <c r="C1004" s="8"/>
      <c r="D1004" s="8"/>
      <c r="E1004" s="8"/>
      <c r="F1004" s="8"/>
      <c r="G1004" s="8"/>
      <c r="H1004" s="8"/>
      <c r="I1004" s="8"/>
      <c r="J1004" s="8"/>
      <c r="Q1004" s="8"/>
      <c r="R1004" s="8"/>
      <c r="S1004" s="8"/>
      <c r="T1004" s="8"/>
      <c r="U1004" s="8"/>
      <c r="V1004" s="8"/>
      <c r="W1004" s="8"/>
      <c r="X1004" s="8"/>
      <c r="Y1004" s="8"/>
      <c r="Z1004" s="8"/>
      <c r="AA1004" s="8"/>
      <c r="AB1004" s="8"/>
      <c r="AC1004" s="8"/>
      <c r="AD1004" s="8"/>
    </row>
  </sheetData>
  <mergeCells count="2">
    <mergeCell ref="D2:G2"/>
    <mergeCell ref="D29:G2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C1004"/>
  <sheetViews>
    <sheetView topLeftCell="A63" workbookViewId="0"/>
  </sheetViews>
  <sheetFormatPr baseColWidth="10" defaultColWidth="12.6640625" defaultRowHeight="15.75" customHeight="1"/>
  <cols>
    <col min="1" max="1" width="12.1640625" customWidth="1"/>
    <col min="2" max="2" width="3.6640625" customWidth="1"/>
    <col min="3" max="3" width="12.83203125" customWidth="1"/>
    <col min="5" max="5" width="13.5" customWidth="1"/>
    <col min="6" max="6" width="7.83203125" customWidth="1"/>
    <col min="7" max="7" width="10.1640625" customWidth="1"/>
    <col min="8" max="8" width="59.5" customWidth="1"/>
    <col min="9" max="9" width="5.5" customWidth="1"/>
    <col min="11" max="11" width="2.1640625" customWidth="1"/>
    <col min="12" max="12" width="32.83203125" customWidth="1"/>
  </cols>
  <sheetData>
    <row r="1" spans="1:29" ht="13">
      <c r="A1" s="8"/>
      <c r="B1" s="9"/>
      <c r="C1" s="9"/>
      <c r="D1" s="9"/>
      <c r="E1" s="9"/>
      <c r="F1" s="9"/>
      <c r="G1" s="9"/>
      <c r="H1" s="9"/>
      <c r="I1" s="8"/>
      <c r="J1" s="8"/>
      <c r="K1" s="8"/>
      <c r="L1" s="8"/>
      <c r="M1" s="8"/>
      <c r="N1" s="8"/>
      <c r="O1" s="8"/>
      <c r="P1" s="8"/>
      <c r="Q1" s="8"/>
      <c r="R1" s="8"/>
      <c r="S1" s="8"/>
      <c r="T1" s="8"/>
      <c r="U1" s="8"/>
      <c r="V1" s="8"/>
      <c r="W1" s="8"/>
      <c r="X1" s="8"/>
      <c r="Y1" s="8"/>
      <c r="Z1" s="8"/>
      <c r="AA1" s="8"/>
      <c r="AB1" s="8"/>
      <c r="AC1" s="8"/>
    </row>
    <row r="2" spans="1:29" ht="29.25" customHeight="1">
      <c r="A2" s="8"/>
      <c r="B2" s="56"/>
      <c r="C2" s="12" t="s">
        <v>738</v>
      </c>
      <c r="D2" s="174" t="s">
        <v>142</v>
      </c>
      <c r="E2" s="170"/>
      <c r="F2" s="170"/>
      <c r="G2" s="171"/>
      <c r="H2" s="16" t="s">
        <v>739</v>
      </c>
      <c r="I2" s="8"/>
      <c r="J2" s="8"/>
      <c r="K2" s="8"/>
      <c r="L2" s="8"/>
      <c r="M2" s="8"/>
      <c r="N2" s="8"/>
      <c r="O2" s="8"/>
      <c r="P2" s="8"/>
      <c r="Q2" s="8"/>
      <c r="R2" s="8"/>
      <c r="S2" s="8"/>
      <c r="T2" s="8"/>
      <c r="U2" s="8"/>
      <c r="V2" s="8"/>
      <c r="W2" s="8"/>
      <c r="X2" s="8"/>
      <c r="Y2" s="8"/>
      <c r="Z2" s="8"/>
      <c r="AA2" s="8"/>
      <c r="AB2" s="8"/>
      <c r="AC2" s="8"/>
    </row>
    <row r="3" spans="1:29" ht="42">
      <c r="A3" s="55"/>
      <c r="B3" s="49" t="s">
        <v>58</v>
      </c>
      <c r="C3" s="12" t="s">
        <v>59</v>
      </c>
      <c r="D3" s="12" t="s">
        <v>143</v>
      </c>
      <c r="E3" s="13" t="s">
        <v>144</v>
      </c>
      <c r="F3" s="13" t="s">
        <v>145</v>
      </c>
      <c r="G3" s="13" t="s">
        <v>146</v>
      </c>
      <c r="H3" s="12" t="s">
        <v>153</v>
      </c>
      <c r="I3" s="8"/>
      <c r="J3" s="8"/>
      <c r="K3" s="8"/>
      <c r="M3" s="8"/>
      <c r="N3" s="8"/>
      <c r="O3" s="8"/>
      <c r="P3" s="8"/>
      <c r="Q3" s="8"/>
      <c r="R3" s="8"/>
      <c r="S3" s="8"/>
      <c r="T3" s="8"/>
      <c r="U3" s="8"/>
      <c r="V3" s="8"/>
      <c r="W3" s="8"/>
      <c r="X3" s="8"/>
      <c r="Y3" s="8"/>
      <c r="Z3" s="8"/>
      <c r="AA3" s="8"/>
      <c r="AB3" s="8"/>
      <c r="AC3" s="8"/>
    </row>
    <row r="4" spans="1:29" ht="13">
      <c r="A4" s="58"/>
      <c r="B4" s="50">
        <v>1</v>
      </c>
      <c r="C4" s="16" t="s">
        <v>75</v>
      </c>
      <c r="D4" s="17">
        <v>1.4247000000000001E-6</v>
      </c>
      <c r="E4" s="16">
        <f t="shared" ref="E4:E12" si="0">G4/1023</f>
        <v>0.12438050267256012</v>
      </c>
      <c r="F4" s="18">
        <f t="shared" ref="F4:F26" si="1">E4*100</f>
        <v>12.438050267256012</v>
      </c>
      <c r="G4" s="122">
        <v>127.241254234029</v>
      </c>
      <c r="H4" s="16" t="s">
        <v>161</v>
      </c>
      <c r="I4" s="8"/>
      <c r="J4" s="64" t="s">
        <v>162</v>
      </c>
      <c r="K4" s="8"/>
      <c r="M4" s="8"/>
      <c r="N4" s="8"/>
      <c r="O4" s="8"/>
      <c r="P4" s="8"/>
      <c r="Q4" s="8"/>
      <c r="R4" s="8"/>
      <c r="S4" s="8"/>
      <c r="T4" s="8"/>
      <c r="U4" s="8"/>
      <c r="V4" s="8"/>
      <c r="W4" s="8"/>
      <c r="X4" s="8"/>
      <c r="Y4" s="8"/>
      <c r="Z4" s="8"/>
      <c r="AA4" s="8"/>
      <c r="AB4" s="8"/>
      <c r="AC4" s="8"/>
    </row>
    <row r="5" spans="1:29" ht="13">
      <c r="A5" s="58"/>
      <c r="B5" s="50">
        <v>2</v>
      </c>
      <c r="C5" s="16" t="s">
        <v>76</v>
      </c>
      <c r="D5" s="17">
        <v>7.0312499999999997E-4</v>
      </c>
      <c r="E5" s="16">
        <f t="shared" si="0"/>
        <v>0.12814377076196873</v>
      </c>
      <c r="F5" s="18">
        <f t="shared" si="1"/>
        <v>12.814377076196873</v>
      </c>
      <c r="G5" s="122">
        <v>131.09107748949401</v>
      </c>
      <c r="H5" s="16" t="s">
        <v>164</v>
      </c>
      <c r="I5" s="8"/>
      <c r="J5" s="56" t="s">
        <v>165</v>
      </c>
      <c r="K5" s="8"/>
      <c r="M5" s="8"/>
      <c r="N5" s="8"/>
      <c r="O5" s="8"/>
      <c r="P5" s="8"/>
      <c r="Q5" s="8"/>
      <c r="R5" s="8"/>
      <c r="S5" s="8"/>
      <c r="T5" s="8"/>
      <c r="U5" s="8"/>
      <c r="V5" s="8"/>
      <c r="W5" s="8"/>
      <c r="X5" s="8"/>
      <c r="Y5" s="8"/>
      <c r="Z5" s="8"/>
      <c r="AA5" s="8"/>
      <c r="AB5" s="8"/>
      <c r="AC5" s="8"/>
    </row>
    <row r="6" spans="1:29" ht="13">
      <c r="A6" s="58"/>
      <c r="B6" s="50">
        <v>3</v>
      </c>
      <c r="C6" s="16" t="s">
        <v>77</v>
      </c>
      <c r="D6" s="17">
        <v>1.4062499999999999E-3</v>
      </c>
      <c r="E6" s="16">
        <f t="shared" si="0"/>
        <v>0.13170512761980155</v>
      </c>
      <c r="F6" s="18">
        <f t="shared" si="1"/>
        <v>13.170512761980154</v>
      </c>
      <c r="G6" s="122">
        <v>134.73434555505699</v>
      </c>
      <c r="H6" s="16" t="s">
        <v>740</v>
      </c>
      <c r="I6" s="8"/>
      <c r="J6" s="8"/>
      <c r="K6" s="8"/>
      <c r="M6" s="8"/>
      <c r="N6" s="8"/>
      <c r="O6" s="8"/>
      <c r="P6" s="8"/>
      <c r="Q6" s="8"/>
      <c r="R6" s="8"/>
      <c r="S6" s="8"/>
      <c r="T6" s="8"/>
      <c r="U6" s="8"/>
      <c r="V6" s="8"/>
      <c r="W6" s="8"/>
      <c r="X6" s="8"/>
      <c r="Y6" s="8"/>
      <c r="Z6" s="8"/>
      <c r="AA6" s="8"/>
      <c r="AB6" s="8"/>
      <c r="AC6" s="8"/>
    </row>
    <row r="7" spans="1:29" ht="13">
      <c r="A7" s="58"/>
      <c r="B7" s="50">
        <v>4</v>
      </c>
      <c r="C7" s="16" t="s">
        <v>78</v>
      </c>
      <c r="D7" s="17">
        <v>2.8124999999999999E-3</v>
      </c>
      <c r="E7" s="16">
        <f t="shared" si="0"/>
        <v>0.13830112412665788</v>
      </c>
      <c r="F7" s="18">
        <f t="shared" si="1"/>
        <v>13.830112412665788</v>
      </c>
      <c r="G7" s="122">
        <v>141.48204998157101</v>
      </c>
      <c r="H7" s="16"/>
      <c r="I7" s="8"/>
      <c r="J7" s="55" t="s">
        <v>741</v>
      </c>
      <c r="K7" s="8"/>
      <c r="M7" s="8"/>
      <c r="N7" s="8"/>
      <c r="O7" s="8"/>
      <c r="P7" s="8"/>
      <c r="Q7" s="8"/>
      <c r="R7" s="8"/>
      <c r="S7" s="8"/>
      <c r="T7" s="8"/>
      <c r="U7" s="8"/>
      <c r="V7" s="8"/>
      <c r="W7" s="8"/>
      <c r="X7" s="8"/>
      <c r="Y7" s="8"/>
      <c r="Z7" s="8"/>
      <c r="AA7" s="8"/>
      <c r="AB7" s="8"/>
      <c r="AC7" s="8"/>
    </row>
    <row r="8" spans="1:29" ht="13">
      <c r="A8" s="58"/>
      <c r="B8" s="50">
        <v>5</v>
      </c>
      <c r="C8" s="16" t="s">
        <v>79</v>
      </c>
      <c r="D8" s="17">
        <v>5.6249999999999998E-3</v>
      </c>
      <c r="E8" s="16">
        <f t="shared" si="0"/>
        <v>0.14987786349979179</v>
      </c>
      <c r="F8" s="18">
        <f t="shared" si="1"/>
        <v>14.98778634997918</v>
      </c>
      <c r="G8" s="122">
        <v>153.325054360287</v>
      </c>
      <c r="H8" s="16"/>
      <c r="I8" s="8"/>
      <c r="J8" s="8" t="s">
        <v>742</v>
      </c>
      <c r="K8" s="8"/>
      <c r="M8" s="8"/>
      <c r="N8" s="8"/>
      <c r="O8" s="8"/>
      <c r="P8" s="8"/>
      <c r="Q8" s="8"/>
      <c r="R8" s="8"/>
      <c r="S8" s="8"/>
      <c r="T8" s="8"/>
      <c r="U8" s="8"/>
      <c r="V8" s="8"/>
      <c r="W8" s="8"/>
      <c r="X8" s="8"/>
      <c r="Y8" s="8"/>
      <c r="Z8" s="8"/>
      <c r="AA8" s="8"/>
      <c r="AB8" s="8"/>
      <c r="AC8" s="8"/>
    </row>
    <row r="9" spans="1:29" ht="13">
      <c r="A9" s="58"/>
      <c r="B9" s="50">
        <v>6</v>
      </c>
      <c r="C9" s="16" t="s">
        <v>80</v>
      </c>
      <c r="D9" s="17">
        <v>1.125E-2</v>
      </c>
      <c r="E9" s="16">
        <f t="shared" si="0"/>
        <v>0.1687996260920567</v>
      </c>
      <c r="F9" s="18">
        <f t="shared" si="1"/>
        <v>16.87996260920567</v>
      </c>
      <c r="G9" s="122">
        <v>172.682017492174</v>
      </c>
      <c r="H9" s="16"/>
      <c r="I9" s="8"/>
      <c r="J9" s="8" t="s">
        <v>743</v>
      </c>
      <c r="K9" s="8"/>
      <c r="M9" s="8"/>
      <c r="N9" s="8"/>
      <c r="O9" s="8"/>
      <c r="P9" s="8"/>
      <c r="Q9" s="8"/>
      <c r="R9" s="8"/>
      <c r="S9" s="8"/>
      <c r="T9" s="8"/>
      <c r="U9" s="8"/>
      <c r="V9" s="8"/>
      <c r="W9" s="8"/>
      <c r="X9" s="8"/>
      <c r="Y9" s="8"/>
      <c r="Z9" s="8"/>
      <c r="AA9" s="8"/>
      <c r="AB9" s="8"/>
      <c r="AC9" s="8"/>
    </row>
    <row r="10" spans="1:29" ht="13">
      <c r="A10" s="58"/>
      <c r="B10" s="50">
        <v>7</v>
      </c>
      <c r="C10" s="16" t="s">
        <v>81</v>
      </c>
      <c r="D10" s="17">
        <v>2.2499999999999999E-2</v>
      </c>
      <c r="E10" s="16">
        <f t="shared" si="0"/>
        <v>0.19742924035874879</v>
      </c>
      <c r="F10" s="18">
        <f t="shared" si="1"/>
        <v>19.742924035874879</v>
      </c>
      <c r="G10" s="122">
        <v>201.970112887</v>
      </c>
      <c r="H10" s="16"/>
      <c r="I10" s="8"/>
      <c r="J10" s="8" t="s">
        <v>176</v>
      </c>
      <c r="K10" s="8"/>
      <c r="M10" s="8"/>
      <c r="N10" s="8"/>
      <c r="O10" s="8"/>
      <c r="P10" s="8"/>
      <c r="Q10" s="8"/>
      <c r="R10" s="8"/>
      <c r="S10" s="8"/>
      <c r="T10" s="8"/>
      <c r="U10" s="8"/>
      <c r="V10" s="8"/>
      <c r="W10" s="8"/>
      <c r="X10" s="8"/>
      <c r="Y10" s="8"/>
      <c r="Z10" s="8"/>
      <c r="AA10" s="8"/>
      <c r="AB10" s="8"/>
      <c r="AC10" s="8"/>
    </row>
    <row r="11" spans="1:29" ht="13">
      <c r="A11" s="58"/>
      <c r="B11" s="50">
        <v>8</v>
      </c>
      <c r="C11" s="16" t="s">
        <v>82</v>
      </c>
      <c r="D11" s="17">
        <v>4.4999999999999998E-2</v>
      </c>
      <c r="E11" s="16">
        <f t="shared" si="0"/>
        <v>0.23791627818631572</v>
      </c>
      <c r="F11" s="18">
        <f t="shared" si="1"/>
        <v>23.791627818631572</v>
      </c>
      <c r="G11" s="122">
        <v>243.38835258460099</v>
      </c>
      <c r="H11" s="16"/>
      <c r="I11" s="8"/>
      <c r="J11" s="8" t="s">
        <v>744</v>
      </c>
      <c r="K11" s="8"/>
      <c r="M11" s="8"/>
      <c r="N11" s="8"/>
      <c r="O11" s="8"/>
      <c r="P11" s="8"/>
      <c r="Q11" s="8"/>
      <c r="R11" s="8"/>
      <c r="S11" s="8"/>
      <c r="T11" s="8"/>
      <c r="U11" s="8"/>
      <c r="V11" s="8"/>
      <c r="W11" s="8"/>
      <c r="X11" s="8"/>
      <c r="Y11" s="8"/>
      <c r="Z11" s="8"/>
      <c r="AA11" s="8"/>
      <c r="AB11" s="8"/>
      <c r="AC11" s="8"/>
    </row>
    <row r="12" spans="1:29" ht="13">
      <c r="A12" s="58"/>
      <c r="B12" s="50">
        <v>9</v>
      </c>
      <c r="C12" s="16" t="s">
        <v>83</v>
      </c>
      <c r="D12" s="17">
        <v>0.09</v>
      </c>
      <c r="E12" s="16">
        <f t="shared" si="0"/>
        <v>0.29244167417572436</v>
      </c>
      <c r="F12" s="18">
        <f t="shared" si="1"/>
        <v>29.244167417572438</v>
      </c>
      <c r="G12" s="122">
        <v>299.16783268176601</v>
      </c>
      <c r="H12" s="16"/>
      <c r="I12" s="8"/>
      <c r="J12" s="8" t="s">
        <v>745</v>
      </c>
      <c r="K12" s="8"/>
      <c r="M12" s="8"/>
      <c r="N12" s="8"/>
      <c r="O12" s="8"/>
      <c r="P12" s="8"/>
      <c r="Q12" s="8"/>
      <c r="R12" s="8"/>
      <c r="S12" s="8"/>
      <c r="T12" s="8"/>
      <c r="U12" s="8"/>
      <c r="V12" s="8"/>
      <c r="W12" s="8"/>
      <c r="X12" s="8"/>
      <c r="Y12" s="8"/>
      <c r="Z12" s="8"/>
      <c r="AA12" s="8"/>
      <c r="AB12" s="8"/>
      <c r="AC12" s="8"/>
    </row>
    <row r="13" spans="1:29" ht="13">
      <c r="A13" s="58"/>
      <c r="B13" s="50">
        <v>10</v>
      </c>
      <c r="C13" s="16" t="s">
        <v>84</v>
      </c>
      <c r="D13" s="17">
        <v>0.12727922061357799</v>
      </c>
      <c r="E13" s="16">
        <v>0.32577071157279863</v>
      </c>
      <c r="F13" s="18">
        <f t="shared" si="1"/>
        <v>32.57707115727986</v>
      </c>
      <c r="G13" s="122">
        <f>E13*1023</f>
        <v>333.26343793897303</v>
      </c>
      <c r="H13" s="16"/>
      <c r="I13" s="8"/>
      <c r="J13" s="8"/>
      <c r="K13" s="8"/>
      <c r="M13" s="8"/>
      <c r="N13" s="8"/>
      <c r="O13" s="8"/>
      <c r="P13" s="8"/>
      <c r="Q13" s="8"/>
      <c r="R13" s="8"/>
      <c r="S13" s="8"/>
      <c r="T13" s="8"/>
      <c r="U13" s="8"/>
      <c r="V13" s="8"/>
      <c r="W13" s="8"/>
      <c r="X13" s="8"/>
      <c r="Y13" s="8"/>
      <c r="Z13" s="8"/>
      <c r="AA13" s="8"/>
      <c r="AB13" s="8"/>
      <c r="AC13" s="8"/>
    </row>
    <row r="14" spans="1:29" ht="13">
      <c r="A14" s="58"/>
      <c r="B14" s="50">
        <v>11</v>
      </c>
      <c r="C14" s="43" t="s">
        <v>85</v>
      </c>
      <c r="D14" s="69">
        <v>0.16794593847662501</v>
      </c>
      <c r="E14" s="69">
        <f t="shared" ref="E14:E26" si="2">G14/1023</f>
        <v>0.35570133561227757</v>
      </c>
      <c r="F14" s="71">
        <f t="shared" si="1"/>
        <v>35.570133561227756</v>
      </c>
      <c r="G14" s="122">
        <v>363.88246633135998</v>
      </c>
      <c r="H14" s="16"/>
      <c r="I14" s="8"/>
      <c r="J14" s="8" t="s">
        <v>746</v>
      </c>
      <c r="K14" s="8"/>
      <c r="M14" s="8"/>
      <c r="N14" s="8"/>
      <c r="O14" s="8"/>
      <c r="P14" s="8"/>
      <c r="Q14" s="8"/>
      <c r="R14" s="8"/>
      <c r="S14" s="8"/>
      <c r="T14" s="8"/>
      <c r="U14" s="8"/>
      <c r="V14" s="8"/>
      <c r="W14" s="8"/>
      <c r="X14" s="8"/>
      <c r="Y14" s="8"/>
      <c r="Z14" s="8"/>
      <c r="AA14" s="8"/>
      <c r="AB14" s="8"/>
      <c r="AC14" s="8"/>
    </row>
    <row r="15" spans="1:29" ht="13">
      <c r="A15" s="58"/>
      <c r="B15" s="50">
        <v>12</v>
      </c>
      <c r="C15" s="16" t="s">
        <v>86</v>
      </c>
      <c r="D15" s="17">
        <v>0.18</v>
      </c>
      <c r="E15" s="16">
        <f t="shared" si="2"/>
        <v>0.36366777011713786</v>
      </c>
      <c r="F15" s="18">
        <f t="shared" si="1"/>
        <v>36.366777011713786</v>
      </c>
      <c r="G15" s="122">
        <v>372.032128829832</v>
      </c>
      <c r="H15" s="16"/>
      <c r="I15" s="8"/>
      <c r="J15" s="8" t="s">
        <v>747</v>
      </c>
      <c r="K15" s="8"/>
      <c r="M15" s="8"/>
      <c r="N15" s="8"/>
      <c r="O15" s="8"/>
      <c r="P15" s="8"/>
      <c r="Q15" s="8"/>
      <c r="R15" s="8"/>
      <c r="S15" s="8"/>
      <c r="T15" s="8"/>
      <c r="U15" s="8"/>
      <c r="V15" s="8"/>
      <c r="W15" s="8"/>
      <c r="X15" s="8"/>
      <c r="Y15" s="8"/>
      <c r="Z15" s="8"/>
      <c r="AA15" s="8"/>
      <c r="AB15" s="8"/>
      <c r="AC15" s="8"/>
    </row>
    <row r="16" spans="1:29" ht="13">
      <c r="A16" s="58"/>
      <c r="B16" s="50">
        <v>13</v>
      </c>
      <c r="C16" s="43" t="s">
        <v>87</v>
      </c>
      <c r="D16" s="69">
        <v>0.206765703899466</v>
      </c>
      <c r="E16" s="69">
        <f t="shared" si="2"/>
        <v>0.38020860662019063</v>
      </c>
      <c r="F16" s="71">
        <f t="shared" si="1"/>
        <v>38.020860662019061</v>
      </c>
      <c r="G16" s="122">
        <v>388.95340457245499</v>
      </c>
      <c r="H16" s="16"/>
      <c r="I16" s="8"/>
      <c r="J16" s="8"/>
      <c r="K16" s="8"/>
      <c r="M16" s="8"/>
      <c r="N16" s="8"/>
      <c r="O16" s="8"/>
      <c r="P16" s="8"/>
      <c r="Q16" s="8"/>
      <c r="R16" s="8"/>
      <c r="S16" s="8"/>
      <c r="T16" s="8"/>
      <c r="U16" s="8"/>
      <c r="V16" s="8"/>
      <c r="W16" s="8"/>
      <c r="X16" s="8"/>
      <c r="Y16" s="8"/>
      <c r="Z16" s="8"/>
      <c r="AA16" s="8"/>
      <c r="AB16" s="8"/>
      <c r="AC16" s="8"/>
    </row>
    <row r="17" spans="1:29" ht="13">
      <c r="A17" s="58"/>
      <c r="B17" s="50">
        <v>14</v>
      </c>
      <c r="C17" s="16" t="s">
        <v>88</v>
      </c>
      <c r="D17" s="17">
        <f>0.18*2^0.5</f>
        <v>0.2545584412271571</v>
      </c>
      <c r="E17" s="69">
        <f t="shared" si="2"/>
        <v>0.40660287089052788</v>
      </c>
      <c r="F17" s="18">
        <f t="shared" si="1"/>
        <v>40.660287089052787</v>
      </c>
      <c r="G17" s="122">
        <v>415.95473692101001</v>
      </c>
      <c r="H17" s="16"/>
      <c r="I17" s="8"/>
      <c r="J17" s="55" t="s">
        <v>748</v>
      </c>
      <c r="K17" s="8"/>
      <c r="M17" s="8"/>
      <c r="N17" s="8"/>
      <c r="O17" s="8"/>
      <c r="P17" s="8"/>
      <c r="Q17" s="8"/>
      <c r="R17" s="8"/>
      <c r="S17" s="8"/>
      <c r="T17" s="8"/>
      <c r="U17" s="8"/>
      <c r="V17" s="8"/>
      <c r="W17" s="8"/>
      <c r="X17" s="8"/>
      <c r="Y17" s="8"/>
      <c r="Z17" s="8"/>
      <c r="AA17" s="8"/>
      <c r="AB17" s="8"/>
      <c r="AC17" s="8"/>
    </row>
    <row r="18" spans="1:29" ht="13">
      <c r="A18" s="58"/>
      <c r="B18" s="50">
        <v>15</v>
      </c>
      <c r="C18" s="16" t="s">
        <v>89</v>
      </c>
      <c r="D18" s="17">
        <v>0.36</v>
      </c>
      <c r="E18" s="16">
        <f t="shared" si="2"/>
        <v>0.45528085324555423</v>
      </c>
      <c r="F18" s="18">
        <f t="shared" si="1"/>
        <v>45.52808532455542</v>
      </c>
      <c r="G18" s="122">
        <v>465.75231287020199</v>
      </c>
      <c r="H18" s="16"/>
      <c r="I18" s="8"/>
      <c r="J18" s="8" t="s">
        <v>749</v>
      </c>
      <c r="K18" s="8"/>
      <c r="M18" s="8"/>
      <c r="N18" s="8"/>
      <c r="O18" s="8"/>
      <c r="P18" s="8"/>
      <c r="Q18" s="8"/>
      <c r="R18" s="8"/>
      <c r="S18" s="8"/>
      <c r="T18" s="8"/>
      <c r="U18" s="8"/>
      <c r="V18" s="8"/>
      <c r="W18" s="8"/>
      <c r="X18" s="8"/>
      <c r="Y18" s="8"/>
      <c r="Z18" s="8"/>
      <c r="AA18" s="8"/>
      <c r="AB18" s="8"/>
      <c r="AC18" s="8"/>
    </row>
    <row r="19" spans="1:29" ht="13">
      <c r="A19" s="58"/>
      <c r="B19" s="50">
        <v>16</v>
      </c>
      <c r="C19" s="16" t="s">
        <v>90</v>
      </c>
      <c r="D19" s="17">
        <v>0.72</v>
      </c>
      <c r="E19" s="16">
        <f t="shared" si="2"/>
        <v>0.55691533719862552</v>
      </c>
      <c r="F19" s="18">
        <f t="shared" si="1"/>
        <v>55.691533719862548</v>
      </c>
      <c r="G19" s="122">
        <v>569.72438995419395</v>
      </c>
      <c r="H19" s="16"/>
      <c r="I19" s="8"/>
      <c r="J19" s="8" t="s">
        <v>750</v>
      </c>
      <c r="K19" s="8"/>
      <c r="L19" s="8"/>
      <c r="M19" s="8"/>
      <c r="N19" s="8"/>
      <c r="O19" s="8"/>
      <c r="P19" s="8"/>
      <c r="Q19" s="8"/>
      <c r="R19" s="8"/>
      <c r="S19" s="8"/>
      <c r="T19" s="8"/>
      <c r="U19" s="8"/>
      <c r="V19" s="8"/>
      <c r="W19" s="8"/>
      <c r="X19" s="8"/>
      <c r="Y19" s="8"/>
      <c r="Z19" s="8"/>
      <c r="AA19" s="8"/>
      <c r="AB19" s="8"/>
      <c r="AC19" s="8"/>
    </row>
    <row r="20" spans="1:29" ht="13">
      <c r="A20" s="58"/>
      <c r="B20" s="82">
        <v>17</v>
      </c>
      <c r="C20" s="73" t="s">
        <v>91</v>
      </c>
      <c r="D20" s="74">
        <v>0.9</v>
      </c>
      <c r="E20" s="73">
        <f t="shared" si="2"/>
        <v>0.58963433299249857</v>
      </c>
      <c r="F20" s="76">
        <f t="shared" si="1"/>
        <v>58.963433299249857</v>
      </c>
      <c r="G20" s="123">
        <v>603.19592265132599</v>
      </c>
      <c r="H20" s="73"/>
      <c r="I20" s="8"/>
      <c r="J20" s="8" t="s">
        <v>176</v>
      </c>
      <c r="K20" s="8"/>
      <c r="L20" s="8"/>
      <c r="M20" s="8"/>
      <c r="N20" s="8"/>
      <c r="O20" s="8"/>
      <c r="P20" s="8"/>
      <c r="Q20" s="8"/>
      <c r="R20" s="8"/>
      <c r="S20" s="8"/>
      <c r="T20" s="8"/>
      <c r="U20" s="8"/>
      <c r="V20" s="8"/>
      <c r="W20" s="8"/>
      <c r="X20" s="8"/>
      <c r="Y20" s="8"/>
      <c r="Z20" s="8"/>
      <c r="AA20" s="8"/>
      <c r="AB20" s="8"/>
      <c r="AC20" s="8"/>
    </row>
    <row r="21" spans="1:29" ht="13">
      <c r="A21" s="58"/>
      <c r="B21" s="50">
        <v>18</v>
      </c>
      <c r="C21" s="16" t="s">
        <v>92</v>
      </c>
      <c r="D21" s="17">
        <v>1.44</v>
      </c>
      <c r="E21" s="16">
        <f t="shared" si="2"/>
        <v>0.65854982115169702</v>
      </c>
      <c r="F21" s="18">
        <f t="shared" si="1"/>
        <v>65.854982115169705</v>
      </c>
      <c r="G21" s="122">
        <v>673.69646703818603</v>
      </c>
      <c r="H21" s="16"/>
      <c r="I21" s="8"/>
      <c r="J21" s="8" t="s">
        <v>751</v>
      </c>
      <c r="K21" s="8"/>
      <c r="L21" s="8"/>
      <c r="M21" s="8"/>
      <c r="N21" s="8"/>
      <c r="O21" s="8"/>
      <c r="P21" s="8"/>
      <c r="Q21" s="8"/>
      <c r="R21" s="8"/>
      <c r="S21" s="8"/>
      <c r="T21" s="8"/>
      <c r="U21" s="8"/>
      <c r="V21" s="8"/>
      <c r="W21" s="8"/>
      <c r="X21" s="8"/>
      <c r="Y21" s="8"/>
      <c r="Z21" s="8"/>
      <c r="AA21" s="8"/>
      <c r="AB21" s="8"/>
      <c r="AC21" s="8"/>
    </row>
    <row r="22" spans="1:29" ht="13">
      <c r="A22" s="58"/>
      <c r="B22" s="50">
        <v>19</v>
      </c>
      <c r="C22" s="16" t="s">
        <v>93</v>
      </c>
      <c r="D22" s="17">
        <v>2.88</v>
      </c>
      <c r="E22" s="16">
        <f t="shared" si="2"/>
        <v>0.76018430510476831</v>
      </c>
      <c r="F22" s="18">
        <f t="shared" si="1"/>
        <v>76.018430510476833</v>
      </c>
      <c r="G22" s="122">
        <v>777.66854412217799</v>
      </c>
      <c r="H22" s="16"/>
      <c r="I22" s="8"/>
      <c r="J22" s="8" t="s">
        <v>745</v>
      </c>
      <c r="K22" s="8"/>
      <c r="L22" s="8"/>
      <c r="M22" s="8"/>
      <c r="N22" s="8"/>
      <c r="O22" s="8"/>
      <c r="P22" s="8"/>
      <c r="Q22" s="8"/>
      <c r="R22" s="8"/>
      <c r="S22" s="8"/>
      <c r="T22" s="8"/>
      <c r="U22" s="8"/>
      <c r="V22" s="8"/>
      <c r="W22" s="8"/>
      <c r="X22" s="8"/>
      <c r="Y22" s="8"/>
      <c r="Z22" s="8"/>
      <c r="AA22" s="8"/>
      <c r="AB22" s="8"/>
      <c r="AC22" s="8"/>
    </row>
    <row r="23" spans="1:29" ht="13">
      <c r="A23" s="58"/>
      <c r="B23" s="50">
        <v>20</v>
      </c>
      <c r="C23" s="16" t="s">
        <v>94</v>
      </c>
      <c r="D23" s="17">
        <v>5.76</v>
      </c>
      <c r="E23" s="16">
        <f t="shared" si="2"/>
        <v>0.8618187890578396</v>
      </c>
      <c r="F23" s="18">
        <f t="shared" si="1"/>
        <v>86.181878905783961</v>
      </c>
      <c r="G23" s="122">
        <v>881.64062120616995</v>
      </c>
      <c r="H23" s="16"/>
      <c r="I23" s="8"/>
      <c r="J23" s="8"/>
      <c r="K23" s="8"/>
      <c r="L23" s="8"/>
      <c r="M23" s="8"/>
      <c r="N23" s="8"/>
      <c r="O23" s="8"/>
      <c r="P23" s="8"/>
      <c r="Q23" s="8"/>
      <c r="R23" s="8"/>
      <c r="S23" s="8"/>
      <c r="T23" s="8"/>
      <c r="U23" s="8"/>
      <c r="V23" s="8"/>
      <c r="W23" s="8"/>
      <c r="X23" s="8"/>
      <c r="Y23" s="8"/>
      <c r="Z23" s="8"/>
      <c r="AA23" s="8"/>
      <c r="AB23" s="8"/>
      <c r="AC23" s="8"/>
    </row>
    <row r="24" spans="1:29" ht="13">
      <c r="A24" s="58"/>
      <c r="B24" s="50">
        <v>22</v>
      </c>
      <c r="C24" s="16" t="s">
        <v>95</v>
      </c>
      <c r="D24" s="17">
        <v>11.52</v>
      </c>
      <c r="E24" s="16">
        <f t="shared" si="2"/>
        <v>0.96345327301091011</v>
      </c>
      <c r="F24" s="18">
        <f t="shared" si="1"/>
        <v>96.345327301091004</v>
      </c>
      <c r="G24" s="122">
        <v>985.61269829016101</v>
      </c>
      <c r="H24" s="16" t="s">
        <v>752</v>
      </c>
      <c r="I24" s="8"/>
      <c r="J24" s="8"/>
      <c r="K24" s="8"/>
      <c r="L24" s="8"/>
      <c r="M24" s="8"/>
      <c r="N24" s="8"/>
      <c r="O24" s="8"/>
      <c r="P24" s="8"/>
      <c r="Q24" s="8"/>
      <c r="R24" s="8"/>
      <c r="S24" s="8"/>
      <c r="T24" s="8"/>
      <c r="U24" s="8"/>
      <c r="V24" s="8"/>
      <c r="W24" s="8"/>
      <c r="X24" s="8"/>
      <c r="Y24" s="8"/>
      <c r="Z24" s="8"/>
      <c r="AA24" s="8"/>
      <c r="AB24" s="8"/>
      <c r="AC24" s="8"/>
    </row>
    <row r="25" spans="1:29" ht="13">
      <c r="A25" s="58"/>
      <c r="B25" s="50">
        <v>23</v>
      </c>
      <c r="C25" s="16" t="s">
        <v>96</v>
      </c>
      <c r="D25" s="17">
        <v>23.04</v>
      </c>
      <c r="E25" s="16">
        <f t="shared" si="2"/>
        <v>1.0650877569639785</v>
      </c>
      <c r="F25" s="18">
        <f t="shared" si="1"/>
        <v>106.50877569639785</v>
      </c>
      <c r="G25" s="122">
        <v>1089.58477537415</v>
      </c>
      <c r="H25" s="16"/>
      <c r="I25" s="8"/>
      <c r="J25" s="8"/>
      <c r="K25" s="8"/>
      <c r="L25" s="8"/>
      <c r="M25" s="8"/>
      <c r="N25" s="8"/>
      <c r="O25" s="8"/>
      <c r="P25" s="8"/>
      <c r="Q25" s="8"/>
      <c r="R25" s="8"/>
      <c r="S25" s="8"/>
      <c r="T25" s="8"/>
      <c r="U25" s="8"/>
      <c r="V25" s="8"/>
      <c r="W25" s="8"/>
      <c r="X25" s="8"/>
      <c r="Y25" s="8"/>
      <c r="Z25" s="8"/>
      <c r="AA25" s="8"/>
      <c r="AB25" s="8"/>
      <c r="AC25" s="8"/>
    </row>
    <row r="26" spans="1:29" ht="13">
      <c r="A26" s="58"/>
      <c r="B26" s="50">
        <v>24</v>
      </c>
      <c r="C26" s="16" t="s">
        <v>97</v>
      </c>
      <c r="D26" s="17">
        <v>46.08</v>
      </c>
      <c r="E26" s="16">
        <f t="shared" si="2"/>
        <v>1.1667222409170479</v>
      </c>
      <c r="F26" s="18">
        <f t="shared" si="1"/>
        <v>116.67222409170479</v>
      </c>
      <c r="G26" s="122">
        <v>1193.5568524581399</v>
      </c>
      <c r="H26" s="16"/>
      <c r="I26" s="8"/>
      <c r="J26" s="8"/>
      <c r="K26" s="8"/>
      <c r="L26" s="8"/>
      <c r="M26" s="8"/>
      <c r="N26" s="8"/>
      <c r="O26" s="8"/>
      <c r="P26" s="8"/>
      <c r="Q26" s="8"/>
      <c r="R26" s="8"/>
      <c r="S26" s="8"/>
      <c r="T26" s="8"/>
      <c r="U26" s="8"/>
      <c r="V26" s="8"/>
      <c r="W26" s="8"/>
      <c r="X26" s="8"/>
      <c r="Y26" s="8"/>
      <c r="Z26" s="8"/>
      <c r="AA26" s="8"/>
      <c r="AB26" s="8"/>
      <c r="AC26" s="8"/>
    </row>
    <row r="27" spans="1:29" ht="13">
      <c r="A27" s="81"/>
      <c r="B27" s="81"/>
      <c r="C27" s="81"/>
      <c r="D27" s="81"/>
      <c r="E27" s="81"/>
      <c r="F27" s="81"/>
      <c r="G27" s="114"/>
      <c r="H27" s="81"/>
      <c r="I27" s="81"/>
      <c r="J27" s="81"/>
      <c r="K27" s="81"/>
      <c r="L27" s="81"/>
      <c r="M27" s="81"/>
      <c r="N27" s="81"/>
      <c r="O27" s="81"/>
      <c r="P27" s="81"/>
      <c r="Q27" s="81"/>
      <c r="R27" s="81"/>
      <c r="S27" s="81"/>
      <c r="T27" s="81"/>
      <c r="U27" s="81"/>
      <c r="V27" s="81"/>
      <c r="W27" s="81"/>
      <c r="X27" s="81"/>
      <c r="Y27" s="81"/>
      <c r="Z27" s="81"/>
      <c r="AA27" s="81"/>
      <c r="AB27" s="81"/>
      <c r="AC27" s="81"/>
    </row>
    <row r="28" spans="1:29" ht="13">
      <c r="A28" s="8"/>
      <c r="B28" s="8"/>
      <c r="C28" s="55"/>
      <c r="D28" s="55"/>
      <c r="E28" s="55"/>
      <c r="F28" s="55"/>
      <c r="G28" s="55"/>
      <c r="H28" s="55"/>
      <c r="I28" s="8"/>
      <c r="J28" s="8"/>
      <c r="M28" s="8"/>
      <c r="N28" s="8"/>
      <c r="O28" s="8"/>
      <c r="P28" s="8"/>
      <c r="Q28" s="8"/>
      <c r="R28" s="8"/>
      <c r="S28" s="8"/>
      <c r="T28" s="8"/>
      <c r="U28" s="8"/>
      <c r="V28" s="8"/>
      <c r="W28" s="8"/>
      <c r="X28" s="8"/>
      <c r="Y28" s="8"/>
      <c r="Z28" s="8"/>
      <c r="AA28" s="8"/>
      <c r="AB28" s="8"/>
      <c r="AC28" s="8"/>
    </row>
    <row r="29" spans="1:29" ht="13">
      <c r="A29" s="8"/>
      <c r="B29" s="43"/>
      <c r="C29" s="12" t="s">
        <v>738</v>
      </c>
      <c r="D29" s="173" t="s">
        <v>142</v>
      </c>
      <c r="E29" s="166"/>
      <c r="F29" s="166"/>
      <c r="G29" s="167"/>
      <c r="H29" s="41" t="s">
        <v>228</v>
      </c>
      <c r="I29" s="8"/>
      <c r="J29" s="8"/>
      <c r="O29" s="8"/>
      <c r="P29" s="8"/>
      <c r="Q29" s="8"/>
      <c r="R29" s="8"/>
      <c r="S29" s="8"/>
      <c r="T29" s="8"/>
      <c r="U29" s="8"/>
      <c r="V29" s="8"/>
      <c r="W29" s="8"/>
      <c r="X29" s="8"/>
      <c r="Y29" s="8"/>
      <c r="Z29" s="8"/>
      <c r="AA29" s="8"/>
      <c r="AB29" s="8"/>
      <c r="AC29" s="8"/>
    </row>
    <row r="30" spans="1:29" ht="42">
      <c r="A30" s="8"/>
      <c r="B30" s="41" t="s">
        <v>58</v>
      </c>
      <c r="C30" s="41" t="s">
        <v>59</v>
      </c>
      <c r="D30" s="41" t="s">
        <v>143</v>
      </c>
      <c r="E30" s="83" t="s">
        <v>144</v>
      </c>
      <c r="F30" s="83" t="s">
        <v>145</v>
      </c>
      <c r="G30" s="83" t="s">
        <v>146</v>
      </c>
      <c r="H30" s="43"/>
      <c r="I30" s="8"/>
      <c r="J30" s="8"/>
      <c r="O30" s="8"/>
      <c r="P30" s="8"/>
      <c r="Q30" s="8"/>
      <c r="R30" s="8"/>
      <c r="S30" s="8"/>
      <c r="T30" s="8"/>
      <c r="U30" s="8"/>
      <c r="V30" s="8"/>
      <c r="W30" s="8"/>
      <c r="X30" s="8"/>
      <c r="Y30" s="8"/>
      <c r="Z30" s="8"/>
      <c r="AA30" s="8"/>
      <c r="AB30" s="8"/>
      <c r="AC30" s="8"/>
    </row>
    <row r="31" spans="1:29" ht="13">
      <c r="A31" s="58"/>
      <c r="B31" s="69">
        <v>1</v>
      </c>
      <c r="C31" s="43" t="s">
        <v>229</v>
      </c>
      <c r="D31" s="69">
        <v>7.0312499999999997E-4</v>
      </c>
      <c r="E31" s="69">
        <f t="shared" ref="E31:E181" si="3">G31/1023</f>
        <v>0.12814377076196873</v>
      </c>
      <c r="F31" s="71">
        <f t="shared" ref="F31:F181" si="4">E31*100</f>
        <v>12.814377076196873</v>
      </c>
      <c r="G31" s="5">
        <v>131.09107748949401</v>
      </c>
      <c r="H31" s="43"/>
      <c r="I31" s="8"/>
      <c r="J31" s="8"/>
      <c r="K31" s="8"/>
      <c r="L31" s="8"/>
      <c r="M31" s="8"/>
      <c r="O31" s="8"/>
      <c r="P31" s="8"/>
      <c r="Q31" s="8"/>
      <c r="R31" s="8"/>
      <c r="S31" s="8"/>
      <c r="T31" s="8"/>
      <c r="U31" s="8"/>
      <c r="V31" s="8"/>
      <c r="W31" s="8"/>
      <c r="X31" s="8"/>
      <c r="Y31" s="8"/>
      <c r="Z31" s="8"/>
      <c r="AA31" s="8"/>
      <c r="AB31" s="8"/>
      <c r="AC31" s="8"/>
    </row>
    <row r="32" spans="1:29" ht="13">
      <c r="A32" s="58"/>
      <c r="B32" s="69">
        <v>2</v>
      </c>
      <c r="C32" s="43" t="s">
        <v>230</v>
      </c>
      <c r="D32" s="69">
        <v>7.5359071584583004E-4</v>
      </c>
      <c r="E32" s="69">
        <f t="shared" si="3"/>
        <v>0.12840601435180743</v>
      </c>
      <c r="F32" s="71">
        <f t="shared" si="4"/>
        <v>12.840601435180742</v>
      </c>
      <c r="G32" s="5">
        <v>131.359352681899</v>
      </c>
      <c r="H32" s="43"/>
      <c r="I32" s="8"/>
      <c r="J32" s="8"/>
      <c r="K32" s="8"/>
      <c r="L32" s="8"/>
      <c r="M32" s="8"/>
      <c r="O32" s="8"/>
      <c r="P32" s="8"/>
      <c r="Q32" s="8"/>
      <c r="R32" s="8"/>
      <c r="S32" s="8"/>
      <c r="T32" s="8"/>
      <c r="U32" s="8"/>
      <c r="V32" s="8"/>
      <c r="W32" s="8"/>
      <c r="X32" s="8"/>
      <c r="Y32" s="8"/>
      <c r="Z32" s="8"/>
      <c r="AA32" s="8"/>
      <c r="AB32" s="8"/>
      <c r="AC32" s="8"/>
    </row>
    <row r="33" spans="1:29" ht="13">
      <c r="A33" s="58"/>
      <c r="B33" s="69">
        <v>3</v>
      </c>
      <c r="C33" s="43" t="s">
        <v>231</v>
      </c>
      <c r="D33" s="69">
        <v>8.0767853085729003E-4</v>
      </c>
      <c r="E33" s="69">
        <f t="shared" si="3"/>
        <v>0.12868589595282992</v>
      </c>
      <c r="F33" s="71">
        <f t="shared" si="4"/>
        <v>12.868589595282993</v>
      </c>
      <c r="G33" s="43">
        <v>131.64567155974501</v>
      </c>
      <c r="H33" s="43"/>
      <c r="I33" s="8"/>
      <c r="J33" s="8"/>
      <c r="K33" s="8"/>
      <c r="L33" s="8"/>
      <c r="M33" s="8"/>
      <c r="O33" s="8"/>
      <c r="P33" s="8"/>
      <c r="Q33" s="8"/>
      <c r="R33" s="8"/>
      <c r="S33" s="8"/>
      <c r="T33" s="8"/>
      <c r="U33" s="8"/>
      <c r="V33" s="8"/>
      <c r="W33" s="8"/>
      <c r="X33" s="8"/>
      <c r="Y33" s="8"/>
      <c r="Z33" s="8"/>
      <c r="AA33" s="8"/>
      <c r="AB33" s="8"/>
      <c r="AC33" s="8"/>
    </row>
    <row r="34" spans="1:29" ht="13">
      <c r="A34" s="58"/>
      <c r="B34" s="69">
        <v>4</v>
      </c>
      <c r="C34" s="43" t="s">
        <v>232</v>
      </c>
      <c r="D34" s="69">
        <v>8.6564841563314401E-4</v>
      </c>
      <c r="E34" s="69">
        <f t="shared" si="3"/>
        <v>0.12898452017385337</v>
      </c>
      <c r="F34" s="71">
        <f t="shared" si="4"/>
        <v>12.898452017385337</v>
      </c>
      <c r="G34" s="43">
        <v>131.951164137852</v>
      </c>
      <c r="H34" s="43"/>
      <c r="I34" s="8"/>
      <c r="J34" s="8"/>
      <c r="K34" s="8"/>
      <c r="L34" s="8"/>
      <c r="M34" s="8"/>
      <c r="O34" s="8"/>
      <c r="P34" s="8"/>
      <c r="Q34" s="8"/>
      <c r="R34" s="8"/>
      <c r="S34" s="8"/>
      <c r="T34" s="8"/>
      <c r="U34" s="8"/>
      <c r="V34" s="8"/>
      <c r="W34" s="8"/>
      <c r="X34" s="8"/>
      <c r="Y34" s="8"/>
      <c r="Z34" s="8"/>
      <c r="AA34" s="8"/>
      <c r="AB34" s="8"/>
      <c r="AC34" s="8"/>
    </row>
    <row r="35" spans="1:29" ht="13">
      <c r="A35" s="58"/>
      <c r="B35" s="69">
        <v>5</v>
      </c>
      <c r="C35" s="43" t="s">
        <v>233</v>
      </c>
      <c r="D35" s="69">
        <v>9.2777899976219098E-4</v>
      </c>
      <c r="E35" s="69">
        <f t="shared" si="3"/>
        <v>0.12930305000327663</v>
      </c>
      <c r="F35" s="71">
        <f t="shared" si="4"/>
        <v>12.930305000327664</v>
      </c>
      <c r="G35" s="43">
        <v>132.277020153352</v>
      </c>
      <c r="H35" s="43"/>
      <c r="I35" s="8"/>
      <c r="J35" s="8"/>
      <c r="K35" s="8"/>
      <c r="L35" s="8"/>
      <c r="M35" s="8"/>
      <c r="O35" s="8"/>
      <c r="P35" s="8"/>
      <c r="Q35" s="8"/>
      <c r="R35" s="8"/>
      <c r="S35" s="8"/>
      <c r="T35" s="8"/>
      <c r="U35" s="8"/>
      <c r="V35" s="8"/>
      <c r="W35" s="8"/>
      <c r="X35" s="8"/>
      <c r="Y35" s="8"/>
      <c r="Z35" s="8"/>
      <c r="AA35" s="8"/>
      <c r="AB35" s="8"/>
      <c r="AC35" s="8"/>
    </row>
    <row r="36" spans="1:29" ht="13">
      <c r="A36" s="58"/>
      <c r="B36" s="69">
        <v>6</v>
      </c>
      <c r="C36" s="43" t="s">
        <v>234</v>
      </c>
      <c r="D36" s="69">
        <v>9.9436891104358197E-4</v>
      </c>
      <c r="E36" s="69">
        <f t="shared" si="3"/>
        <v>0.12964270850426296</v>
      </c>
      <c r="F36" s="71">
        <f t="shared" si="4"/>
        <v>12.964270850426296</v>
      </c>
      <c r="G36" s="43">
        <v>132.62449079986101</v>
      </c>
      <c r="H36" s="43"/>
      <c r="I36" s="8"/>
      <c r="J36" s="8"/>
      <c r="K36" s="8"/>
      <c r="L36" s="8"/>
      <c r="M36" s="8"/>
      <c r="O36" s="8"/>
      <c r="P36" s="8"/>
      <c r="Q36" s="8"/>
      <c r="R36" s="8"/>
      <c r="S36" s="8"/>
      <c r="T36" s="8"/>
      <c r="U36" s="8"/>
      <c r="V36" s="8"/>
      <c r="W36" s="8"/>
      <c r="X36" s="8"/>
      <c r="Y36" s="8"/>
      <c r="Z36" s="8"/>
      <c r="AA36" s="8"/>
      <c r="AB36" s="8"/>
      <c r="AC36" s="8"/>
    </row>
    <row r="37" spans="1:29" ht="13">
      <c r="A37" s="58"/>
      <c r="B37" s="69">
        <v>7</v>
      </c>
      <c r="C37" s="43" t="s">
        <v>235</v>
      </c>
      <c r="D37" s="69">
        <v>1.06573821082762E-3</v>
      </c>
      <c r="E37" s="69">
        <f t="shared" si="3"/>
        <v>0.13000478039295699</v>
      </c>
      <c r="F37" s="71">
        <f t="shared" si="4"/>
        <v>13.000478039295698</v>
      </c>
      <c r="G37" s="43">
        <v>132.99489034199499</v>
      </c>
      <c r="H37" s="43"/>
      <c r="I37" s="8"/>
      <c r="J37" s="8"/>
      <c r="K37" s="8"/>
      <c r="L37" s="8"/>
      <c r="M37" s="8"/>
      <c r="O37" s="8"/>
      <c r="P37" s="8"/>
      <c r="Q37" s="8"/>
      <c r="R37" s="8"/>
      <c r="S37" s="8"/>
      <c r="T37" s="8"/>
      <c r="U37" s="8"/>
      <c r="V37" s="8"/>
      <c r="W37" s="8"/>
      <c r="X37" s="8"/>
      <c r="Y37" s="8"/>
      <c r="Z37" s="8"/>
      <c r="AA37" s="8"/>
      <c r="AB37" s="8"/>
      <c r="AC37" s="8"/>
    </row>
    <row r="38" spans="1:29" ht="13">
      <c r="A38" s="58"/>
      <c r="B38" s="69">
        <v>8</v>
      </c>
      <c r="C38" s="43" t="s">
        <v>236</v>
      </c>
      <c r="D38" s="69">
        <v>1.1422299323759499E-3</v>
      </c>
      <c r="E38" s="69">
        <f t="shared" si="3"/>
        <v>0.13039061344159139</v>
      </c>
      <c r="F38" s="71">
        <f t="shared" si="4"/>
        <v>13.039061344159139</v>
      </c>
      <c r="G38" s="43">
        <v>133.38959755074799</v>
      </c>
      <c r="H38" s="43"/>
      <c r="I38" s="8"/>
      <c r="J38" s="8"/>
      <c r="K38" s="8"/>
      <c r="L38" s="8"/>
      <c r="M38" s="8"/>
      <c r="O38" s="8"/>
      <c r="P38" s="8"/>
      <c r="Q38" s="8"/>
      <c r="R38" s="8"/>
      <c r="S38" s="8"/>
      <c r="T38" s="8"/>
      <c r="U38" s="8"/>
      <c r="V38" s="8"/>
      <c r="W38" s="8"/>
      <c r="X38" s="8"/>
      <c r="Y38" s="8"/>
      <c r="Z38" s="8"/>
      <c r="AA38" s="8"/>
      <c r="AB38" s="8"/>
      <c r="AC38" s="8"/>
    </row>
    <row r="39" spans="1:29" ht="13">
      <c r="A39" s="58"/>
      <c r="B39" s="69">
        <v>9</v>
      </c>
      <c r="C39" s="43" t="s">
        <v>237</v>
      </c>
      <c r="D39" s="69">
        <v>1.22421172963517E-3</v>
      </c>
      <c r="E39" s="69">
        <f t="shared" si="3"/>
        <v>0.13080161973190713</v>
      </c>
      <c r="F39" s="71">
        <f t="shared" si="4"/>
        <v>13.080161973190712</v>
      </c>
      <c r="G39" s="43">
        <v>133.810056985741</v>
      </c>
      <c r="H39" s="43"/>
      <c r="I39" s="8"/>
      <c r="J39" s="8"/>
      <c r="K39" s="8"/>
      <c r="L39" s="8"/>
      <c r="M39" s="8"/>
      <c r="O39" s="8"/>
      <c r="P39" s="8"/>
      <c r="Q39" s="8"/>
      <c r="R39" s="8"/>
      <c r="S39" s="8"/>
      <c r="T39" s="8"/>
      <c r="U39" s="8"/>
      <c r="V39" s="8"/>
      <c r="W39" s="8"/>
      <c r="X39" s="8"/>
      <c r="Y39" s="8"/>
      <c r="Z39" s="8"/>
      <c r="AA39" s="8"/>
      <c r="AB39" s="8"/>
      <c r="AC39" s="8"/>
    </row>
    <row r="40" spans="1:29" ht="13">
      <c r="A40" s="58"/>
      <c r="B40" s="69">
        <v>10</v>
      </c>
      <c r="C40" s="43" t="s">
        <v>238</v>
      </c>
      <c r="D40" s="69">
        <v>1.31207764434863E-3</v>
      </c>
      <c r="E40" s="69">
        <f t="shared" si="3"/>
        <v>0.13123927663194426</v>
      </c>
      <c r="F40" s="71">
        <f t="shared" si="4"/>
        <v>13.123927663194426</v>
      </c>
      <c r="G40" s="43">
        <v>134.25777999447899</v>
      </c>
      <c r="H40" s="43"/>
      <c r="I40" s="8"/>
      <c r="J40" s="8"/>
      <c r="K40" s="8"/>
      <c r="L40" s="8"/>
      <c r="M40" s="8"/>
      <c r="O40" s="8"/>
      <c r="P40" s="8"/>
      <c r="Q40" s="8"/>
      <c r="R40" s="8"/>
      <c r="S40" s="8"/>
      <c r="T40" s="8"/>
      <c r="U40" s="8"/>
      <c r="V40" s="8"/>
      <c r="W40" s="8"/>
      <c r="X40" s="8"/>
      <c r="Y40" s="8"/>
      <c r="Z40" s="8"/>
      <c r="AA40" s="8"/>
      <c r="AB40" s="8"/>
      <c r="AC40" s="8"/>
    </row>
    <row r="41" spans="1:29" ht="13">
      <c r="A41" s="58"/>
      <c r="B41" s="69">
        <v>11</v>
      </c>
      <c r="C41" s="43" t="s">
        <v>239</v>
      </c>
      <c r="D41" s="69">
        <v>1.4062499999999999E-3</v>
      </c>
      <c r="E41" s="69">
        <f t="shared" si="3"/>
        <v>0.13170512761980155</v>
      </c>
      <c r="F41" s="71">
        <f t="shared" si="4"/>
        <v>13.170512761980154</v>
      </c>
      <c r="G41" s="43">
        <v>134.73434555505699</v>
      </c>
      <c r="H41" s="43"/>
      <c r="I41" s="8"/>
      <c r="J41" s="8"/>
      <c r="K41" s="8"/>
      <c r="L41" s="8"/>
      <c r="M41" s="8"/>
      <c r="O41" s="8"/>
      <c r="P41" s="8"/>
      <c r="Q41" s="8"/>
      <c r="R41" s="8"/>
      <c r="S41" s="8"/>
      <c r="T41" s="8"/>
      <c r="U41" s="8"/>
      <c r="V41" s="8"/>
      <c r="W41" s="8"/>
      <c r="X41" s="8"/>
      <c r="Y41" s="8"/>
      <c r="Z41" s="8"/>
      <c r="AA41" s="8"/>
      <c r="AB41" s="8"/>
      <c r="AC41" s="8"/>
    </row>
    <row r="42" spans="1:29" ht="13">
      <c r="A42" s="58"/>
      <c r="B42" s="69">
        <v>12</v>
      </c>
      <c r="C42" s="43" t="s">
        <v>240</v>
      </c>
      <c r="D42" s="69">
        <v>1.5071814316916601E-3</v>
      </c>
      <c r="E42" s="69">
        <f t="shared" si="3"/>
        <v>0.13220078273949754</v>
      </c>
      <c r="F42" s="71">
        <f t="shared" si="4"/>
        <v>13.220078273949753</v>
      </c>
      <c r="G42" s="43">
        <v>135.24140074250599</v>
      </c>
      <c r="H42" s="43"/>
      <c r="I42" s="8"/>
      <c r="J42" s="8"/>
      <c r="K42" s="8"/>
      <c r="L42" s="8"/>
      <c r="M42" s="8"/>
      <c r="O42" s="8"/>
      <c r="P42" s="8"/>
      <c r="Q42" s="8"/>
      <c r="R42" s="8"/>
      <c r="S42" s="8"/>
      <c r="T42" s="8"/>
      <c r="U42" s="8"/>
      <c r="V42" s="8"/>
      <c r="W42" s="8"/>
      <c r="X42" s="8"/>
      <c r="Y42" s="8"/>
      <c r="Z42" s="8"/>
      <c r="AA42" s="8"/>
      <c r="AB42" s="8"/>
      <c r="AC42" s="8"/>
    </row>
    <row r="43" spans="1:29" ht="13">
      <c r="A43" s="58"/>
      <c r="B43" s="69">
        <v>13</v>
      </c>
      <c r="C43" s="43" t="s">
        <v>241</v>
      </c>
      <c r="D43" s="69">
        <v>1.6153570617145801E-3</v>
      </c>
      <c r="E43" s="69">
        <f t="shared" si="3"/>
        <v>0.1327279188204907</v>
      </c>
      <c r="F43" s="71">
        <f t="shared" si="4"/>
        <v>13.27279188204907</v>
      </c>
      <c r="G43" s="43">
        <v>135.780660953362</v>
      </c>
      <c r="H43" s="43"/>
      <c r="I43" s="8"/>
      <c r="J43" s="8"/>
      <c r="K43" s="8"/>
      <c r="L43" s="8"/>
      <c r="M43" s="8"/>
      <c r="O43" s="8"/>
      <c r="P43" s="8"/>
      <c r="Q43" s="8"/>
      <c r="R43" s="8"/>
      <c r="S43" s="8"/>
      <c r="T43" s="8"/>
      <c r="U43" s="8"/>
      <c r="V43" s="8"/>
      <c r="W43" s="8"/>
      <c r="X43" s="8"/>
      <c r="Y43" s="8"/>
      <c r="Z43" s="8"/>
      <c r="AA43" s="8"/>
      <c r="AB43" s="8"/>
      <c r="AC43" s="8"/>
    </row>
    <row r="44" spans="1:29" ht="13">
      <c r="A44" s="58"/>
      <c r="B44" s="69">
        <v>14</v>
      </c>
      <c r="C44" s="43" t="s">
        <v>242</v>
      </c>
      <c r="D44" s="69">
        <v>1.73129683126628E-3</v>
      </c>
      <c r="E44" s="69">
        <f t="shared" si="3"/>
        <v>0.13328827933981524</v>
      </c>
      <c r="F44" s="71">
        <f t="shared" si="4"/>
        <v>13.328827933981524</v>
      </c>
      <c r="G44" s="43">
        <v>136.353909764631</v>
      </c>
      <c r="H44" s="43"/>
      <c r="I44" s="8"/>
      <c r="J44" s="8"/>
      <c r="K44" s="8"/>
      <c r="L44" s="8"/>
      <c r="M44" s="8"/>
      <c r="O44" s="8"/>
      <c r="P44" s="8"/>
      <c r="Q44" s="8"/>
      <c r="R44" s="8"/>
      <c r="S44" s="8"/>
      <c r="T44" s="8"/>
      <c r="U44" s="8"/>
      <c r="V44" s="8"/>
      <c r="W44" s="8"/>
      <c r="X44" s="8"/>
      <c r="Y44" s="8"/>
      <c r="Z44" s="8"/>
      <c r="AA44" s="8"/>
      <c r="AB44" s="8"/>
      <c r="AC44" s="8"/>
    </row>
    <row r="45" spans="1:29" ht="13">
      <c r="A45" s="58"/>
      <c r="B45" s="69">
        <v>15</v>
      </c>
      <c r="C45" s="43" t="s">
        <v>243</v>
      </c>
      <c r="D45" s="69">
        <v>1.85555799952438E-3</v>
      </c>
      <c r="E45" s="69">
        <f t="shared" si="3"/>
        <v>0.1338836739382317</v>
      </c>
      <c r="F45" s="71">
        <f t="shared" si="4"/>
        <v>13.38836739382317</v>
      </c>
      <c r="G45" s="43">
        <v>136.96299843881101</v>
      </c>
      <c r="H45" s="43"/>
      <c r="I45" s="8"/>
      <c r="J45" s="8"/>
      <c r="K45" s="8"/>
      <c r="L45" s="8"/>
      <c r="M45" s="8"/>
      <c r="O45" s="8"/>
      <c r="P45" s="8"/>
      <c r="Q45" s="8"/>
      <c r="R45" s="8"/>
      <c r="S45" s="8"/>
      <c r="T45" s="8"/>
      <c r="U45" s="8"/>
      <c r="V45" s="8"/>
      <c r="W45" s="8"/>
      <c r="X45" s="8"/>
      <c r="Y45" s="8"/>
      <c r="Z45" s="8"/>
      <c r="AA45" s="8"/>
      <c r="AB45" s="8"/>
      <c r="AC45" s="8"/>
    </row>
    <row r="46" spans="1:29" ht="13">
      <c r="A46" s="58"/>
      <c r="B46" s="69">
        <v>16</v>
      </c>
      <c r="C46" s="43" t="s">
        <v>244</v>
      </c>
      <c r="D46" s="69">
        <v>1.98873782208716E-3</v>
      </c>
      <c r="E46" s="69">
        <f t="shared" si="3"/>
        <v>0.13451597751287292</v>
      </c>
      <c r="F46" s="71">
        <f t="shared" si="4"/>
        <v>13.451597751287292</v>
      </c>
      <c r="G46" s="43">
        <v>137.60984499566899</v>
      </c>
      <c r="H46" s="43"/>
      <c r="I46" s="8"/>
      <c r="J46" s="8"/>
      <c r="K46" s="8"/>
      <c r="L46" s="8"/>
      <c r="M46" s="8"/>
      <c r="O46" s="8"/>
      <c r="P46" s="8"/>
      <c r="Q46" s="8"/>
      <c r="R46" s="8"/>
      <c r="S46" s="8"/>
      <c r="T46" s="8"/>
      <c r="U46" s="8"/>
      <c r="V46" s="8"/>
      <c r="W46" s="8"/>
      <c r="X46" s="8"/>
      <c r="Y46" s="8"/>
      <c r="Z46" s="8"/>
      <c r="AA46" s="8"/>
      <c r="AB46" s="8"/>
      <c r="AC46" s="8"/>
    </row>
    <row r="47" spans="1:29" ht="13">
      <c r="A47" s="58"/>
      <c r="B47" s="69">
        <v>17</v>
      </c>
      <c r="C47" s="43" t="s">
        <v>245</v>
      </c>
      <c r="D47" s="69">
        <v>2.13147642165524E-3</v>
      </c>
      <c r="E47" s="69">
        <f t="shared" si="3"/>
        <v>0.13518712898051222</v>
      </c>
      <c r="F47" s="71">
        <f t="shared" si="4"/>
        <v>13.518712898051222</v>
      </c>
      <c r="G47" s="43">
        <v>138.29643294706401</v>
      </c>
      <c r="H47" s="43"/>
      <c r="I47" s="8"/>
      <c r="J47" s="8"/>
      <c r="K47" s="8"/>
      <c r="L47" s="8"/>
      <c r="M47" s="8"/>
      <c r="O47" s="8"/>
      <c r="P47" s="8"/>
      <c r="Q47" s="8"/>
      <c r="R47" s="8"/>
      <c r="S47" s="8"/>
      <c r="T47" s="8"/>
      <c r="U47" s="8"/>
      <c r="V47" s="8"/>
      <c r="W47" s="8"/>
      <c r="X47" s="8"/>
      <c r="Y47" s="8"/>
      <c r="Z47" s="8"/>
      <c r="AA47" s="8"/>
      <c r="AB47" s="8"/>
      <c r="AC47" s="8"/>
    </row>
    <row r="48" spans="1:29" ht="13">
      <c r="A48" s="58"/>
      <c r="B48" s="69">
        <v>18</v>
      </c>
      <c r="C48" s="43" t="s">
        <v>246</v>
      </c>
      <c r="D48" s="69">
        <v>2.2844598647519098E-3</v>
      </c>
      <c r="E48" s="69">
        <f t="shared" si="3"/>
        <v>0.13589912953270966</v>
      </c>
      <c r="F48" s="71">
        <f t="shared" si="4"/>
        <v>13.589912953270966</v>
      </c>
      <c r="G48" s="43">
        <v>139.02480951196199</v>
      </c>
      <c r="H48" s="43"/>
      <c r="I48" s="8"/>
      <c r="J48" s="8"/>
      <c r="K48" s="8"/>
      <c r="L48" s="8"/>
      <c r="M48" s="8"/>
      <c r="O48" s="8"/>
      <c r="P48" s="8"/>
      <c r="Q48" s="8"/>
      <c r="R48" s="8"/>
      <c r="S48" s="8"/>
      <c r="T48" s="8"/>
      <c r="U48" s="8"/>
      <c r="V48" s="8"/>
      <c r="W48" s="8"/>
      <c r="X48" s="8"/>
      <c r="Y48" s="8"/>
      <c r="Z48" s="8"/>
      <c r="AA48" s="8"/>
      <c r="AB48" s="8"/>
      <c r="AC48" s="8"/>
    </row>
    <row r="49" spans="1:29" ht="13">
      <c r="A49" s="58"/>
      <c r="B49" s="69">
        <v>19</v>
      </c>
      <c r="C49" s="43" t="s">
        <v>247</v>
      </c>
      <c r="D49" s="69">
        <v>2.44842345927034E-3</v>
      </c>
      <c r="E49" s="69">
        <f t="shared" si="3"/>
        <v>0.1366540405242522</v>
      </c>
      <c r="F49" s="71">
        <f t="shared" si="4"/>
        <v>13.66540405242522</v>
      </c>
      <c r="G49" s="43">
        <v>139.79708345630999</v>
      </c>
      <c r="H49" s="43"/>
      <c r="I49" s="8"/>
      <c r="J49" s="8"/>
      <c r="K49" s="8"/>
      <c r="L49" s="8"/>
      <c r="M49" s="8"/>
      <c r="O49" s="8"/>
      <c r="P49" s="8"/>
      <c r="Q49" s="8"/>
      <c r="R49" s="8"/>
      <c r="S49" s="8"/>
      <c r="T49" s="8"/>
      <c r="U49" s="8"/>
      <c r="V49" s="8"/>
      <c r="W49" s="8"/>
      <c r="X49" s="8"/>
      <c r="Y49" s="8"/>
      <c r="Z49" s="8"/>
      <c r="AA49" s="8"/>
      <c r="AB49" s="8"/>
      <c r="AC49" s="8"/>
    </row>
    <row r="50" spans="1:29" ht="13">
      <c r="A50" s="58"/>
      <c r="B50" s="69">
        <v>20</v>
      </c>
      <c r="C50" s="43" t="s">
        <v>248</v>
      </c>
      <c r="D50" s="69">
        <v>2.6241552886972701E-3</v>
      </c>
      <c r="E50" s="69">
        <f t="shared" si="3"/>
        <v>0.1374539808941701</v>
      </c>
      <c r="F50" s="71">
        <f t="shared" si="4"/>
        <v>13.74539808941701</v>
      </c>
      <c r="G50" s="43">
        <v>140.61542245473601</v>
      </c>
      <c r="H50" s="43"/>
      <c r="I50" s="8"/>
      <c r="J50" s="8"/>
      <c r="K50" s="8"/>
      <c r="L50" s="8"/>
      <c r="M50" s="8"/>
      <c r="O50" s="8"/>
      <c r="P50" s="8"/>
      <c r="Q50" s="8"/>
      <c r="R50" s="8"/>
      <c r="S50" s="8"/>
      <c r="T50" s="8"/>
      <c r="U50" s="8"/>
      <c r="V50" s="8"/>
      <c r="W50" s="8"/>
      <c r="X50" s="8"/>
      <c r="Y50" s="8"/>
      <c r="Z50" s="8"/>
      <c r="AA50" s="8"/>
      <c r="AB50" s="8"/>
      <c r="AC50" s="8"/>
    </row>
    <row r="51" spans="1:29" ht="13">
      <c r="A51" s="58"/>
      <c r="B51" s="69">
        <v>21</v>
      </c>
      <c r="C51" s="43" t="s">
        <v>249</v>
      </c>
      <c r="D51" s="69">
        <v>2.8124999999999999E-3</v>
      </c>
      <c r="E51" s="69">
        <f t="shared" si="3"/>
        <v>0.13830112412665788</v>
      </c>
      <c r="F51" s="71">
        <f t="shared" si="4"/>
        <v>13.830112412665788</v>
      </c>
      <c r="G51" s="43">
        <v>141.48204998157101</v>
      </c>
      <c r="H51" s="43"/>
      <c r="I51" s="8"/>
      <c r="J51" s="8"/>
      <c r="K51" s="8"/>
      <c r="L51" s="8"/>
      <c r="M51" s="8"/>
      <c r="O51" s="8"/>
      <c r="P51" s="8"/>
      <c r="Q51" s="8"/>
      <c r="R51" s="8"/>
      <c r="S51" s="8"/>
      <c r="T51" s="8"/>
      <c r="U51" s="8"/>
      <c r="V51" s="8"/>
      <c r="W51" s="8"/>
      <c r="X51" s="8"/>
      <c r="Y51" s="8"/>
      <c r="Z51" s="8"/>
      <c r="AA51" s="8"/>
      <c r="AB51" s="8"/>
      <c r="AC51" s="8"/>
    </row>
    <row r="52" spans="1:29" ht="13">
      <c r="A52" s="58"/>
      <c r="B52" s="69">
        <v>22</v>
      </c>
      <c r="C52" s="43" t="s">
        <v>250</v>
      </c>
      <c r="D52" s="69">
        <v>3.0143628633833202E-3</v>
      </c>
      <c r="E52" s="69">
        <f t="shared" si="3"/>
        <v>0.13919769483199318</v>
      </c>
      <c r="F52" s="71">
        <f t="shared" si="4"/>
        <v>13.919769483199318</v>
      </c>
      <c r="G52" s="43">
        <v>142.39924181312901</v>
      </c>
      <c r="H52" s="43"/>
      <c r="I52" s="8"/>
      <c r="J52" s="8"/>
      <c r="K52" s="8"/>
      <c r="L52" s="8"/>
      <c r="M52" s="8"/>
      <c r="O52" s="8"/>
      <c r="P52" s="8"/>
      <c r="Q52" s="8"/>
      <c r="R52" s="8"/>
      <c r="S52" s="8"/>
      <c r="T52" s="8"/>
      <c r="U52" s="8"/>
      <c r="V52" s="8"/>
      <c r="W52" s="8"/>
      <c r="X52" s="8"/>
      <c r="Y52" s="8"/>
      <c r="Z52" s="8"/>
      <c r="AA52" s="8"/>
      <c r="AB52" s="8"/>
      <c r="AC52" s="8"/>
    </row>
    <row r="53" spans="1:29" ht="13">
      <c r="A53" s="58"/>
      <c r="B53" s="69">
        <v>23</v>
      </c>
      <c r="C53" s="43" t="s">
        <v>251</v>
      </c>
      <c r="D53" s="69">
        <v>3.2307141234291601E-3</v>
      </c>
      <c r="E53" s="69">
        <f t="shared" si="3"/>
        <v>0.14014596487058162</v>
      </c>
      <c r="F53" s="71">
        <f t="shared" si="4"/>
        <v>14.014596487058162</v>
      </c>
      <c r="G53" s="43">
        <v>143.36932206260499</v>
      </c>
      <c r="H53" s="43"/>
      <c r="I53" s="8"/>
      <c r="J53" s="8"/>
      <c r="K53" s="8"/>
      <c r="L53" s="8"/>
      <c r="M53" s="8"/>
      <c r="O53" s="8"/>
      <c r="P53" s="8"/>
      <c r="Q53" s="8"/>
      <c r="R53" s="8"/>
      <c r="S53" s="8"/>
      <c r="T53" s="8"/>
      <c r="U53" s="8"/>
      <c r="V53" s="8"/>
      <c r="W53" s="8"/>
      <c r="X53" s="8"/>
      <c r="Y53" s="8"/>
      <c r="Z53" s="8"/>
      <c r="AA53" s="8"/>
      <c r="AB53" s="8"/>
      <c r="AC53" s="8"/>
    </row>
    <row r="54" spans="1:29" ht="13">
      <c r="A54" s="58"/>
      <c r="B54" s="69">
        <v>24</v>
      </c>
      <c r="C54" s="43" t="s">
        <v>252</v>
      </c>
      <c r="D54" s="69">
        <v>3.46259366253257E-3</v>
      </c>
      <c r="E54" s="69">
        <f t="shared" si="3"/>
        <v>0.14114824910566373</v>
      </c>
      <c r="F54" s="71">
        <f t="shared" si="4"/>
        <v>14.114824910566373</v>
      </c>
      <c r="G54" s="43">
        <v>144.39465883509399</v>
      </c>
      <c r="H54" s="43"/>
      <c r="I54" s="8"/>
      <c r="J54" s="8"/>
      <c r="K54" s="8"/>
      <c r="L54" s="8"/>
      <c r="M54" s="8"/>
      <c r="O54" s="8"/>
      <c r="P54" s="8"/>
      <c r="Q54" s="8"/>
      <c r="R54" s="8"/>
      <c r="S54" s="8"/>
      <c r="T54" s="8"/>
      <c r="U54" s="8"/>
      <c r="V54" s="8"/>
      <c r="W54" s="8"/>
      <c r="X54" s="8"/>
      <c r="Y54" s="8"/>
      <c r="Z54" s="8"/>
      <c r="AA54" s="8"/>
      <c r="AB54" s="8"/>
      <c r="AC54" s="8"/>
    </row>
    <row r="55" spans="1:29" ht="13">
      <c r="A55" s="58"/>
      <c r="B55" s="69">
        <v>25</v>
      </c>
      <c r="C55" s="43" t="s">
        <v>253</v>
      </c>
      <c r="D55" s="69">
        <v>3.71111599904876E-3</v>
      </c>
      <c r="E55" s="69">
        <f t="shared" si="3"/>
        <v>0.14220690078648776</v>
      </c>
      <c r="F55" s="71">
        <f t="shared" si="4"/>
        <v>14.220690078648776</v>
      </c>
      <c r="G55" s="43">
        <v>145.47765950457699</v>
      </c>
      <c r="H55" s="43"/>
      <c r="I55" s="8"/>
      <c r="J55" s="8"/>
      <c r="K55" s="8"/>
      <c r="L55" s="8"/>
      <c r="M55" s="8"/>
      <c r="O55" s="8"/>
      <c r="P55" s="8"/>
      <c r="Q55" s="8"/>
      <c r="R55" s="8"/>
      <c r="S55" s="8"/>
      <c r="T55" s="8"/>
      <c r="U55" s="8"/>
      <c r="V55" s="8"/>
      <c r="W55" s="8"/>
      <c r="X55" s="8"/>
      <c r="Y55" s="8"/>
      <c r="Z55" s="8"/>
      <c r="AA55" s="8"/>
      <c r="AB55" s="8"/>
      <c r="AC55" s="8"/>
    </row>
    <row r="56" spans="1:29" ht="13">
      <c r="A56" s="58"/>
      <c r="B56" s="69">
        <v>26</v>
      </c>
      <c r="C56" s="43" t="s">
        <v>254</v>
      </c>
      <c r="D56" s="69">
        <v>3.9774756441743296E-3</v>
      </c>
      <c r="E56" s="69">
        <f t="shared" si="3"/>
        <v>0.1433243066655171</v>
      </c>
      <c r="F56" s="71">
        <f t="shared" si="4"/>
        <v>14.33243066655171</v>
      </c>
      <c r="G56" s="43">
        <v>146.620765718824</v>
      </c>
      <c r="H56" s="43"/>
      <c r="I56" s="8"/>
      <c r="J56" s="8"/>
      <c r="K56" s="8"/>
      <c r="L56" s="8"/>
      <c r="M56" s="8"/>
      <c r="O56" s="8"/>
      <c r="P56" s="8"/>
      <c r="Q56" s="8"/>
      <c r="R56" s="8"/>
      <c r="S56" s="8"/>
      <c r="T56" s="8"/>
      <c r="U56" s="8"/>
      <c r="V56" s="8"/>
      <c r="W56" s="8"/>
      <c r="X56" s="8"/>
      <c r="Y56" s="8"/>
      <c r="Z56" s="8"/>
      <c r="AA56" s="8"/>
      <c r="AB56" s="8"/>
      <c r="AC56" s="8"/>
    </row>
    <row r="57" spans="1:29" ht="13">
      <c r="A57" s="58"/>
      <c r="B57" s="69">
        <v>27</v>
      </c>
      <c r="C57" s="43" t="s">
        <v>255</v>
      </c>
      <c r="D57" s="69">
        <v>4.2629528433104904E-3</v>
      </c>
      <c r="E57" s="69">
        <f t="shared" si="3"/>
        <v>0.14450288180018084</v>
      </c>
      <c r="F57" s="71">
        <f t="shared" si="4"/>
        <v>14.450288180018084</v>
      </c>
      <c r="G57" s="43">
        <v>147.826448081585</v>
      </c>
      <c r="H57" s="43"/>
      <c r="I57" s="8"/>
      <c r="J57" s="8"/>
      <c r="K57" s="8"/>
      <c r="L57" s="8"/>
      <c r="M57" s="8"/>
      <c r="O57" s="8"/>
      <c r="P57" s="8"/>
      <c r="Q57" s="8"/>
      <c r="R57" s="8"/>
      <c r="S57" s="8"/>
      <c r="T57" s="8"/>
      <c r="U57" s="8"/>
      <c r="V57" s="8"/>
      <c r="W57" s="8"/>
      <c r="X57" s="8"/>
      <c r="Y57" s="8"/>
      <c r="Z57" s="8"/>
      <c r="AA57" s="8"/>
      <c r="AB57" s="8"/>
      <c r="AC57" s="8"/>
    </row>
    <row r="58" spans="1:29" ht="13">
      <c r="A58" s="58"/>
      <c r="B58" s="69">
        <v>28</v>
      </c>
      <c r="C58" s="43" t="s">
        <v>256</v>
      </c>
      <c r="D58" s="69">
        <v>4.5689197295038196E-3</v>
      </c>
      <c r="E58" s="69">
        <f t="shared" si="3"/>
        <v>0.14574506420038125</v>
      </c>
      <c r="F58" s="71">
        <f t="shared" si="4"/>
        <v>14.574506420038125</v>
      </c>
      <c r="G58" s="43">
        <v>149.09720067699001</v>
      </c>
      <c r="H58" s="43"/>
      <c r="I58" s="8"/>
      <c r="J58" s="8"/>
      <c r="K58" s="8"/>
      <c r="L58" s="8"/>
      <c r="M58" s="8"/>
      <c r="O58" s="8"/>
      <c r="P58" s="8"/>
      <c r="Q58" s="8"/>
      <c r="R58" s="8"/>
      <c r="S58" s="8"/>
      <c r="T58" s="8"/>
      <c r="U58" s="8"/>
      <c r="V58" s="8"/>
      <c r="W58" s="8"/>
      <c r="X58" s="8"/>
      <c r="Y58" s="8"/>
      <c r="Z58" s="8"/>
      <c r="AA58" s="8"/>
      <c r="AB58" s="8"/>
      <c r="AC58" s="8"/>
    </row>
    <row r="59" spans="1:29" ht="13">
      <c r="A59" s="58"/>
      <c r="B59" s="69">
        <v>29</v>
      </c>
      <c r="C59" s="43" t="s">
        <v>257</v>
      </c>
      <c r="D59" s="69">
        <v>4.8968469185406904E-3</v>
      </c>
      <c r="E59" s="69">
        <f t="shared" si="3"/>
        <v>0.1470533093155699</v>
      </c>
      <c r="F59" s="71">
        <f t="shared" si="4"/>
        <v>14.70533093155699</v>
      </c>
      <c r="G59" s="43">
        <v>150.43553542982801</v>
      </c>
      <c r="H59" s="43"/>
      <c r="I59" s="8"/>
      <c r="J59" s="8"/>
      <c r="K59" s="8"/>
      <c r="L59" s="8"/>
      <c r="M59" s="8"/>
      <c r="O59" s="8"/>
      <c r="P59" s="8"/>
      <c r="Q59" s="8"/>
      <c r="R59" s="8"/>
      <c r="S59" s="8"/>
      <c r="T59" s="8"/>
      <c r="U59" s="8"/>
      <c r="V59" s="8"/>
      <c r="W59" s="8"/>
      <c r="X59" s="8"/>
      <c r="Y59" s="8"/>
      <c r="Z59" s="8"/>
      <c r="AA59" s="8"/>
      <c r="AB59" s="8"/>
      <c r="AC59" s="8"/>
    </row>
    <row r="60" spans="1:29" ht="13">
      <c r="A60" s="58"/>
      <c r="B60" s="69">
        <v>30</v>
      </c>
      <c r="C60" s="43" t="s">
        <v>258</v>
      </c>
      <c r="D60" s="69">
        <v>5.2483105773945401E-3</v>
      </c>
      <c r="E60" s="69">
        <f t="shared" si="3"/>
        <v>0.14843008450264517</v>
      </c>
      <c r="F60" s="71">
        <f t="shared" si="4"/>
        <v>14.843008450264517</v>
      </c>
      <c r="G60" s="43">
        <v>151.843976446206</v>
      </c>
      <c r="H60" s="43"/>
      <c r="I60" s="8"/>
      <c r="J60" s="8"/>
      <c r="K60" s="8"/>
      <c r="L60" s="8"/>
      <c r="M60" s="8"/>
      <c r="O60" s="8"/>
      <c r="P60" s="8"/>
      <c r="Q60" s="8"/>
      <c r="R60" s="8"/>
      <c r="S60" s="8"/>
      <c r="T60" s="8"/>
      <c r="U60" s="8"/>
      <c r="V60" s="8"/>
      <c r="W60" s="8"/>
      <c r="X60" s="8"/>
      <c r="Y60" s="8"/>
      <c r="Z60" s="8"/>
      <c r="AA60" s="8"/>
      <c r="AB60" s="8"/>
      <c r="AC60" s="8"/>
    </row>
    <row r="61" spans="1:29" ht="13">
      <c r="A61" s="58"/>
      <c r="B61" s="69">
        <v>31</v>
      </c>
      <c r="C61" s="43" t="s">
        <v>259</v>
      </c>
      <c r="D61" s="69">
        <v>5.6249999999999998E-3</v>
      </c>
      <c r="E61" s="69">
        <f t="shared" si="3"/>
        <v>0.14987786349979179</v>
      </c>
      <c r="F61" s="71">
        <f t="shared" si="4"/>
        <v>14.98778634997918</v>
      </c>
      <c r="G61" s="43">
        <v>153.325054360287</v>
      </c>
      <c r="H61" s="43"/>
      <c r="I61" s="8"/>
      <c r="J61" s="8"/>
      <c r="K61" s="8"/>
      <c r="L61" s="8"/>
      <c r="M61" s="8"/>
      <c r="O61" s="8"/>
      <c r="P61" s="8"/>
      <c r="Q61" s="8"/>
      <c r="R61" s="8"/>
      <c r="S61" s="8"/>
      <c r="T61" s="8"/>
      <c r="U61" s="8"/>
      <c r="V61" s="8"/>
      <c r="W61" s="8"/>
      <c r="X61" s="8"/>
      <c r="Y61" s="8"/>
      <c r="Z61" s="8"/>
      <c r="AA61" s="8"/>
      <c r="AB61" s="8"/>
      <c r="AC61" s="8"/>
    </row>
    <row r="62" spans="1:29" ht="13">
      <c r="A62" s="58"/>
      <c r="B62" s="69">
        <v>32</v>
      </c>
      <c r="C62" s="43" t="s">
        <v>260</v>
      </c>
      <c r="D62" s="69">
        <v>6.0287257267666403E-3</v>
      </c>
      <c r="E62" s="69">
        <f t="shared" si="3"/>
        <v>0.15139912098499902</v>
      </c>
      <c r="F62" s="71">
        <f t="shared" si="4"/>
        <v>15.139912098499902</v>
      </c>
      <c r="G62" s="43">
        <v>154.88130076765401</v>
      </c>
      <c r="H62" s="43"/>
      <c r="I62" s="8"/>
      <c r="J62" s="8"/>
      <c r="K62" s="8"/>
      <c r="L62" s="8"/>
      <c r="M62" s="8"/>
      <c r="O62" s="8"/>
      <c r="P62" s="8"/>
      <c r="Q62" s="8"/>
      <c r="R62" s="8"/>
      <c r="S62" s="8"/>
      <c r="T62" s="8"/>
      <c r="U62" s="8"/>
      <c r="V62" s="8"/>
      <c r="W62" s="8"/>
      <c r="X62" s="8"/>
      <c r="Y62" s="8"/>
      <c r="Z62" s="8"/>
      <c r="AA62" s="8"/>
      <c r="AB62" s="8"/>
      <c r="AC62" s="8"/>
    </row>
    <row r="63" spans="1:29" ht="13">
      <c r="A63" s="58"/>
      <c r="B63" s="69">
        <v>33</v>
      </c>
      <c r="C63" s="43" t="s">
        <v>261</v>
      </c>
      <c r="D63" s="69">
        <v>6.4614282468583202E-3</v>
      </c>
      <c r="E63" s="69">
        <f t="shared" si="3"/>
        <v>0.15299632736369209</v>
      </c>
      <c r="F63" s="71">
        <f t="shared" si="4"/>
        <v>15.29963273636921</v>
      </c>
      <c r="G63" s="43">
        <v>156.51524289305701</v>
      </c>
      <c r="H63" s="43"/>
      <c r="I63" s="8"/>
      <c r="J63" s="8"/>
      <c r="K63" s="8"/>
      <c r="L63" s="8"/>
      <c r="M63" s="8"/>
      <c r="O63" s="8"/>
      <c r="P63" s="8"/>
      <c r="Q63" s="8"/>
      <c r="R63" s="8"/>
      <c r="S63" s="8"/>
      <c r="T63" s="8"/>
      <c r="U63" s="8"/>
      <c r="V63" s="8"/>
      <c r="W63" s="8"/>
      <c r="X63" s="8"/>
      <c r="Y63" s="8"/>
      <c r="Z63" s="8"/>
      <c r="AA63" s="8"/>
      <c r="AB63" s="8"/>
      <c r="AC63" s="8"/>
    </row>
    <row r="64" spans="1:29" ht="13">
      <c r="A64" s="58"/>
      <c r="B64" s="69">
        <v>34</v>
      </c>
      <c r="C64" s="43" t="s">
        <v>262</v>
      </c>
      <c r="D64" s="69">
        <v>6.9251873250651503E-3</v>
      </c>
      <c r="E64" s="69">
        <f t="shared" si="3"/>
        <v>0.15467194380544086</v>
      </c>
      <c r="F64" s="71">
        <f t="shared" si="4"/>
        <v>15.467194380544086</v>
      </c>
      <c r="G64" s="43">
        <v>158.22939851296599</v>
      </c>
      <c r="H64" s="43"/>
      <c r="I64" s="8"/>
      <c r="J64" s="8"/>
      <c r="K64" s="8"/>
      <c r="L64" s="8"/>
      <c r="M64" s="8"/>
      <c r="O64" s="8"/>
      <c r="P64" s="8"/>
      <c r="Q64" s="8"/>
      <c r="R64" s="8"/>
      <c r="S64" s="8"/>
      <c r="T64" s="8"/>
      <c r="U64" s="8"/>
      <c r="V64" s="8"/>
      <c r="W64" s="8"/>
      <c r="X64" s="8"/>
      <c r="Y64" s="8"/>
      <c r="Z64" s="8"/>
      <c r="AA64" s="8"/>
      <c r="AB64" s="8"/>
      <c r="AC64" s="8"/>
    </row>
    <row r="65" spans="1:29" ht="13">
      <c r="A65" s="58"/>
      <c r="B65" s="69">
        <v>35</v>
      </c>
      <c r="C65" s="43" t="s">
        <v>263</v>
      </c>
      <c r="D65" s="69">
        <v>7.4222319980975296E-3</v>
      </c>
      <c r="E65" s="69">
        <f t="shared" si="3"/>
        <v>0.15642841763332843</v>
      </c>
      <c r="F65" s="71">
        <f t="shared" si="4"/>
        <v>15.642841763332843</v>
      </c>
      <c r="G65" s="43">
        <v>160.02627123889499</v>
      </c>
      <c r="H65" s="43"/>
      <c r="I65" s="8"/>
      <c r="J65" s="8"/>
      <c r="K65" s="8"/>
      <c r="L65" s="8"/>
      <c r="M65" s="8"/>
      <c r="O65" s="8"/>
      <c r="P65" s="8"/>
      <c r="Q65" s="8"/>
      <c r="R65" s="8"/>
      <c r="S65" s="8"/>
      <c r="T65" s="8"/>
      <c r="U65" s="8"/>
      <c r="V65" s="8"/>
      <c r="W65" s="8"/>
      <c r="X65" s="8"/>
      <c r="Y65" s="8"/>
      <c r="Z65" s="8"/>
      <c r="AA65" s="8"/>
      <c r="AB65" s="8"/>
      <c r="AC65" s="8"/>
    </row>
    <row r="66" spans="1:29" ht="13">
      <c r="A66" s="58"/>
      <c r="B66" s="69">
        <v>36</v>
      </c>
      <c r="C66" s="43" t="s">
        <v>264</v>
      </c>
      <c r="D66" s="69">
        <v>7.9549512883486592E-3</v>
      </c>
      <c r="E66" s="69">
        <f t="shared" si="3"/>
        <v>0.15826817813611829</v>
      </c>
      <c r="F66" s="71">
        <f t="shared" si="4"/>
        <v>15.826817813611829</v>
      </c>
      <c r="G66" s="43">
        <v>161.90834623324901</v>
      </c>
      <c r="H66" s="43"/>
      <c r="I66" s="8"/>
      <c r="J66" s="8"/>
      <c r="K66" s="8"/>
      <c r="L66" s="8"/>
      <c r="M66" s="8"/>
      <c r="O66" s="8"/>
      <c r="P66" s="8"/>
      <c r="Q66" s="8"/>
      <c r="R66" s="8"/>
      <c r="S66" s="8"/>
      <c r="T66" s="8"/>
      <c r="U66" s="8"/>
      <c r="V66" s="8"/>
      <c r="W66" s="8"/>
      <c r="X66" s="8"/>
      <c r="Y66" s="8"/>
      <c r="Z66" s="8"/>
      <c r="AA66" s="8"/>
      <c r="AB66" s="8"/>
      <c r="AC66" s="8"/>
    </row>
    <row r="67" spans="1:29" ht="13">
      <c r="A67" s="58"/>
      <c r="B67" s="69">
        <v>37</v>
      </c>
      <c r="C67" s="43" t="s">
        <v>265</v>
      </c>
      <c r="D67" s="69">
        <v>8.5259056866209808E-3</v>
      </c>
      <c r="E67" s="69">
        <f t="shared" si="3"/>
        <v>0.16019363288220625</v>
      </c>
      <c r="F67" s="71">
        <f t="shared" si="4"/>
        <v>16.019363288220624</v>
      </c>
      <c r="G67" s="43">
        <v>163.87808643849701</v>
      </c>
      <c r="H67" s="43"/>
      <c r="I67" s="8"/>
      <c r="J67" s="8"/>
      <c r="K67" s="8"/>
      <c r="L67" s="8"/>
      <c r="M67" s="8"/>
      <c r="O67" s="8"/>
      <c r="P67" s="8"/>
      <c r="Q67" s="8"/>
      <c r="R67" s="8"/>
      <c r="S67" s="8"/>
      <c r="T67" s="8"/>
      <c r="U67" s="8"/>
      <c r="V67" s="8"/>
      <c r="W67" s="8"/>
      <c r="X67" s="8"/>
      <c r="Y67" s="8"/>
      <c r="Z67" s="8"/>
      <c r="AA67" s="8"/>
      <c r="AB67" s="8"/>
      <c r="AC67" s="8"/>
    </row>
    <row r="68" spans="1:29" ht="13">
      <c r="A68" s="58"/>
      <c r="B68" s="69">
        <v>38</v>
      </c>
      <c r="C68" s="43" t="s">
        <v>266</v>
      </c>
      <c r="D68" s="69">
        <v>9.1378394590076496E-3</v>
      </c>
      <c r="E68" s="69">
        <f t="shared" si="3"/>
        <v>0.16220716455889736</v>
      </c>
      <c r="F68" s="71">
        <f t="shared" si="4"/>
        <v>16.220716455889736</v>
      </c>
      <c r="G68" s="43">
        <v>165.93792934375199</v>
      </c>
      <c r="H68" s="43"/>
      <c r="I68" s="8"/>
      <c r="J68" s="8"/>
      <c r="K68" s="8"/>
      <c r="L68" s="8"/>
      <c r="M68" s="8"/>
      <c r="O68" s="8"/>
      <c r="P68" s="8"/>
      <c r="Q68" s="8"/>
      <c r="R68" s="8"/>
      <c r="S68" s="8"/>
      <c r="T68" s="8"/>
      <c r="U68" s="8"/>
      <c r="V68" s="8"/>
      <c r="W68" s="8"/>
      <c r="X68" s="8"/>
      <c r="Y68" s="8"/>
      <c r="Z68" s="8"/>
      <c r="AA68" s="8"/>
      <c r="AB68" s="8"/>
      <c r="AC68" s="8"/>
    </row>
    <row r="69" spans="1:29" ht="13">
      <c r="A69" s="58"/>
      <c r="B69" s="69">
        <v>39</v>
      </c>
      <c r="C69" s="43" t="s">
        <v>267</v>
      </c>
      <c r="D69" s="69">
        <v>9.7936938370813895E-3</v>
      </c>
      <c r="E69" s="69">
        <f t="shared" si="3"/>
        <v>0.16431112844911339</v>
      </c>
      <c r="F69" s="71">
        <f t="shared" si="4"/>
        <v>16.43111284491134</v>
      </c>
      <c r="G69" s="43">
        <v>168.09028440344301</v>
      </c>
      <c r="H69" s="43"/>
      <c r="I69" s="8"/>
      <c r="J69" s="8"/>
      <c r="K69" s="8"/>
      <c r="L69" s="8"/>
      <c r="M69" s="8"/>
      <c r="O69" s="8"/>
      <c r="P69" s="8"/>
      <c r="Q69" s="8"/>
      <c r="R69" s="8"/>
      <c r="S69" s="8"/>
      <c r="T69" s="8"/>
      <c r="U69" s="8"/>
      <c r="V69" s="8"/>
      <c r="W69" s="8"/>
      <c r="X69" s="8"/>
      <c r="Y69" s="8"/>
      <c r="Z69" s="8"/>
      <c r="AA69" s="8"/>
      <c r="AB69" s="8"/>
      <c r="AC69" s="8"/>
    </row>
    <row r="70" spans="1:29" ht="13">
      <c r="A70" s="58"/>
      <c r="B70" s="69">
        <v>40</v>
      </c>
      <c r="C70" s="43" t="s">
        <v>268</v>
      </c>
      <c r="D70" s="69">
        <v>1.0496621154789E-2</v>
      </c>
      <c r="E70" s="69">
        <f t="shared" si="3"/>
        <v>0.16650785048822872</v>
      </c>
      <c r="F70" s="71">
        <f t="shared" si="4"/>
        <v>16.650785048822872</v>
      </c>
      <c r="G70" s="43">
        <v>170.33753104945799</v>
      </c>
      <c r="H70" s="43"/>
      <c r="I70" s="8"/>
      <c r="J70" s="8"/>
      <c r="K70" s="8"/>
      <c r="L70" s="8"/>
      <c r="M70" s="8"/>
      <c r="O70" s="8"/>
      <c r="P70" s="8"/>
      <c r="Q70" s="8"/>
      <c r="R70" s="8"/>
      <c r="S70" s="8"/>
      <c r="T70" s="8"/>
      <c r="U70" s="8"/>
      <c r="V70" s="8"/>
      <c r="W70" s="8"/>
      <c r="X70" s="8"/>
      <c r="Y70" s="8"/>
      <c r="Z70" s="8"/>
      <c r="AA70" s="8"/>
      <c r="AB70" s="8"/>
      <c r="AC70" s="8"/>
    </row>
    <row r="71" spans="1:29" ht="13">
      <c r="A71" s="58"/>
      <c r="B71" s="69">
        <v>41</v>
      </c>
      <c r="C71" s="43" t="s">
        <v>269</v>
      </c>
      <c r="D71" s="69">
        <v>1.125E-2</v>
      </c>
      <c r="E71" s="69">
        <f t="shared" si="3"/>
        <v>0.1687996260920567</v>
      </c>
      <c r="F71" s="71">
        <f t="shared" si="4"/>
        <v>16.87996260920567</v>
      </c>
      <c r="G71" s="43">
        <v>172.682017492174</v>
      </c>
      <c r="H71" s="43"/>
      <c r="I71" s="8"/>
      <c r="J71" s="8"/>
      <c r="K71" s="8"/>
      <c r="L71" s="8"/>
      <c r="M71" s="8"/>
      <c r="O71" s="8"/>
      <c r="P71" s="8"/>
      <c r="Q71" s="8"/>
      <c r="R71" s="8"/>
      <c r="S71" s="8"/>
      <c r="T71" s="8"/>
      <c r="U71" s="8"/>
      <c r="V71" s="8"/>
      <c r="W71" s="8"/>
      <c r="X71" s="8"/>
      <c r="Y71" s="8"/>
      <c r="Z71" s="8"/>
      <c r="AA71" s="8"/>
      <c r="AB71" s="8"/>
      <c r="AC71" s="8"/>
    </row>
    <row r="72" spans="1:29" ht="13">
      <c r="A72" s="58"/>
      <c r="B72" s="69">
        <v>42</v>
      </c>
      <c r="C72" s="43" t="s">
        <v>270</v>
      </c>
      <c r="D72" s="69">
        <v>1.2057451453533201E-2</v>
      </c>
      <c r="E72" s="69">
        <f t="shared" si="3"/>
        <v>0.17118871942191885</v>
      </c>
      <c r="F72" s="71">
        <f t="shared" si="4"/>
        <v>17.118871942191884</v>
      </c>
      <c r="G72" s="43">
        <v>175.126059968623</v>
      </c>
      <c r="H72" s="43"/>
      <c r="I72" s="8"/>
      <c r="J72" s="8"/>
      <c r="K72" s="8"/>
      <c r="L72" s="8"/>
      <c r="M72" s="8"/>
      <c r="O72" s="8"/>
      <c r="P72" s="8"/>
      <c r="Q72" s="8"/>
      <c r="R72" s="8"/>
      <c r="S72" s="8"/>
      <c r="T72" s="8"/>
      <c r="U72" s="8"/>
      <c r="V72" s="8"/>
      <c r="W72" s="8"/>
      <c r="X72" s="8"/>
      <c r="Y72" s="8"/>
      <c r="Z72" s="8"/>
      <c r="AA72" s="8"/>
      <c r="AB72" s="8"/>
      <c r="AC72" s="8"/>
    </row>
    <row r="73" spans="1:29" ht="13">
      <c r="A73" s="58"/>
      <c r="B73" s="69">
        <v>43</v>
      </c>
      <c r="C73" s="43" t="s">
        <v>271</v>
      </c>
      <c r="D73" s="69">
        <v>1.2922856493716601E-2</v>
      </c>
      <c r="E73" s="69">
        <f t="shared" si="3"/>
        <v>0.1736773636674438</v>
      </c>
      <c r="F73" s="71">
        <f t="shared" si="4"/>
        <v>17.367736366744381</v>
      </c>
      <c r="G73" s="43">
        <v>177.671943031795</v>
      </c>
      <c r="H73" s="43"/>
      <c r="I73" s="8"/>
      <c r="J73" s="8"/>
      <c r="K73" s="8"/>
      <c r="L73" s="8"/>
      <c r="M73" s="8"/>
      <c r="O73" s="8"/>
      <c r="P73" s="8"/>
      <c r="Q73" s="8"/>
      <c r="R73" s="8"/>
      <c r="S73" s="8"/>
      <c r="T73" s="8"/>
      <c r="U73" s="8"/>
      <c r="V73" s="8"/>
      <c r="W73" s="8"/>
      <c r="X73" s="8"/>
      <c r="Y73" s="8"/>
      <c r="Z73" s="8"/>
      <c r="AA73" s="8"/>
      <c r="AB73" s="8"/>
      <c r="AC73" s="8"/>
    </row>
    <row r="74" spans="1:29" ht="13">
      <c r="A74" s="58"/>
      <c r="B74" s="69">
        <v>44</v>
      </c>
      <c r="C74" s="43" t="s">
        <v>272</v>
      </c>
      <c r="D74" s="69">
        <v>1.3850374650130301E-2</v>
      </c>
      <c r="E74" s="69">
        <f t="shared" si="3"/>
        <v>0.17626776167975172</v>
      </c>
      <c r="F74" s="71">
        <f t="shared" si="4"/>
        <v>17.626776167975173</v>
      </c>
      <c r="G74" s="43">
        <v>180.32192019838601</v>
      </c>
      <c r="H74" s="43"/>
      <c r="I74" s="8"/>
      <c r="J74" s="8"/>
      <c r="K74" s="8"/>
      <c r="L74" s="8"/>
      <c r="M74" s="8"/>
      <c r="O74" s="8"/>
      <c r="P74" s="8"/>
      <c r="Q74" s="8"/>
      <c r="R74" s="8"/>
      <c r="S74" s="8"/>
      <c r="T74" s="8"/>
      <c r="U74" s="8"/>
      <c r="V74" s="8"/>
      <c r="W74" s="8"/>
      <c r="X74" s="8"/>
      <c r="Y74" s="8"/>
      <c r="Z74" s="8"/>
      <c r="AA74" s="8"/>
      <c r="AB74" s="8"/>
      <c r="AC74" s="8"/>
    </row>
    <row r="75" spans="1:29" ht="13">
      <c r="A75" s="58"/>
      <c r="B75" s="69">
        <v>45</v>
      </c>
      <c r="C75" s="43" t="s">
        <v>273</v>
      </c>
      <c r="D75" s="69">
        <v>1.4844463996195E-2</v>
      </c>
      <c r="E75" s="69">
        <f t="shared" si="3"/>
        <v>0.17896208739333919</v>
      </c>
      <c r="F75" s="71">
        <f t="shared" si="4"/>
        <v>17.896208739333918</v>
      </c>
      <c r="G75" s="43">
        <v>183.078215403386</v>
      </c>
      <c r="H75" s="43"/>
      <c r="I75" s="8"/>
      <c r="J75" s="8"/>
      <c r="K75" s="8"/>
      <c r="L75" s="8"/>
      <c r="M75" s="8"/>
      <c r="O75" s="8"/>
      <c r="P75" s="8"/>
      <c r="Q75" s="8"/>
      <c r="R75" s="8"/>
      <c r="S75" s="8"/>
      <c r="T75" s="8"/>
      <c r="U75" s="8"/>
      <c r="V75" s="8"/>
      <c r="W75" s="8"/>
      <c r="X75" s="8"/>
      <c r="Y75" s="8"/>
      <c r="Z75" s="8"/>
      <c r="AA75" s="8"/>
      <c r="AB75" s="8"/>
      <c r="AC75" s="8"/>
    </row>
    <row r="76" spans="1:29" ht="13">
      <c r="A76" s="58"/>
      <c r="B76" s="69">
        <v>46</v>
      </c>
      <c r="C76" s="43" t="s">
        <v>274</v>
      </c>
      <c r="D76" s="69">
        <v>1.5909902576697301E-2</v>
      </c>
      <c r="E76" s="69">
        <f t="shared" si="3"/>
        <v>0.18176248783913979</v>
      </c>
      <c r="F76" s="71">
        <f t="shared" si="4"/>
        <v>18.17624878391398</v>
      </c>
      <c r="G76" s="43">
        <v>185.94302505944</v>
      </c>
      <c r="H76" s="43"/>
      <c r="I76" s="8"/>
      <c r="J76" s="8"/>
      <c r="K76" s="8"/>
      <c r="L76" s="8"/>
      <c r="M76" s="8"/>
      <c r="O76" s="8"/>
      <c r="P76" s="8"/>
      <c r="Q76" s="8"/>
      <c r="R76" s="8"/>
      <c r="S76" s="8"/>
      <c r="T76" s="8"/>
      <c r="U76" s="8"/>
      <c r="V76" s="8"/>
      <c r="W76" s="8"/>
      <c r="X76" s="8"/>
      <c r="Y76" s="8"/>
      <c r="Z76" s="8"/>
      <c r="AA76" s="8"/>
      <c r="AB76" s="8"/>
      <c r="AC76" s="8"/>
    </row>
    <row r="77" spans="1:29" ht="13">
      <c r="A77" s="58"/>
      <c r="B77" s="69">
        <v>47</v>
      </c>
      <c r="C77" s="43" t="s">
        <v>275</v>
      </c>
      <c r="D77" s="69">
        <v>1.7051811373241899E-2</v>
      </c>
      <c r="E77" s="69">
        <f t="shared" si="3"/>
        <v>0.18467108572834312</v>
      </c>
      <c r="F77" s="71">
        <f t="shared" si="4"/>
        <v>18.467108572834313</v>
      </c>
      <c r="G77" s="43">
        <v>188.918520700095</v>
      </c>
      <c r="H77" s="43"/>
      <c r="I77" s="8"/>
      <c r="J77" s="8"/>
      <c r="K77" s="8"/>
      <c r="L77" s="8"/>
      <c r="M77" s="8"/>
      <c r="O77" s="8"/>
      <c r="P77" s="8"/>
      <c r="Q77" s="8"/>
      <c r="R77" s="8"/>
      <c r="S77" s="8"/>
      <c r="T77" s="8"/>
      <c r="U77" s="8"/>
      <c r="V77" s="8"/>
      <c r="W77" s="8"/>
      <c r="X77" s="8"/>
      <c r="Y77" s="8"/>
      <c r="Z77" s="8"/>
      <c r="AA77" s="8"/>
      <c r="AB77" s="8"/>
      <c r="AC77" s="8"/>
    </row>
    <row r="78" spans="1:29" ht="13">
      <c r="A78" s="58"/>
      <c r="B78" s="69">
        <v>48</v>
      </c>
      <c r="C78" s="43" t="s">
        <v>276</v>
      </c>
      <c r="D78" s="69">
        <v>1.8275678918015299E-2</v>
      </c>
      <c r="E78" s="69">
        <f t="shared" si="3"/>
        <v>0.18768998258125902</v>
      </c>
      <c r="F78" s="71">
        <f t="shared" si="4"/>
        <v>18.768998258125901</v>
      </c>
      <c r="G78" s="43">
        <v>192.00685218062799</v>
      </c>
      <c r="H78" s="43"/>
      <c r="I78" s="8"/>
      <c r="J78" s="8"/>
      <c r="K78" s="8"/>
      <c r="L78" s="8"/>
      <c r="M78" s="8"/>
      <c r="O78" s="8"/>
      <c r="P78" s="8"/>
      <c r="Q78" s="8"/>
      <c r="R78" s="8"/>
      <c r="S78" s="8"/>
      <c r="T78" s="8"/>
      <c r="U78" s="8"/>
      <c r="V78" s="8"/>
      <c r="W78" s="8"/>
      <c r="X78" s="8"/>
      <c r="Y78" s="8"/>
      <c r="Z78" s="8"/>
      <c r="AA78" s="8"/>
      <c r="AB78" s="8"/>
      <c r="AC78" s="8"/>
    </row>
    <row r="79" spans="1:29" ht="13">
      <c r="A79" s="58"/>
      <c r="B79" s="69">
        <v>49</v>
      </c>
      <c r="C79" s="43" t="s">
        <v>277</v>
      </c>
      <c r="D79" s="69">
        <v>1.9587387674162699E-2</v>
      </c>
      <c r="E79" s="69">
        <f t="shared" si="3"/>
        <v>0.19082126213408504</v>
      </c>
      <c r="F79" s="71">
        <f t="shared" si="4"/>
        <v>19.082126213408504</v>
      </c>
      <c r="G79" s="43">
        <v>195.210151163169</v>
      </c>
      <c r="H79" s="43"/>
      <c r="I79" s="8"/>
      <c r="J79" s="8"/>
      <c r="K79" s="8"/>
      <c r="L79" s="8"/>
      <c r="M79" s="8"/>
      <c r="O79" s="8"/>
      <c r="P79" s="8"/>
      <c r="Q79" s="8"/>
      <c r="R79" s="8"/>
      <c r="S79" s="8"/>
      <c r="T79" s="8"/>
      <c r="U79" s="8"/>
      <c r="V79" s="8"/>
      <c r="W79" s="8"/>
      <c r="X79" s="8"/>
      <c r="Y79" s="8"/>
      <c r="Z79" s="8"/>
      <c r="AA79" s="8"/>
      <c r="AB79" s="8"/>
      <c r="AC79" s="8"/>
    </row>
    <row r="80" spans="1:29" ht="13">
      <c r="A80" s="58"/>
      <c r="B80" s="69">
        <v>50</v>
      </c>
      <c r="C80" s="43" t="s">
        <v>278</v>
      </c>
      <c r="D80" s="69">
        <v>2.0993242309578102E-2</v>
      </c>
      <c r="E80" s="69">
        <f t="shared" si="3"/>
        <v>0.19406699451524537</v>
      </c>
      <c r="F80" s="71">
        <f t="shared" si="4"/>
        <v>19.406699451524538</v>
      </c>
      <c r="G80" s="43">
        <v>198.530535389096</v>
      </c>
      <c r="H80" s="43"/>
      <c r="I80" s="8"/>
      <c r="J80" s="8"/>
      <c r="K80" s="8"/>
      <c r="L80" s="8"/>
      <c r="M80" s="8"/>
      <c r="O80" s="8"/>
      <c r="P80" s="8"/>
      <c r="Q80" s="8"/>
      <c r="R80" s="8"/>
      <c r="S80" s="8"/>
      <c r="T80" s="8"/>
      <c r="U80" s="8"/>
      <c r="V80" s="8"/>
      <c r="W80" s="8"/>
      <c r="X80" s="8"/>
      <c r="Y80" s="8"/>
      <c r="Z80" s="8"/>
      <c r="AA80" s="8"/>
      <c r="AB80" s="8"/>
      <c r="AC80" s="8"/>
    </row>
    <row r="81" spans="1:29" ht="13">
      <c r="A81" s="58"/>
      <c r="B81" s="69">
        <v>51</v>
      </c>
      <c r="C81" s="43" t="s">
        <v>279</v>
      </c>
      <c r="D81" s="69">
        <v>2.2499999999999999E-2</v>
      </c>
      <c r="E81" s="69">
        <f t="shared" si="3"/>
        <v>0.19742924035874879</v>
      </c>
      <c r="F81" s="71">
        <f t="shared" si="4"/>
        <v>19.742924035874879</v>
      </c>
      <c r="G81" s="43">
        <v>201.970112887</v>
      </c>
      <c r="H81" s="43"/>
      <c r="I81" s="8"/>
      <c r="J81" s="8"/>
      <c r="K81" s="8"/>
      <c r="L81" s="8"/>
      <c r="M81" s="8"/>
      <c r="O81" s="8"/>
      <c r="P81" s="8"/>
      <c r="Q81" s="8"/>
      <c r="R81" s="8"/>
      <c r="S81" s="8"/>
      <c r="T81" s="8"/>
      <c r="U81" s="8"/>
      <c r="V81" s="8"/>
      <c r="W81" s="8"/>
      <c r="X81" s="8"/>
      <c r="Y81" s="8"/>
      <c r="Z81" s="8"/>
      <c r="AA81" s="8"/>
      <c r="AB81" s="8"/>
      <c r="AC81" s="8"/>
    </row>
    <row r="82" spans="1:29" ht="13">
      <c r="A82" s="58"/>
      <c r="B82" s="69">
        <v>52</v>
      </c>
      <c r="C82" s="43" t="s">
        <v>280</v>
      </c>
      <c r="D82" s="69">
        <v>2.4114902907066499E-2</v>
      </c>
      <c r="E82" s="69">
        <f t="shared" si="3"/>
        <v>0.20091005555185629</v>
      </c>
      <c r="F82" s="71">
        <f t="shared" si="4"/>
        <v>20.091005555185628</v>
      </c>
      <c r="G82" s="43">
        <v>205.53098682954899</v>
      </c>
      <c r="H82" s="43"/>
      <c r="I82" s="8"/>
      <c r="J82" s="8"/>
      <c r="K82" s="8"/>
      <c r="L82" s="8"/>
      <c r="M82" s="8"/>
      <c r="O82" s="8"/>
      <c r="P82" s="8"/>
      <c r="Q82" s="8"/>
      <c r="R82" s="8"/>
      <c r="S82" s="8"/>
      <c r="T82" s="8"/>
      <c r="U82" s="8"/>
      <c r="V82" s="8"/>
      <c r="W82" s="8"/>
      <c r="X82" s="8"/>
      <c r="Y82" s="8"/>
      <c r="Z82" s="8"/>
      <c r="AA82" s="8"/>
      <c r="AB82" s="8"/>
      <c r="AC82" s="8"/>
    </row>
    <row r="83" spans="1:29" ht="13">
      <c r="A83" s="58"/>
      <c r="B83" s="69">
        <v>53</v>
      </c>
      <c r="C83" s="43" t="s">
        <v>281</v>
      </c>
      <c r="D83" s="69">
        <v>2.5845712987433201E-2</v>
      </c>
      <c r="E83" s="69">
        <f t="shared" si="3"/>
        <v>0.2045114959771652</v>
      </c>
      <c r="F83" s="71">
        <f t="shared" si="4"/>
        <v>20.451149597716519</v>
      </c>
      <c r="G83" s="43">
        <v>209.21526038464</v>
      </c>
      <c r="H83" s="43"/>
      <c r="I83" s="8"/>
      <c r="J83" s="8"/>
      <c r="K83" s="8"/>
      <c r="L83" s="8"/>
      <c r="M83" s="8"/>
      <c r="O83" s="8"/>
      <c r="P83" s="8"/>
      <c r="Q83" s="8"/>
      <c r="R83" s="8"/>
      <c r="S83" s="8"/>
      <c r="T83" s="8"/>
      <c r="U83" s="8"/>
      <c r="V83" s="8"/>
      <c r="W83" s="8"/>
      <c r="X83" s="8"/>
      <c r="Y83" s="8"/>
      <c r="Z83" s="8"/>
      <c r="AA83" s="8"/>
      <c r="AB83" s="8"/>
      <c r="AC83" s="8"/>
    </row>
    <row r="84" spans="1:29" ht="13">
      <c r="A84" s="58"/>
      <c r="B84" s="69">
        <v>54</v>
      </c>
      <c r="C84" s="43" t="s">
        <v>282</v>
      </c>
      <c r="D84" s="69">
        <v>2.7700749300260601E-2</v>
      </c>
      <c r="E84" s="69">
        <f t="shared" si="3"/>
        <v>0.20823562256555619</v>
      </c>
      <c r="F84" s="71">
        <f t="shared" si="4"/>
        <v>20.823562256555618</v>
      </c>
      <c r="G84" s="43">
        <v>213.02504188456399</v>
      </c>
      <c r="H84" s="43"/>
      <c r="I84" s="8"/>
      <c r="J84" s="8"/>
      <c r="K84" s="8"/>
      <c r="L84" s="8"/>
      <c r="M84" s="8"/>
      <c r="O84" s="8"/>
      <c r="P84" s="8"/>
      <c r="Q84" s="8"/>
      <c r="R84" s="8"/>
      <c r="S84" s="8"/>
      <c r="T84" s="8"/>
      <c r="U84" s="8"/>
      <c r="V84" s="8"/>
      <c r="W84" s="8"/>
      <c r="X84" s="8"/>
      <c r="Y84" s="8"/>
      <c r="Z84" s="8"/>
      <c r="AA84" s="8"/>
      <c r="AB84" s="8"/>
      <c r="AC84" s="8"/>
    </row>
    <row r="85" spans="1:29" ht="13">
      <c r="A85" s="58"/>
      <c r="B85" s="69">
        <v>55</v>
      </c>
      <c r="C85" s="43" t="s">
        <v>283</v>
      </c>
      <c r="D85" s="69">
        <v>2.9688927992390101E-2</v>
      </c>
      <c r="E85" s="69">
        <f t="shared" si="3"/>
        <v>0.21208450640401172</v>
      </c>
      <c r="F85" s="71">
        <f t="shared" si="4"/>
        <v>21.208450640401171</v>
      </c>
      <c r="G85" s="43">
        <v>216.96245005130399</v>
      </c>
      <c r="H85" s="43"/>
      <c r="I85" s="8"/>
      <c r="J85" s="8"/>
      <c r="K85" s="8"/>
      <c r="L85" s="8"/>
      <c r="M85" s="8"/>
      <c r="O85" s="8"/>
      <c r="P85" s="8"/>
      <c r="Q85" s="8"/>
      <c r="R85" s="8"/>
      <c r="S85" s="8"/>
      <c r="T85" s="8"/>
      <c r="U85" s="8"/>
      <c r="V85" s="8"/>
      <c r="W85" s="8"/>
      <c r="X85" s="8"/>
      <c r="Y85" s="8"/>
      <c r="Z85" s="8"/>
      <c r="AA85" s="8"/>
      <c r="AB85" s="8"/>
      <c r="AC85" s="8"/>
    </row>
    <row r="86" spans="1:29" ht="13">
      <c r="A86" s="58"/>
      <c r="B86" s="69">
        <v>56</v>
      </c>
      <c r="C86" s="43" t="s">
        <v>284</v>
      </c>
      <c r="D86" s="69">
        <v>3.1819805153394602E-2</v>
      </c>
      <c r="E86" s="69">
        <f t="shared" si="3"/>
        <v>0.21606023391282014</v>
      </c>
      <c r="F86" s="71">
        <f t="shared" si="4"/>
        <v>21.606023391282015</v>
      </c>
      <c r="G86" s="43">
        <v>221.029619292815</v>
      </c>
      <c r="H86" s="43"/>
      <c r="I86" s="8"/>
      <c r="J86" s="8"/>
      <c r="K86" s="8"/>
      <c r="L86" s="8"/>
      <c r="M86" s="8"/>
      <c r="O86" s="8"/>
      <c r="P86" s="8"/>
      <c r="Q86" s="8"/>
      <c r="R86" s="8"/>
      <c r="S86" s="8"/>
      <c r="T86" s="8"/>
      <c r="U86" s="8"/>
      <c r="V86" s="8"/>
      <c r="W86" s="8"/>
      <c r="X86" s="8"/>
      <c r="Y86" s="8"/>
      <c r="Z86" s="8"/>
      <c r="AA86" s="8"/>
      <c r="AB86" s="8"/>
      <c r="AC86" s="8"/>
    </row>
    <row r="87" spans="1:29" ht="13">
      <c r="A87" s="58"/>
      <c r="B87" s="69">
        <v>57</v>
      </c>
      <c r="C87" s="43" t="s">
        <v>285</v>
      </c>
      <c r="D87" s="69">
        <v>3.4103622746483903E-2</v>
      </c>
      <c r="E87" s="69">
        <f t="shared" si="3"/>
        <v>0.22016491207064909</v>
      </c>
      <c r="F87" s="71">
        <f t="shared" si="4"/>
        <v>22.016491207064909</v>
      </c>
      <c r="G87" s="43">
        <v>225.22870504827401</v>
      </c>
      <c r="H87" s="43"/>
      <c r="I87" s="8"/>
      <c r="J87" s="8"/>
      <c r="K87" s="8"/>
      <c r="L87" s="8"/>
      <c r="M87" s="8"/>
      <c r="O87" s="8"/>
      <c r="P87" s="8"/>
      <c r="Q87" s="8"/>
      <c r="R87" s="8"/>
      <c r="S87" s="8"/>
      <c r="T87" s="8"/>
      <c r="U87" s="8"/>
      <c r="V87" s="8"/>
      <c r="W87" s="8"/>
      <c r="X87" s="8"/>
      <c r="Y87" s="8"/>
      <c r="Z87" s="8"/>
      <c r="AA87" s="8"/>
      <c r="AB87" s="8"/>
      <c r="AC87" s="8"/>
    </row>
    <row r="88" spans="1:29" ht="13">
      <c r="A88" s="58"/>
      <c r="B88" s="69">
        <v>58</v>
      </c>
      <c r="C88" s="43" t="s">
        <v>286</v>
      </c>
      <c r="D88" s="69">
        <v>3.6551357836030599E-2</v>
      </c>
      <c r="E88" s="69">
        <f t="shared" si="3"/>
        <v>0.22440067355343404</v>
      </c>
      <c r="F88" s="71">
        <f t="shared" si="4"/>
        <v>22.440067355343405</v>
      </c>
      <c r="G88" s="43">
        <v>229.56188904516301</v>
      </c>
      <c r="H88" s="43"/>
      <c r="I88" s="8"/>
      <c r="J88" s="8"/>
      <c r="K88" s="8"/>
      <c r="L88" s="8"/>
      <c r="M88" s="8"/>
      <c r="O88" s="8"/>
      <c r="P88" s="8"/>
      <c r="Q88" s="8"/>
      <c r="R88" s="8"/>
      <c r="S88" s="8"/>
      <c r="T88" s="8"/>
      <c r="U88" s="8"/>
      <c r="V88" s="8"/>
      <c r="W88" s="8"/>
      <c r="X88" s="8"/>
      <c r="Y88" s="8"/>
      <c r="Z88" s="8"/>
      <c r="AA88" s="8"/>
      <c r="AB88" s="8"/>
      <c r="AC88" s="8"/>
    </row>
    <row r="89" spans="1:29" ht="13">
      <c r="A89" s="58"/>
      <c r="B89" s="69">
        <v>59</v>
      </c>
      <c r="C89" s="43" t="s">
        <v>287</v>
      </c>
      <c r="D89" s="69">
        <v>3.9174775348325502E-2</v>
      </c>
      <c r="E89" s="69">
        <f t="shared" si="3"/>
        <v>0.22876968193690322</v>
      </c>
      <c r="F89" s="71">
        <f t="shared" si="4"/>
        <v>22.876968193690324</v>
      </c>
      <c r="G89" s="43">
        <v>234.03138462145199</v>
      </c>
      <c r="H89" s="43"/>
      <c r="I89" s="8"/>
      <c r="J89" s="8"/>
      <c r="K89" s="8"/>
      <c r="L89" s="8"/>
      <c r="M89" s="8"/>
      <c r="O89" s="8"/>
      <c r="P89" s="8"/>
      <c r="Q89" s="8"/>
      <c r="R89" s="8"/>
      <c r="S89" s="8"/>
      <c r="T89" s="8"/>
      <c r="U89" s="8"/>
      <c r="V89" s="8"/>
      <c r="W89" s="8"/>
      <c r="X89" s="8"/>
      <c r="Y89" s="8"/>
      <c r="Z89" s="8"/>
      <c r="AA89" s="8"/>
      <c r="AB89" s="8"/>
      <c r="AC89" s="8"/>
    </row>
    <row r="90" spans="1:29" ht="13">
      <c r="A90" s="58"/>
      <c r="B90" s="69">
        <v>60</v>
      </c>
      <c r="C90" s="43" t="s">
        <v>288</v>
      </c>
      <c r="D90" s="69">
        <v>4.19864846191563E-2</v>
      </c>
      <c r="E90" s="69">
        <f t="shared" si="3"/>
        <v>0.23327413670769306</v>
      </c>
      <c r="F90" s="71">
        <f t="shared" si="4"/>
        <v>23.327413670769307</v>
      </c>
      <c r="G90" s="43">
        <v>238.63944185196999</v>
      </c>
      <c r="H90" s="43"/>
      <c r="I90" s="8"/>
      <c r="J90" s="8"/>
      <c r="K90" s="8"/>
      <c r="L90" s="8"/>
      <c r="M90" s="8"/>
      <c r="O90" s="8"/>
      <c r="P90" s="8"/>
      <c r="Q90" s="8"/>
      <c r="R90" s="8"/>
      <c r="S90" s="8"/>
      <c r="T90" s="8"/>
      <c r="U90" s="8"/>
      <c r="V90" s="8"/>
      <c r="W90" s="8"/>
      <c r="X90" s="8"/>
      <c r="Y90" s="8"/>
      <c r="Z90" s="8"/>
      <c r="AA90" s="8"/>
      <c r="AB90" s="8"/>
      <c r="AC90" s="8"/>
    </row>
    <row r="91" spans="1:29" ht="13">
      <c r="A91" s="58"/>
      <c r="B91" s="69">
        <v>61</v>
      </c>
      <c r="C91" s="43" t="s">
        <v>289</v>
      </c>
      <c r="D91" s="69">
        <v>4.4999999999999998E-2</v>
      </c>
      <c r="E91" s="69">
        <f t="shared" si="3"/>
        <v>0.23791627818631572</v>
      </c>
      <c r="F91" s="71">
        <f t="shared" si="4"/>
        <v>23.791627818631572</v>
      </c>
      <c r="G91" s="43">
        <v>243.38835258460099</v>
      </c>
      <c r="H91" s="43"/>
      <c r="I91" s="8"/>
      <c r="J91" s="8"/>
      <c r="K91" s="8"/>
      <c r="L91" s="8"/>
      <c r="M91" s="8"/>
      <c r="O91" s="8"/>
      <c r="P91" s="8"/>
      <c r="Q91" s="8"/>
      <c r="R91" s="8"/>
      <c r="S91" s="8"/>
      <c r="T91" s="8"/>
      <c r="U91" s="8"/>
      <c r="V91" s="8"/>
      <c r="W91" s="8"/>
      <c r="X91" s="8"/>
      <c r="Y91" s="8"/>
      <c r="Z91" s="8"/>
      <c r="AA91" s="8"/>
      <c r="AB91" s="8"/>
      <c r="AC91" s="8"/>
    </row>
    <row r="92" spans="1:29" ht="13">
      <c r="A92" s="58"/>
      <c r="B92" s="69">
        <v>62</v>
      </c>
      <c r="C92" s="43" t="s">
        <v>290</v>
      </c>
      <c r="D92" s="69">
        <v>4.8229805814133102E-2</v>
      </c>
      <c r="E92" s="69">
        <f t="shared" si="3"/>
        <v>0.24269839233442719</v>
      </c>
      <c r="F92" s="71">
        <f t="shared" si="4"/>
        <v>24.26983923344272</v>
      </c>
      <c r="G92" s="43">
        <v>248.28045535811901</v>
      </c>
      <c r="H92" s="43"/>
      <c r="I92" s="8"/>
      <c r="J92" s="8"/>
      <c r="K92" s="8"/>
      <c r="L92" s="8"/>
      <c r="M92" s="8"/>
      <c r="O92" s="8"/>
      <c r="P92" s="8"/>
      <c r="Q92" s="8"/>
      <c r="R92" s="8"/>
      <c r="S92" s="8"/>
      <c r="T92" s="8"/>
      <c r="U92" s="8"/>
      <c r="V92" s="8"/>
      <c r="W92" s="8"/>
      <c r="X92" s="8"/>
      <c r="Y92" s="8"/>
      <c r="Z92" s="8"/>
      <c r="AA92" s="8"/>
      <c r="AB92" s="8"/>
      <c r="AC92" s="8"/>
    </row>
    <row r="93" spans="1:29" ht="13">
      <c r="A93" s="58"/>
      <c r="B93" s="69">
        <v>63</v>
      </c>
      <c r="C93" s="43" t="s">
        <v>291</v>
      </c>
      <c r="D93" s="69">
        <v>5.1691425974866499E-2</v>
      </c>
      <c r="E93" s="69">
        <f t="shared" si="3"/>
        <v>0.24762281542352982</v>
      </c>
      <c r="F93" s="71">
        <f t="shared" si="4"/>
        <v>24.76228154235298</v>
      </c>
      <c r="G93" s="43">
        <v>253.31814017827099</v>
      </c>
      <c r="H93" s="43"/>
      <c r="I93" s="8"/>
      <c r="J93" s="8"/>
      <c r="K93" s="8"/>
      <c r="L93" s="8"/>
      <c r="M93" s="8"/>
      <c r="O93" s="8"/>
      <c r="P93" s="8"/>
      <c r="Q93" s="8"/>
      <c r="R93" s="8"/>
      <c r="S93" s="8"/>
      <c r="T93" s="8"/>
      <c r="U93" s="8"/>
      <c r="V93" s="8"/>
      <c r="W93" s="8"/>
      <c r="X93" s="8"/>
      <c r="Y93" s="8"/>
      <c r="Z93" s="8"/>
      <c r="AA93" s="8"/>
      <c r="AB93" s="8"/>
      <c r="AC93" s="8"/>
    </row>
    <row r="94" spans="1:29" ht="13">
      <c r="A94" s="58"/>
      <c r="B94" s="69">
        <v>64</v>
      </c>
      <c r="C94" s="43" t="s">
        <v>292</v>
      </c>
      <c r="D94" s="69">
        <v>5.5401498600521203E-2</v>
      </c>
      <c r="E94" s="69">
        <f t="shared" si="3"/>
        <v>0.25269193850479765</v>
      </c>
      <c r="F94" s="71">
        <f t="shared" si="4"/>
        <v>25.269193850479766</v>
      </c>
      <c r="G94" s="43">
        <v>258.50385309040797</v>
      </c>
      <c r="H94" s="43"/>
      <c r="I94" s="8"/>
      <c r="J94" s="8"/>
      <c r="K94" s="8"/>
      <c r="L94" s="8"/>
      <c r="M94" s="8"/>
      <c r="O94" s="8"/>
      <c r="P94" s="8"/>
      <c r="Q94" s="8"/>
      <c r="R94" s="8"/>
      <c r="S94" s="8"/>
      <c r="T94" s="8"/>
      <c r="U94" s="8"/>
      <c r="V94" s="8"/>
      <c r="W94" s="8"/>
      <c r="X94" s="8"/>
      <c r="Y94" s="8"/>
      <c r="Z94" s="8"/>
      <c r="AA94" s="8"/>
      <c r="AB94" s="8"/>
      <c r="AC94" s="8"/>
    </row>
    <row r="95" spans="1:29" ht="13">
      <c r="A95" s="58"/>
      <c r="B95" s="69">
        <v>65</v>
      </c>
      <c r="C95" s="43" t="s">
        <v>293</v>
      </c>
      <c r="D95" s="69">
        <v>5.9377855984780202E-2</v>
      </c>
      <c r="E95" s="69">
        <f t="shared" si="3"/>
        <v>0.25790821172379669</v>
      </c>
      <c r="F95" s="71">
        <f t="shared" si="4"/>
        <v>25.790821172379669</v>
      </c>
      <c r="G95" s="43">
        <v>263.84010059344399</v>
      </c>
      <c r="H95" s="43"/>
      <c r="I95" s="8"/>
      <c r="J95" s="8"/>
      <c r="K95" s="8"/>
      <c r="L95" s="8"/>
      <c r="M95" s="8"/>
      <c r="O95" s="8"/>
      <c r="P95" s="8"/>
      <c r="Q95" s="8"/>
      <c r="R95" s="8"/>
      <c r="S95" s="8"/>
      <c r="T95" s="8"/>
      <c r="U95" s="8"/>
      <c r="V95" s="8"/>
      <c r="W95" s="8"/>
      <c r="X95" s="8"/>
      <c r="Y95" s="8"/>
      <c r="Z95" s="8"/>
      <c r="AA95" s="8"/>
      <c r="AB95" s="8"/>
      <c r="AC95" s="8"/>
    </row>
    <row r="96" spans="1:29" ht="13">
      <c r="A96" s="58"/>
      <c r="B96" s="69">
        <v>66</v>
      </c>
      <c r="C96" s="43" t="s">
        <v>294</v>
      </c>
      <c r="D96" s="69">
        <v>6.3639610306789204E-2</v>
      </c>
      <c r="E96" s="69">
        <f t="shared" si="3"/>
        <v>0.26327414854312808</v>
      </c>
      <c r="F96" s="71">
        <f t="shared" si="4"/>
        <v>26.32741485431281</v>
      </c>
      <c r="G96" s="43">
        <v>269.32945395962003</v>
      </c>
      <c r="H96" s="43"/>
      <c r="I96" s="8"/>
      <c r="J96" s="8"/>
      <c r="K96" s="8"/>
      <c r="L96" s="8"/>
      <c r="M96" s="8"/>
      <c r="O96" s="8"/>
      <c r="P96" s="8"/>
      <c r="Q96" s="8"/>
      <c r="R96" s="8"/>
      <c r="S96" s="8"/>
      <c r="T96" s="8"/>
      <c r="U96" s="8"/>
      <c r="V96" s="8"/>
      <c r="W96" s="8"/>
      <c r="X96" s="8"/>
      <c r="Y96" s="8"/>
      <c r="Z96" s="8"/>
      <c r="AA96" s="8"/>
      <c r="AB96" s="8"/>
      <c r="AC96" s="8"/>
    </row>
    <row r="97" spans="1:29" ht="13">
      <c r="A97" s="58"/>
      <c r="B97" s="69">
        <v>67</v>
      </c>
      <c r="C97" s="43" t="s">
        <v>295</v>
      </c>
      <c r="D97" s="69">
        <v>6.8207245492967902E-2</v>
      </c>
      <c r="E97" s="69">
        <f t="shared" si="3"/>
        <v>0.26879232962410066</v>
      </c>
      <c r="F97" s="71">
        <f t="shared" si="4"/>
        <v>26.879232962410065</v>
      </c>
      <c r="G97" s="43">
        <v>274.97455320545498</v>
      </c>
      <c r="H97" s="43"/>
      <c r="I97" s="8"/>
      <c r="J97" s="8"/>
      <c r="K97" s="8"/>
      <c r="L97" s="8"/>
      <c r="M97" s="8"/>
      <c r="O97" s="8"/>
      <c r="P97" s="8"/>
      <c r="Q97" s="8"/>
      <c r="R97" s="8"/>
      <c r="S97" s="8"/>
      <c r="T97" s="8"/>
      <c r="U97" s="8"/>
      <c r="V97" s="8"/>
      <c r="W97" s="8"/>
      <c r="X97" s="8"/>
      <c r="Y97" s="8"/>
      <c r="Z97" s="8"/>
      <c r="AA97" s="8"/>
      <c r="AB97" s="8"/>
      <c r="AC97" s="8"/>
    </row>
    <row r="98" spans="1:29" ht="13">
      <c r="A98" s="58"/>
      <c r="B98" s="69">
        <v>68</v>
      </c>
      <c r="C98" s="43" t="s">
        <v>296</v>
      </c>
      <c r="D98" s="69">
        <v>7.31027156720611E-2</v>
      </c>
      <c r="E98" s="69">
        <f t="shared" si="3"/>
        <v>0.27446540676660114</v>
      </c>
      <c r="F98" s="71">
        <f t="shared" si="4"/>
        <v>27.446540676660113</v>
      </c>
      <c r="G98" s="43">
        <v>280.77811112223299</v>
      </c>
      <c r="H98" s="43"/>
      <c r="I98" s="8"/>
      <c r="J98" s="8"/>
      <c r="K98" s="8"/>
      <c r="L98" s="8"/>
      <c r="M98" s="8"/>
      <c r="O98" s="8"/>
      <c r="P98" s="8"/>
      <c r="Q98" s="8"/>
      <c r="R98" s="8"/>
      <c r="S98" s="8"/>
      <c r="T98" s="8"/>
      <c r="U98" s="8"/>
      <c r="V98" s="8"/>
      <c r="W98" s="8"/>
      <c r="X98" s="8"/>
      <c r="Y98" s="8"/>
      <c r="Z98" s="8"/>
      <c r="AA98" s="8"/>
      <c r="AB98" s="8"/>
      <c r="AC98" s="8"/>
    </row>
    <row r="99" spans="1:29" ht="13">
      <c r="A99" s="58"/>
      <c r="B99" s="69">
        <v>69</v>
      </c>
      <c r="C99" s="43" t="s">
        <v>297</v>
      </c>
      <c r="D99" s="69">
        <v>7.8349550696651102E-2</v>
      </c>
      <c r="E99" s="69">
        <f t="shared" si="3"/>
        <v>0.28029610647776443</v>
      </c>
      <c r="F99" s="71">
        <f t="shared" si="4"/>
        <v>28.029610647776444</v>
      </c>
      <c r="G99" s="43">
        <v>286.74291692675303</v>
      </c>
      <c r="H99" s="43"/>
      <c r="I99" s="8"/>
      <c r="J99" s="8"/>
      <c r="K99" s="8"/>
      <c r="L99" s="8"/>
      <c r="M99" s="8"/>
      <c r="O99" s="8"/>
      <c r="P99" s="8"/>
      <c r="Q99" s="8"/>
      <c r="R99" s="8"/>
      <c r="S99" s="8"/>
      <c r="T99" s="8"/>
      <c r="U99" s="8"/>
      <c r="V99" s="8"/>
      <c r="W99" s="8"/>
      <c r="X99" s="8"/>
      <c r="Y99" s="8"/>
      <c r="Z99" s="8"/>
      <c r="AA99" s="8"/>
      <c r="AB99" s="8"/>
      <c r="AC99" s="8"/>
    </row>
    <row r="100" spans="1:29" ht="13">
      <c r="A100" s="58"/>
      <c r="B100" s="69">
        <v>70</v>
      </c>
      <c r="C100" s="43" t="s">
        <v>298</v>
      </c>
      <c r="D100" s="69">
        <v>8.39729692383126E-2</v>
      </c>
      <c r="E100" s="69">
        <f t="shared" si="3"/>
        <v>0.2862872334959003</v>
      </c>
      <c r="F100" s="71">
        <f t="shared" si="4"/>
        <v>28.628723349590029</v>
      </c>
      <c r="G100" s="43">
        <v>292.871839866306</v>
      </c>
      <c r="H100" s="43"/>
      <c r="I100" s="8"/>
      <c r="J100" s="8"/>
      <c r="K100" s="8"/>
      <c r="L100" s="8"/>
      <c r="M100" s="8"/>
      <c r="O100" s="8"/>
      <c r="P100" s="8"/>
      <c r="Q100" s="8"/>
      <c r="R100" s="8"/>
      <c r="S100" s="8"/>
      <c r="T100" s="8"/>
      <c r="U100" s="8"/>
      <c r="V100" s="8"/>
      <c r="W100" s="8"/>
      <c r="X100" s="8"/>
      <c r="Y100" s="8"/>
      <c r="Z100" s="8"/>
      <c r="AA100" s="8"/>
      <c r="AB100" s="8"/>
      <c r="AC100" s="8"/>
    </row>
    <row r="101" spans="1:29" ht="13">
      <c r="A101" s="58"/>
      <c r="B101" s="69">
        <v>71</v>
      </c>
      <c r="C101" s="43" t="s">
        <v>299</v>
      </c>
      <c r="D101" s="69">
        <v>0.09</v>
      </c>
      <c r="E101" s="69">
        <f t="shared" si="3"/>
        <v>0.29244167417572436</v>
      </c>
      <c r="F101" s="71">
        <f t="shared" si="4"/>
        <v>29.244167417572438</v>
      </c>
      <c r="G101" s="43">
        <v>299.16783268176601</v>
      </c>
      <c r="H101" s="43"/>
      <c r="I101" s="8"/>
      <c r="J101" s="8"/>
      <c r="K101" s="8"/>
      <c r="L101" s="8"/>
      <c r="M101" s="8"/>
      <c r="O101" s="8"/>
      <c r="P101" s="8"/>
      <c r="Q101" s="8"/>
      <c r="R101" s="8"/>
      <c r="S101" s="8"/>
      <c r="T101" s="8"/>
      <c r="U101" s="8"/>
      <c r="V101" s="8"/>
      <c r="W101" s="8"/>
      <c r="X101" s="8"/>
      <c r="Y101" s="8"/>
      <c r="Z101" s="8"/>
      <c r="AA101" s="8"/>
      <c r="AB101" s="8"/>
      <c r="AC101" s="8"/>
    </row>
    <row r="102" spans="1:29" ht="13">
      <c r="A102" s="58"/>
      <c r="B102" s="69">
        <v>72</v>
      </c>
      <c r="C102" s="43" t="s">
        <v>300</v>
      </c>
      <c r="D102" s="69">
        <v>9.6459611628266301E-2</v>
      </c>
      <c r="E102" s="69">
        <f t="shared" si="3"/>
        <v>0.29876239968126689</v>
      </c>
      <c r="F102" s="71">
        <f t="shared" si="4"/>
        <v>29.87623996812669</v>
      </c>
      <c r="G102" s="43">
        <v>305.63393487393603</v>
      </c>
      <c r="H102" s="43"/>
      <c r="I102" s="8"/>
      <c r="J102" s="8"/>
      <c r="K102" s="8"/>
      <c r="L102" s="8"/>
      <c r="M102" s="8"/>
      <c r="O102" s="8"/>
      <c r="P102" s="8"/>
      <c r="Q102" s="8"/>
      <c r="R102" s="8"/>
      <c r="S102" s="8"/>
      <c r="T102" s="8"/>
      <c r="U102" s="8"/>
      <c r="V102" s="8"/>
      <c r="W102" s="8"/>
      <c r="X102" s="8"/>
      <c r="Y102" s="8"/>
      <c r="Z102" s="8"/>
      <c r="AA102" s="8"/>
      <c r="AB102" s="8"/>
      <c r="AC102" s="8"/>
    </row>
    <row r="103" spans="1:29" ht="13">
      <c r="A103" s="58"/>
      <c r="B103" s="69">
        <v>73</v>
      </c>
      <c r="C103" s="43" t="s">
        <v>301</v>
      </c>
      <c r="D103" s="69">
        <v>0.103382851949733</v>
      </c>
      <c r="E103" s="69">
        <f t="shared" si="3"/>
        <v>0.30525246902620429</v>
      </c>
      <c r="F103" s="71">
        <f t="shared" si="4"/>
        <v>30.525246902620427</v>
      </c>
      <c r="G103" s="43">
        <v>312.273275813807</v>
      </c>
      <c r="H103" s="43"/>
      <c r="I103" s="8"/>
      <c r="J103" s="8"/>
      <c r="K103" s="8"/>
      <c r="L103" s="8"/>
      <c r="M103" s="8"/>
      <c r="O103" s="8"/>
      <c r="P103" s="8"/>
      <c r="Q103" s="8"/>
      <c r="R103" s="8"/>
      <c r="S103" s="8"/>
      <c r="T103" s="8"/>
      <c r="U103" s="8"/>
      <c r="V103" s="8"/>
      <c r="W103" s="8"/>
      <c r="X103" s="8"/>
      <c r="Y103" s="8"/>
      <c r="Z103" s="8"/>
      <c r="AA103" s="8"/>
      <c r="AB103" s="8"/>
      <c r="AC103" s="8"/>
    </row>
    <row r="104" spans="1:29" ht="13">
      <c r="A104" s="58"/>
      <c r="B104" s="69">
        <v>74</v>
      </c>
      <c r="C104" s="43" t="s">
        <v>302</v>
      </c>
      <c r="D104" s="69">
        <v>0.110802997201042</v>
      </c>
      <c r="E104" s="69">
        <f t="shared" si="3"/>
        <v>0.31191503229832063</v>
      </c>
      <c r="F104" s="71">
        <f t="shared" si="4"/>
        <v>31.191503229832062</v>
      </c>
      <c r="G104" s="43">
        <v>319.08907804118201</v>
      </c>
      <c r="H104" s="43"/>
      <c r="I104" s="8"/>
      <c r="J104" s="8"/>
      <c r="K104" s="8"/>
      <c r="L104" s="8"/>
      <c r="M104" s="8"/>
      <c r="O104" s="8"/>
      <c r="P104" s="8"/>
      <c r="Q104" s="8"/>
      <c r="R104" s="8"/>
      <c r="S104" s="8"/>
      <c r="T104" s="8"/>
      <c r="U104" s="8"/>
      <c r="V104" s="8"/>
      <c r="W104" s="8"/>
      <c r="X104" s="8"/>
      <c r="Y104" s="8"/>
      <c r="Z104" s="8"/>
      <c r="AA104" s="8"/>
      <c r="AB104" s="8"/>
      <c r="AC104" s="8"/>
    </row>
    <row r="105" spans="1:29" ht="13">
      <c r="A105" s="58"/>
      <c r="B105" s="69">
        <v>75</v>
      </c>
      <c r="C105" s="43" t="s">
        <v>303</v>
      </c>
      <c r="D105" s="69">
        <v>0.11875571196956</v>
      </c>
      <c r="E105" s="69">
        <f t="shared" si="3"/>
        <v>0.31875333308597165</v>
      </c>
      <c r="F105" s="71">
        <f t="shared" si="4"/>
        <v>31.875333308597163</v>
      </c>
      <c r="G105" s="43">
        <v>326.084659746949</v>
      </c>
      <c r="H105" s="43"/>
      <c r="I105" s="8"/>
      <c r="J105" s="8"/>
      <c r="K105" s="8"/>
      <c r="L105" s="8"/>
      <c r="M105" s="8"/>
      <c r="O105" s="8"/>
      <c r="P105" s="8"/>
      <c r="Q105" s="8"/>
      <c r="R105" s="8"/>
      <c r="S105" s="8"/>
      <c r="T105" s="8"/>
      <c r="U105" s="8"/>
      <c r="V105" s="8"/>
      <c r="W105" s="8"/>
      <c r="X105" s="8"/>
      <c r="Y105" s="8"/>
      <c r="Z105" s="8"/>
      <c r="AA105" s="8"/>
      <c r="AB105" s="8"/>
      <c r="AC105" s="8"/>
    </row>
    <row r="106" spans="1:29" ht="13">
      <c r="A106" s="58"/>
      <c r="B106" s="69">
        <v>76</v>
      </c>
      <c r="C106" s="43" t="s">
        <v>304</v>
      </c>
      <c r="D106" s="69">
        <v>0.12727922061357799</v>
      </c>
      <c r="E106" s="69">
        <f t="shared" si="3"/>
        <v>0.32577071157279863</v>
      </c>
      <c r="F106" s="71">
        <f t="shared" si="4"/>
        <v>32.57707115727986</v>
      </c>
      <c r="G106" s="43">
        <v>333.26343793897303</v>
      </c>
      <c r="H106" s="43"/>
      <c r="I106" s="8"/>
      <c r="J106" s="8"/>
      <c r="K106" s="8"/>
      <c r="L106" s="8"/>
      <c r="M106" s="8"/>
      <c r="O106" s="8"/>
      <c r="P106" s="8"/>
      <c r="Q106" s="8"/>
      <c r="R106" s="8"/>
      <c r="S106" s="8"/>
      <c r="T106" s="8"/>
      <c r="U106" s="8"/>
      <c r="V106" s="8"/>
      <c r="W106" s="8"/>
      <c r="X106" s="8"/>
      <c r="Y106" s="8"/>
      <c r="Z106" s="8"/>
      <c r="AA106" s="8"/>
      <c r="AB106" s="8"/>
      <c r="AC106" s="8"/>
    </row>
    <row r="107" spans="1:29" ht="13">
      <c r="A107" s="58"/>
      <c r="B107" s="69">
        <v>77</v>
      </c>
      <c r="C107" s="43" t="s">
        <v>305</v>
      </c>
      <c r="D107" s="69">
        <v>0.136414490985935</v>
      </c>
      <c r="E107" s="69">
        <f t="shared" si="3"/>
        <v>0.33297060733583383</v>
      </c>
      <c r="F107" s="71">
        <f t="shared" si="4"/>
        <v>33.297060733583386</v>
      </c>
      <c r="G107" s="43">
        <v>340.62893130455802</v>
      </c>
      <c r="H107" s="43"/>
      <c r="I107" s="8"/>
      <c r="J107" s="8"/>
      <c r="K107" s="8"/>
      <c r="L107" s="8"/>
      <c r="M107" s="8"/>
      <c r="O107" s="8"/>
      <c r="P107" s="8"/>
      <c r="Q107" s="8"/>
      <c r="R107" s="8"/>
      <c r="S107" s="8"/>
      <c r="T107" s="8"/>
      <c r="U107" s="8"/>
      <c r="V107" s="8"/>
      <c r="W107" s="8"/>
      <c r="X107" s="8"/>
      <c r="Y107" s="8"/>
      <c r="Z107" s="8"/>
      <c r="AA107" s="8"/>
      <c r="AB107" s="8"/>
      <c r="AC107" s="8"/>
    </row>
    <row r="108" spans="1:29" ht="13">
      <c r="A108" s="58"/>
      <c r="B108" s="69">
        <v>78</v>
      </c>
      <c r="C108" s="43" t="s">
        <v>306</v>
      </c>
      <c r="D108" s="69">
        <v>0.14620543134412201</v>
      </c>
      <c r="E108" s="69">
        <f t="shared" si="3"/>
        <v>0.34035656156163929</v>
      </c>
      <c r="F108" s="71">
        <f t="shared" si="4"/>
        <v>34.035656156163931</v>
      </c>
      <c r="G108" s="43">
        <v>348.184762477557</v>
      </c>
      <c r="H108" s="43"/>
      <c r="I108" s="8"/>
      <c r="J108" s="8"/>
      <c r="K108" s="8"/>
      <c r="L108" s="8"/>
      <c r="M108" s="8"/>
      <c r="O108" s="8"/>
      <c r="P108" s="8"/>
      <c r="Q108" s="8"/>
      <c r="R108" s="8"/>
      <c r="S108" s="8"/>
      <c r="T108" s="8"/>
      <c r="U108" s="8"/>
      <c r="V108" s="8"/>
      <c r="W108" s="8"/>
      <c r="X108" s="8"/>
      <c r="Y108" s="8"/>
      <c r="Z108" s="8"/>
      <c r="AA108" s="8"/>
      <c r="AB108" s="8"/>
      <c r="AC108" s="8"/>
    </row>
    <row r="109" spans="1:29" ht="13">
      <c r="A109" s="58"/>
      <c r="B109" s="69">
        <v>79</v>
      </c>
      <c r="C109" s="43" t="s">
        <v>307</v>
      </c>
      <c r="D109" s="69">
        <v>0.15669910139330201</v>
      </c>
      <c r="E109" s="69">
        <f t="shared" si="3"/>
        <v>0.34793222012981229</v>
      </c>
      <c r="F109" s="71">
        <f t="shared" si="4"/>
        <v>34.793222012981232</v>
      </c>
      <c r="G109" s="43">
        <v>355.93466119279799</v>
      </c>
      <c r="H109" s="43"/>
      <c r="I109" s="8"/>
      <c r="J109" s="8"/>
      <c r="K109" s="8"/>
      <c r="L109" s="8"/>
      <c r="M109" s="8"/>
      <c r="O109" s="8"/>
      <c r="P109" s="8"/>
      <c r="Q109" s="8"/>
      <c r="R109" s="8"/>
      <c r="S109" s="8"/>
      <c r="T109" s="8"/>
      <c r="U109" s="8"/>
      <c r="V109" s="8"/>
      <c r="W109" s="8"/>
      <c r="X109" s="8"/>
      <c r="Y109" s="8"/>
      <c r="Z109" s="8"/>
      <c r="AA109" s="8"/>
      <c r="AB109" s="8"/>
      <c r="AC109" s="8"/>
    </row>
    <row r="110" spans="1:29" ht="13">
      <c r="A110" s="58"/>
      <c r="B110" s="69">
        <v>80</v>
      </c>
      <c r="C110" s="43" t="s">
        <v>85</v>
      </c>
      <c r="D110" s="69">
        <v>0.16794593847662501</v>
      </c>
      <c r="E110" s="69">
        <f t="shared" si="3"/>
        <v>0.35570133561227757</v>
      </c>
      <c r="F110" s="71">
        <f t="shared" si="4"/>
        <v>35.570133561227756</v>
      </c>
      <c r="G110" s="43">
        <v>363.88246633135998</v>
      </c>
      <c r="H110" s="43"/>
      <c r="I110" s="8"/>
      <c r="J110" s="8"/>
      <c r="K110" s="8"/>
      <c r="L110" s="8"/>
      <c r="M110" s="8"/>
      <c r="O110" s="8"/>
      <c r="P110" s="8"/>
      <c r="Q110" s="8"/>
      <c r="R110" s="8"/>
      <c r="S110" s="8"/>
      <c r="T110" s="8"/>
      <c r="U110" s="8"/>
      <c r="V110" s="8"/>
      <c r="W110" s="8"/>
      <c r="X110" s="8"/>
      <c r="Y110" s="8"/>
      <c r="Z110" s="8"/>
      <c r="AA110" s="8"/>
      <c r="AB110" s="8"/>
      <c r="AC110" s="8"/>
    </row>
    <row r="111" spans="1:29" ht="13">
      <c r="A111" s="58"/>
      <c r="B111" s="69">
        <v>81</v>
      </c>
      <c r="C111" s="43" t="s">
        <v>308</v>
      </c>
      <c r="D111" s="69">
        <v>0.18</v>
      </c>
      <c r="E111" s="69">
        <f t="shared" si="3"/>
        <v>0.36366777011713786</v>
      </c>
      <c r="F111" s="71">
        <f t="shared" si="4"/>
        <v>36.366777011713786</v>
      </c>
      <c r="G111" s="43">
        <v>372.032128829832</v>
      </c>
      <c r="H111" s="43"/>
      <c r="I111" s="8"/>
      <c r="J111" s="8"/>
      <c r="K111" s="8"/>
      <c r="L111" s="8"/>
      <c r="M111" s="8"/>
      <c r="O111" s="8"/>
      <c r="P111" s="8"/>
      <c r="Q111" s="8"/>
      <c r="R111" s="8"/>
      <c r="S111" s="8"/>
      <c r="T111" s="8"/>
      <c r="U111" s="8"/>
      <c r="V111" s="8"/>
      <c r="W111" s="8"/>
      <c r="X111" s="8"/>
      <c r="Y111" s="8"/>
      <c r="Z111" s="8"/>
      <c r="AA111" s="8"/>
      <c r="AB111" s="8"/>
      <c r="AC111" s="8"/>
    </row>
    <row r="112" spans="1:29" ht="13">
      <c r="A112" s="58"/>
      <c r="B112" s="69">
        <v>82</v>
      </c>
      <c r="C112" s="43" t="s">
        <v>309</v>
      </c>
      <c r="D112" s="69">
        <v>0.19291922325653199</v>
      </c>
      <c r="E112" s="69">
        <f t="shared" si="3"/>
        <v>0.37183549771031477</v>
      </c>
      <c r="F112" s="71">
        <f t="shared" si="4"/>
        <v>37.18354977103148</v>
      </c>
      <c r="G112" s="43">
        <v>380.387714157652</v>
      </c>
      <c r="H112" s="43"/>
      <c r="I112" s="8"/>
      <c r="J112" s="8"/>
      <c r="K112" s="8"/>
      <c r="L112" s="8"/>
      <c r="M112" s="8"/>
      <c r="O112" s="8"/>
      <c r="P112" s="8"/>
      <c r="Q112" s="8"/>
      <c r="R112" s="8"/>
      <c r="S112" s="8"/>
      <c r="T112" s="8"/>
      <c r="U112" s="8"/>
      <c r="V112" s="8"/>
      <c r="W112" s="8"/>
      <c r="X112" s="8"/>
      <c r="Y112" s="8"/>
      <c r="Z112" s="8"/>
      <c r="AA112" s="8"/>
      <c r="AB112" s="8"/>
      <c r="AC112" s="8"/>
    </row>
    <row r="113" spans="1:29" ht="13">
      <c r="A113" s="58"/>
      <c r="B113" s="69">
        <v>83</v>
      </c>
      <c r="C113" s="43" t="s">
        <v>87</v>
      </c>
      <c r="D113" s="69">
        <v>0.206765703899466</v>
      </c>
      <c r="E113" s="69">
        <f t="shared" si="3"/>
        <v>0.38020860662019063</v>
      </c>
      <c r="F113" s="71">
        <f t="shared" si="4"/>
        <v>38.020860662019061</v>
      </c>
      <c r="G113" s="43">
        <v>388.95340457245499</v>
      </c>
      <c r="H113" s="43"/>
      <c r="I113" s="8"/>
      <c r="J113" s="8"/>
      <c r="K113" s="8"/>
      <c r="L113" s="8"/>
      <c r="M113" s="8"/>
      <c r="O113" s="8"/>
      <c r="P113" s="8"/>
      <c r="Q113" s="8"/>
      <c r="R113" s="8"/>
      <c r="S113" s="8"/>
      <c r="T113" s="8"/>
      <c r="U113" s="8"/>
      <c r="V113" s="8"/>
      <c r="W113" s="8"/>
      <c r="X113" s="8"/>
      <c r="Y113" s="8"/>
      <c r="Z113" s="8"/>
      <c r="AA113" s="8"/>
      <c r="AB113" s="8"/>
      <c r="AC113" s="8"/>
    </row>
    <row r="114" spans="1:29" ht="13">
      <c r="A114" s="58"/>
      <c r="B114" s="69">
        <v>84</v>
      </c>
      <c r="C114" s="43" t="s">
        <v>310</v>
      </c>
      <c r="D114" s="69">
        <v>0.22160599440208401</v>
      </c>
      <c r="E114" s="69">
        <f t="shared" si="3"/>
        <v>0.38879130201016721</v>
      </c>
      <c r="F114" s="71">
        <f t="shared" si="4"/>
        <v>38.879130201016721</v>
      </c>
      <c r="G114" s="43">
        <v>397.73350195640103</v>
      </c>
      <c r="H114" s="43"/>
      <c r="I114" s="8"/>
      <c r="J114" s="8"/>
      <c r="K114" s="8"/>
      <c r="L114" s="8"/>
      <c r="M114" s="8"/>
      <c r="O114" s="8"/>
      <c r="P114" s="8"/>
      <c r="Q114" s="8"/>
      <c r="R114" s="8"/>
      <c r="S114" s="8"/>
      <c r="T114" s="8"/>
      <c r="U114" s="8"/>
      <c r="V114" s="8"/>
      <c r="W114" s="8"/>
      <c r="X114" s="8"/>
      <c r="Y114" s="8"/>
      <c r="Z114" s="8"/>
      <c r="AA114" s="8"/>
      <c r="AB114" s="8"/>
      <c r="AC114" s="8"/>
    </row>
    <row r="115" spans="1:29" ht="13">
      <c r="A115" s="58"/>
      <c r="B115" s="69">
        <v>85</v>
      </c>
      <c r="C115" s="43" t="s">
        <v>311</v>
      </c>
      <c r="D115" s="69">
        <v>0.23751142393912</v>
      </c>
      <c r="E115" s="69">
        <f t="shared" si="3"/>
        <v>0.39758790811451417</v>
      </c>
      <c r="F115" s="71">
        <f t="shared" si="4"/>
        <v>39.758790811451419</v>
      </c>
      <c r="G115" s="43">
        <v>406.73243000114797</v>
      </c>
      <c r="H115" s="43"/>
      <c r="I115" s="8"/>
      <c r="J115" s="8"/>
      <c r="K115" s="8"/>
      <c r="L115" s="8"/>
      <c r="M115" s="8"/>
      <c r="O115" s="8"/>
      <c r="P115" s="8"/>
      <c r="Q115" s="8"/>
      <c r="R115" s="8"/>
      <c r="S115" s="8"/>
      <c r="T115" s="8"/>
      <c r="U115" s="8"/>
      <c r="V115" s="8"/>
      <c r="W115" s="8"/>
      <c r="X115" s="8"/>
      <c r="Y115" s="8"/>
      <c r="Z115" s="8"/>
      <c r="AA115" s="8"/>
      <c r="AB115" s="8"/>
      <c r="AC115" s="8"/>
    </row>
    <row r="116" spans="1:29" ht="13">
      <c r="A116" s="58"/>
      <c r="B116" s="69">
        <v>86</v>
      </c>
      <c r="C116" s="43" t="s">
        <v>312</v>
      </c>
      <c r="D116" s="69">
        <v>0.25455844122715698</v>
      </c>
      <c r="E116" s="69">
        <f t="shared" si="3"/>
        <v>0.40660287089052788</v>
      </c>
      <c r="F116" s="71">
        <f t="shared" si="4"/>
        <v>40.660287089052787</v>
      </c>
      <c r="G116" s="43">
        <v>415.95473692101001</v>
      </c>
      <c r="H116" s="43"/>
      <c r="I116" s="8"/>
      <c r="J116" s="8"/>
      <c r="K116" s="8"/>
      <c r="L116" s="8"/>
      <c r="M116" s="8"/>
      <c r="O116" s="8"/>
      <c r="P116" s="8"/>
      <c r="Q116" s="8"/>
      <c r="R116" s="8"/>
      <c r="S116" s="8"/>
      <c r="T116" s="8"/>
      <c r="U116" s="8"/>
      <c r="V116" s="8"/>
      <c r="W116" s="8"/>
      <c r="X116" s="8"/>
      <c r="Y116" s="8"/>
      <c r="Z116" s="8"/>
      <c r="AA116" s="8"/>
      <c r="AB116" s="8"/>
      <c r="AC116" s="8"/>
    </row>
    <row r="117" spans="1:29" ht="13">
      <c r="A117" s="58"/>
      <c r="B117" s="69">
        <v>87</v>
      </c>
      <c r="C117" s="43" t="s">
        <v>313</v>
      </c>
      <c r="D117" s="69">
        <v>0.272828981971871</v>
      </c>
      <c r="E117" s="69">
        <f t="shared" si="3"/>
        <v>0.4158407603344233</v>
      </c>
      <c r="F117" s="71">
        <f t="shared" si="4"/>
        <v>41.584076033442329</v>
      </c>
      <c r="G117" s="43">
        <v>425.40509782211501</v>
      </c>
      <c r="H117" s="43"/>
      <c r="I117" s="8"/>
      <c r="J117" s="8"/>
      <c r="K117" s="8"/>
      <c r="L117" s="8"/>
      <c r="M117" s="8"/>
      <c r="O117" s="8"/>
      <c r="P117" s="8"/>
      <c r="Q117" s="8"/>
      <c r="R117" s="8"/>
      <c r="S117" s="8"/>
      <c r="T117" s="8"/>
      <c r="U117" s="8"/>
      <c r="V117" s="8"/>
      <c r="W117" s="8"/>
      <c r="X117" s="8"/>
      <c r="Y117" s="8"/>
      <c r="Z117" s="8"/>
      <c r="AA117" s="8"/>
      <c r="AB117" s="8"/>
      <c r="AC117" s="8"/>
    </row>
    <row r="118" spans="1:29" ht="13">
      <c r="A118" s="58"/>
      <c r="B118" s="69">
        <v>88</v>
      </c>
      <c r="C118" s="43" t="s">
        <v>314</v>
      </c>
      <c r="D118" s="69">
        <v>0.29241086268824401</v>
      </c>
      <c r="E118" s="69">
        <f t="shared" si="3"/>
        <v>0.42530627296216328</v>
      </c>
      <c r="F118" s="71">
        <f t="shared" si="4"/>
        <v>42.530627296216331</v>
      </c>
      <c r="G118" s="43">
        <v>435.08831724029301</v>
      </c>
      <c r="H118" s="43"/>
      <c r="I118" s="8"/>
      <c r="J118" s="8"/>
      <c r="K118" s="8"/>
      <c r="L118" s="8"/>
      <c r="M118" s="8"/>
      <c r="O118" s="8"/>
      <c r="P118" s="8"/>
      <c r="Q118" s="8"/>
      <c r="R118" s="8"/>
      <c r="S118" s="8"/>
      <c r="T118" s="8"/>
      <c r="U118" s="8"/>
      <c r="V118" s="8"/>
      <c r="W118" s="8"/>
      <c r="X118" s="8"/>
      <c r="Y118" s="8"/>
      <c r="Z118" s="8"/>
      <c r="AA118" s="8"/>
      <c r="AB118" s="8"/>
      <c r="AC118" s="8"/>
    </row>
    <row r="119" spans="1:29" ht="13">
      <c r="A119" s="58"/>
      <c r="B119" s="69">
        <v>89</v>
      </c>
      <c r="C119" s="43" t="s">
        <v>315</v>
      </c>
      <c r="D119" s="69">
        <v>0.31339820278660402</v>
      </c>
      <c r="E119" s="69">
        <f t="shared" si="3"/>
        <v>0.43500423447212805</v>
      </c>
      <c r="F119" s="71">
        <f t="shared" si="4"/>
        <v>43.500423447212803</v>
      </c>
      <c r="G119" s="43">
        <v>445.00933186498702</v>
      </c>
      <c r="H119" s="43"/>
      <c r="I119" s="8"/>
      <c r="J119" s="8"/>
      <c r="K119" s="8"/>
      <c r="L119" s="8"/>
      <c r="M119" s="8"/>
      <c r="O119" s="8"/>
      <c r="P119" s="8"/>
      <c r="Q119" s="8"/>
      <c r="R119" s="8"/>
      <c r="S119" s="8"/>
      <c r="T119" s="8"/>
      <c r="U119" s="8"/>
      <c r="V119" s="8"/>
      <c r="W119" s="8"/>
      <c r="X119" s="8"/>
      <c r="Y119" s="8"/>
      <c r="Z119" s="8"/>
      <c r="AA119" s="8"/>
      <c r="AB119" s="8"/>
      <c r="AC119" s="8"/>
    </row>
    <row r="120" spans="1:29" ht="13">
      <c r="A120" s="58"/>
      <c r="B120" s="69">
        <v>90</v>
      </c>
      <c r="C120" s="43" t="s">
        <v>316</v>
      </c>
      <c r="D120" s="69">
        <v>0.33589187695325001</v>
      </c>
      <c r="E120" s="69">
        <f t="shared" si="3"/>
        <v>0.44511740487065493</v>
      </c>
      <c r="F120" s="71">
        <f t="shared" si="4"/>
        <v>44.511740487065495</v>
      </c>
      <c r="G120" s="43">
        <v>455.35510518268001</v>
      </c>
      <c r="H120" s="43"/>
      <c r="I120" s="8"/>
      <c r="J120" s="8"/>
      <c r="K120" s="8"/>
      <c r="L120" s="8"/>
      <c r="M120" s="8"/>
      <c r="O120" s="8"/>
      <c r="P120" s="8"/>
      <c r="Q120" s="8"/>
      <c r="R120" s="8"/>
      <c r="S120" s="8"/>
      <c r="T120" s="8"/>
      <c r="U120" s="8"/>
      <c r="V120" s="8"/>
      <c r="W120" s="8"/>
      <c r="X120" s="8"/>
      <c r="Y120" s="8"/>
      <c r="Z120" s="8"/>
      <c r="AA120" s="8"/>
      <c r="AB120" s="8"/>
      <c r="AC120" s="8"/>
    </row>
    <row r="121" spans="1:29" ht="13">
      <c r="A121" s="58"/>
      <c r="B121" s="69">
        <v>91</v>
      </c>
      <c r="C121" s="43" t="s">
        <v>317</v>
      </c>
      <c r="D121" s="69">
        <v>0.36</v>
      </c>
      <c r="E121" s="69">
        <f t="shared" si="3"/>
        <v>0.45528085324555423</v>
      </c>
      <c r="F121" s="71">
        <f t="shared" si="4"/>
        <v>45.52808532455542</v>
      </c>
      <c r="G121" s="43">
        <v>465.75231287020199</v>
      </c>
      <c r="H121" s="43"/>
      <c r="I121" s="8"/>
      <c r="J121" s="8"/>
      <c r="K121" s="8"/>
      <c r="L121" s="8"/>
      <c r="M121" s="8"/>
      <c r="O121" s="8"/>
      <c r="P121" s="8"/>
      <c r="Q121" s="8"/>
      <c r="R121" s="8"/>
      <c r="S121" s="8"/>
      <c r="T121" s="8"/>
      <c r="U121" s="8"/>
      <c r="V121" s="8"/>
      <c r="W121" s="8"/>
      <c r="X121" s="8"/>
      <c r="Y121" s="8"/>
      <c r="Z121" s="8"/>
      <c r="AA121" s="8"/>
      <c r="AB121" s="8"/>
      <c r="AC121" s="8"/>
    </row>
    <row r="122" spans="1:29" ht="13">
      <c r="A122" s="58"/>
      <c r="B122" s="69">
        <v>92</v>
      </c>
      <c r="C122" s="43" t="s">
        <v>318</v>
      </c>
      <c r="D122" s="69">
        <v>0.38583844651306498</v>
      </c>
      <c r="E122" s="69">
        <f t="shared" si="3"/>
        <v>0.4654443016358964</v>
      </c>
      <c r="F122" s="71">
        <f t="shared" si="4"/>
        <v>46.544430163589638</v>
      </c>
      <c r="G122" s="43">
        <v>476.14952057352201</v>
      </c>
      <c r="H122" s="43"/>
      <c r="I122" s="8"/>
      <c r="J122" s="8"/>
      <c r="K122" s="8"/>
      <c r="L122" s="8"/>
      <c r="M122" s="8"/>
      <c r="O122" s="8"/>
      <c r="P122" s="8"/>
      <c r="Q122" s="8"/>
      <c r="R122" s="8"/>
      <c r="S122" s="8"/>
      <c r="T122" s="8"/>
      <c r="U122" s="8"/>
      <c r="V122" s="8"/>
      <c r="W122" s="8"/>
      <c r="X122" s="8"/>
      <c r="Y122" s="8"/>
      <c r="Z122" s="8"/>
      <c r="AA122" s="8"/>
      <c r="AB122" s="8"/>
      <c r="AC122" s="8"/>
    </row>
    <row r="123" spans="1:29" ht="13">
      <c r="A123" s="58"/>
      <c r="B123" s="69">
        <v>93</v>
      </c>
      <c r="C123" s="43" t="s">
        <v>319</v>
      </c>
      <c r="D123" s="69">
        <v>0.41353140779893199</v>
      </c>
      <c r="E123" s="69">
        <f t="shared" si="3"/>
        <v>0.47560775003654743</v>
      </c>
      <c r="F123" s="71">
        <f t="shared" si="4"/>
        <v>47.56077500365474</v>
      </c>
      <c r="G123" s="43">
        <v>486.54672828738802</v>
      </c>
      <c r="H123" s="43"/>
      <c r="I123" s="8"/>
      <c r="J123" s="8"/>
      <c r="K123" s="8"/>
      <c r="L123" s="8"/>
      <c r="M123" s="8"/>
      <c r="O123" s="8"/>
      <c r="P123" s="8"/>
      <c r="Q123" s="8"/>
      <c r="R123" s="8"/>
      <c r="S123" s="8"/>
      <c r="T123" s="8"/>
      <c r="U123" s="8"/>
      <c r="V123" s="8"/>
      <c r="W123" s="8"/>
      <c r="X123" s="8"/>
      <c r="Y123" s="8"/>
      <c r="Z123" s="8"/>
      <c r="AA123" s="8"/>
      <c r="AB123" s="8"/>
      <c r="AC123" s="8"/>
    </row>
    <row r="124" spans="1:29" ht="13">
      <c r="A124" s="58"/>
      <c r="B124" s="69">
        <v>94</v>
      </c>
      <c r="C124" s="43" t="s">
        <v>320</v>
      </c>
      <c r="D124" s="69">
        <v>0.44321198880416901</v>
      </c>
      <c r="E124" s="69">
        <f t="shared" si="3"/>
        <v>0.48577119843009675</v>
      </c>
      <c r="F124" s="71">
        <f t="shared" si="4"/>
        <v>48.577119843009676</v>
      </c>
      <c r="G124" s="43">
        <v>496.94393599398899</v>
      </c>
      <c r="H124" s="43"/>
      <c r="I124" s="8"/>
      <c r="J124" s="8"/>
      <c r="K124" s="8"/>
      <c r="L124" s="8"/>
      <c r="M124" s="8"/>
      <c r="O124" s="8"/>
      <c r="P124" s="8"/>
      <c r="Q124" s="8"/>
      <c r="R124" s="8"/>
      <c r="S124" s="8"/>
      <c r="T124" s="8"/>
      <c r="U124" s="8"/>
      <c r="V124" s="8"/>
      <c r="W124" s="8"/>
      <c r="X124" s="8"/>
      <c r="Y124" s="8"/>
      <c r="Z124" s="8"/>
      <c r="AA124" s="8"/>
      <c r="AB124" s="8"/>
      <c r="AC124" s="8"/>
    </row>
    <row r="125" spans="1:29" ht="13">
      <c r="A125" s="58"/>
      <c r="B125" s="69">
        <v>95</v>
      </c>
      <c r="C125" s="43" t="s">
        <v>321</v>
      </c>
      <c r="D125" s="69">
        <v>0.47502284787824101</v>
      </c>
      <c r="E125" s="69">
        <f t="shared" si="3"/>
        <v>0.49593464683349953</v>
      </c>
      <c r="F125" s="71">
        <f t="shared" si="4"/>
        <v>49.59346468334995</v>
      </c>
      <c r="G125" s="43">
        <v>507.34114371067</v>
      </c>
      <c r="H125" s="43"/>
      <c r="I125" s="8"/>
      <c r="J125" s="8"/>
      <c r="K125" s="8"/>
      <c r="L125" s="8"/>
      <c r="M125" s="8"/>
      <c r="O125" s="8"/>
      <c r="P125" s="8"/>
      <c r="Q125" s="8"/>
      <c r="R125" s="8"/>
      <c r="S125" s="8"/>
      <c r="T125" s="8"/>
      <c r="U125" s="8"/>
      <c r="V125" s="8"/>
      <c r="W125" s="8"/>
      <c r="X125" s="8"/>
      <c r="Y125" s="8"/>
      <c r="Z125" s="8"/>
      <c r="AA125" s="8"/>
      <c r="AB125" s="8"/>
      <c r="AC125" s="8"/>
    </row>
    <row r="126" spans="1:29" ht="13">
      <c r="A126" s="58"/>
      <c r="B126" s="69">
        <v>96</v>
      </c>
      <c r="C126" s="43" t="s">
        <v>322</v>
      </c>
      <c r="D126" s="69">
        <v>0.50911688245431397</v>
      </c>
      <c r="E126" s="69">
        <f t="shared" si="3"/>
        <v>0.50609809523524829</v>
      </c>
      <c r="F126" s="71">
        <f t="shared" si="4"/>
        <v>50.609809523524831</v>
      </c>
      <c r="G126" s="43">
        <v>517.73835142565895</v>
      </c>
      <c r="H126" s="43"/>
      <c r="I126" s="8"/>
      <c r="J126" s="8"/>
      <c r="K126" s="8"/>
      <c r="L126" s="8"/>
      <c r="M126" s="8"/>
      <c r="O126" s="8"/>
      <c r="P126" s="8"/>
      <c r="Q126" s="8"/>
      <c r="R126" s="8"/>
      <c r="S126" s="8"/>
      <c r="T126" s="8"/>
      <c r="U126" s="8"/>
      <c r="V126" s="8"/>
      <c r="W126" s="8"/>
      <c r="X126" s="8"/>
      <c r="Y126" s="8"/>
      <c r="Z126" s="8"/>
      <c r="AA126" s="8"/>
      <c r="AB126" s="8"/>
      <c r="AC126" s="8"/>
    </row>
    <row r="127" spans="1:29" ht="13">
      <c r="A127" s="58"/>
      <c r="B127" s="69">
        <v>97</v>
      </c>
      <c r="C127" s="43" t="s">
        <v>323</v>
      </c>
      <c r="D127" s="69">
        <v>0.545657963943743</v>
      </c>
      <c r="E127" s="69">
        <f t="shared" si="3"/>
        <v>0.51626154360564225</v>
      </c>
      <c r="F127" s="71">
        <f t="shared" si="4"/>
        <v>51.626154360564222</v>
      </c>
      <c r="G127" s="43">
        <v>528.13555910857201</v>
      </c>
      <c r="H127" s="43"/>
      <c r="I127" s="8"/>
      <c r="J127" s="8"/>
      <c r="K127" s="8"/>
      <c r="L127" s="8"/>
      <c r="M127" s="8"/>
      <c r="O127" s="8"/>
      <c r="P127" s="8"/>
      <c r="Q127" s="8"/>
      <c r="R127" s="8"/>
      <c r="S127" s="8"/>
      <c r="T127" s="8"/>
      <c r="U127" s="8"/>
      <c r="V127" s="8"/>
      <c r="W127" s="8"/>
      <c r="X127" s="8"/>
      <c r="Y127" s="8"/>
      <c r="Z127" s="8"/>
      <c r="AA127" s="8"/>
      <c r="AB127" s="8"/>
      <c r="AC127" s="8"/>
    </row>
    <row r="128" spans="1:29" ht="13">
      <c r="A128" s="58"/>
      <c r="B128" s="69">
        <v>98</v>
      </c>
      <c r="C128" s="43" t="s">
        <v>324</v>
      </c>
      <c r="D128" s="69">
        <v>0.58482172537648902</v>
      </c>
      <c r="E128" s="69">
        <f t="shared" si="3"/>
        <v>0.52642499201859927</v>
      </c>
      <c r="F128" s="71">
        <f t="shared" si="4"/>
        <v>52.642499201859927</v>
      </c>
      <c r="G128" s="43">
        <v>538.53276683502702</v>
      </c>
      <c r="H128" s="43"/>
      <c r="I128" s="8"/>
      <c r="J128" s="8"/>
      <c r="K128" s="8"/>
      <c r="L128" s="8"/>
      <c r="M128" s="8"/>
      <c r="O128" s="8"/>
      <c r="P128" s="8"/>
      <c r="Q128" s="8"/>
      <c r="R128" s="8"/>
      <c r="S128" s="8"/>
      <c r="T128" s="8"/>
      <c r="U128" s="8"/>
      <c r="V128" s="8"/>
      <c r="W128" s="8"/>
      <c r="X128" s="8"/>
      <c r="Y128" s="8"/>
      <c r="Z128" s="8"/>
      <c r="AA128" s="8"/>
      <c r="AB128" s="8"/>
      <c r="AC128" s="8"/>
    </row>
    <row r="129" spans="1:29" ht="13">
      <c r="A129" s="58"/>
      <c r="B129" s="69">
        <v>99</v>
      </c>
      <c r="C129" s="43" t="s">
        <v>325</v>
      </c>
      <c r="D129" s="69">
        <v>0.62679640557320904</v>
      </c>
      <c r="E129" s="69">
        <f t="shared" si="3"/>
        <v>0.53658844041427867</v>
      </c>
      <c r="F129" s="71">
        <f t="shared" si="4"/>
        <v>53.658844041427869</v>
      </c>
      <c r="G129" s="43">
        <v>548.92997454380702</v>
      </c>
      <c r="H129" s="43"/>
      <c r="I129" s="8"/>
      <c r="J129" s="8"/>
      <c r="K129" s="8"/>
      <c r="L129" s="8"/>
      <c r="M129" s="8"/>
      <c r="O129" s="8"/>
      <c r="P129" s="8"/>
      <c r="Q129" s="8"/>
      <c r="R129" s="8"/>
      <c r="S129" s="8"/>
      <c r="T129" s="8"/>
      <c r="U129" s="8"/>
      <c r="V129" s="8"/>
      <c r="W129" s="8"/>
      <c r="X129" s="8"/>
      <c r="Y129" s="8"/>
      <c r="Z129" s="8"/>
      <c r="AA129" s="8"/>
      <c r="AB129" s="8"/>
      <c r="AC129" s="8"/>
    </row>
    <row r="130" spans="1:29" ht="13">
      <c r="A130" s="58"/>
      <c r="B130" s="69">
        <v>100</v>
      </c>
      <c r="C130" s="43" t="s">
        <v>326</v>
      </c>
      <c r="D130" s="69">
        <v>0.67178375390650102</v>
      </c>
      <c r="E130" s="69">
        <f t="shared" si="3"/>
        <v>0.54675188880189929</v>
      </c>
      <c r="F130" s="71">
        <f t="shared" si="4"/>
        <v>54.675188880189928</v>
      </c>
      <c r="G130" s="43">
        <v>559.32718224434302</v>
      </c>
      <c r="H130" s="43"/>
      <c r="I130" s="8"/>
      <c r="J130" s="8"/>
      <c r="K130" s="8"/>
      <c r="L130" s="8"/>
      <c r="M130" s="8"/>
      <c r="O130" s="8"/>
      <c r="P130" s="8"/>
      <c r="Q130" s="8"/>
      <c r="R130" s="8"/>
      <c r="S130" s="8"/>
      <c r="T130" s="8"/>
      <c r="U130" s="8"/>
      <c r="V130" s="8"/>
      <c r="W130" s="8"/>
      <c r="X130" s="8"/>
      <c r="Y130" s="8"/>
      <c r="Z130" s="8"/>
      <c r="AA130" s="8"/>
      <c r="AB130" s="8"/>
      <c r="AC130" s="8"/>
    </row>
    <row r="131" spans="1:29" ht="13">
      <c r="A131" s="58"/>
      <c r="B131" s="69">
        <v>101</v>
      </c>
      <c r="C131" s="43" t="s">
        <v>327</v>
      </c>
      <c r="D131" s="69">
        <v>0.72</v>
      </c>
      <c r="E131" s="69">
        <f t="shared" si="3"/>
        <v>0.55691533719862552</v>
      </c>
      <c r="F131" s="71">
        <f t="shared" si="4"/>
        <v>55.691533719862548</v>
      </c>
      <c r="G131" s="43">
        <v>569.72438995419395</v>
      </c>
      <c r="H131" s="43"/>
      <c r="I131" s="8"/>
      <c r="J131" s="8"/>
      <c r="K131" s="8"/>
      <c r="L131" s="8"/>
      <c r="M131" s="8"/>
      <c r="O131" s="8"/>
      <c r="P131" s="8"/>
      <c r="Q131" s="8"/>
      <c r="R131" s="8"/>
      <c r="S131" s="8"/>
      <c r="T131" s="8"/>
      <c r="U131" s="8"/>
      <c r="V131" s="8"/>
      <c r="W131" s="8"/>
      <c r="X131" s="8"/>
      <c r="Y131" s="8"/>
      <c r="Z131" s="8"/>
      <c r="AA131" s="8"/>
      <c r="AB131" s="8"/>
      <c r="AC131" s="8"/>
    </row>
    <row r="132" spans="1:29" ht="13">
      <c r="A132" s="58"/>
      <c r="B132" s="69">
        <v>102</v>
      </c>
      <c r="C132" s="43" t="s">
        <v>328</v>
      </c>
      <c r="D132" s="69">
        <v>0.77167689302613096</v>
      </c>
      <c r="E132" s="69">
        <f t="shared" si="3"/>
        <v>0.56707878558896774</v>
      </c>
      <c r="F132" s="71">
        <f t="shared" si="4"/>
        <v>56.707878558896773</v>
      </c>
      <c r="G132" s="43">
        <v>580.12159765751403</v>
      </c>
      <c r="H132" s="43"/>
      <c r="I132" s="8"/>
      <c r="J132" s="8"/>
      <c r="K132" s="8"/>
      <c r="L132" s="8"/>
      <c r="M132" s="8"/>
      <c r="O132" s="8"/>
      <c r="P132" s="8"/>
      <c r="Q132" s="8"/>
      <c r="R132" s="8"/>
      <c r="S132" s="8"/>
      <c r="T132" s="8"/>
      <c r="U132" s="8"/>
      <c r="V132" s="8"/>
      <c r="W132" s="8"/>
      <c r="X132" s="8"/>
      <c r="Y132" s="8"/>
      <c r="Z132" s="8"/>
      <c r="AA132" s="8"/>
      <c r="AB132" s="8"/>
      <c r="AC132" s="8"/>
    </row>
    <row r="133" spans="1:29" ht="13">
      <c r="A133" s="58"/>
      <c r="B133" s="69">
        <v>103</v>
      </c>
      <c r="C133" s="43" t="s">
        <v>329</v>
      </c>
      <c r="D133" s="69">
        <v>0.82706281559786499</v>
      </c>
      <c r="E133" s="69">
        <f t="shared" si="3"/>
        <v>0.57724223398961882</v>
      </c>
      <c r="F133" s="71">
        <f t="shared" si="4"/>
        <v>57.724223398961882</v>
      </c>
      <c r="G133" s="43">
        <v>590.51880537138004</v>
      </c>
      <c r="H133" s="43"/>
      <c r="I133" s="8"/>
      <c r="J133" s="8"/>
      <c r="K133" s="8"/>
      <c r="L133" s="8"/>
      <c r="M133" s="8"/>
      <c r="O133" s="8"/>
      <c r="P133" s="8"/>
      <c r="Q133" s="8"/>
      <c r="R133" s="8"/>
      <c r="S133" s="8"/>
      <c r="T133" s="8"/>
      <c r="U133" s="8"/>
      <c r="V133" s="8"/>
      <c r="W133" s="8"/>
      <c r="X133" s="8"/>
      <c r="Y133" s="8"/>
      <c r="Z133" s="8"/>
      <c r="AA133" s="8"/>
      <c r="AB133" s="8"/>
      <c r="AC133" s="8"/>
    </row>
    <row r="134" spans="1:29" ht="13">
      <c r="A134" s="58"/>
      <c r="B134" s="69">
        <v>104</v>
      </c>
      <c r="C134" s="43" t="s">
        <v>330</v>
      </c>
      <c r="D134" s="69">
        <v>0.88642397760833902</v>
      </c>
      <c r="E134" s="69">
        <f t="shared" si="3"/>
        <v>0.58740568238316715</v>
      </c>
      <c r="F134" s="71">
        <f t="shared" si="4"/>
        <v>58.740568238316712</v>
      </c>
      <c r="G134" s="43">
        <v>600.91601307797998</v>
      </c>
      <c r="H134" s="43"/>
      <c r="I134" s="8"/>
      <c r="J134" s="8"/>
      <c r="K134" s="8"/>
      <c r="L134" s="8"/>
      <c r="M134" s="8"/>
      <c r="O134" s="8"/>
      <c r="P134" s="8"/>
      <c r="Q134" s="8"/>
      <c r="R134" s="8"/>
      <c r="S134" s="8"/>
      <c r="T134" s="8"/>
      <c r="U134" s="8"/>
      <c r="V134" s="8"/>
      <c r="W134" s="8"/>
      <c r="X134" s="8"/>
      <c r="Y134" s="8"/>
      <c r="Z134" s="8"/>
      <c r="AA134" s="8"/>
      <c r="AB134" s="8"/>
      <c r="AC134" s="8"/>
    </row>
    <row r="135" spans="1:29" ht="13">
      <c r="A135" s="58"/>
      <c r="B135" s="69">
        <v>105</v>
      </c>
      <c r="C135" s="43" t="s">
        <v>331</v>
      </c>
      <c r="D135" s="69">
        <v>0.95004569575648301</v>
      </c>
      <c r="E135" s="69">
        <f t="shared" si="3"/>
        <v>0.59756913078656992</v>
      </c>
      <c r="F135" s="71">
        <f t="shared" si="4"/>
        <v>59.756913078656993</v>
      </c>
      <c r="G135" s="43">
        <v>611.31322079466099</v>
      </c>
      <c r="H135" s="43"/>
      <c r="I135" s="8"/>
      <c r="J135" s="8"/>
      <c r="K135" s="8"/>
      <c r="L135" s="8"/>
      <c r="M135" s="8"/>
      <c r="O135" s="8"/>
      <c r="P135" s="8"/>
      <c r="Q135" s="8"/>
      <c r="R135" s="8"/>
      <c r="S135" s="8"/>
      <c r="T135" s="8"/>
      <c r="U135" s="8"/>
      <c r="V135" s="8"/>
      <c r="W135" s="8"/>
      <c r="X135" s="8"/>
      <c r="Y135" s="8"/>
      <c r="Z135" s="8"/>
      <c r="AA135" s="8"/>
      <c r="AB135" s="8"/>
      <c r="AC135" s="8"/>
    </row>
    <row r="136" spans="1:29" ht="13">
      <c r="A136" s="58"/>
      <c r="B136" s="69">
        <v>106</v>
      </c>
      <c r="C136" s="43" t="s">
        <v>332</v>
      </c>
      <c r="D136" s="69">
        <v>1.0182337649086199</v>
      </c>
      <c r="E136" s="69">
        <f t="shared" si="3"/>
        <v>0.60773257918831869</v>
      </c>
      <c r="F136" s="71">
        <f t="shared" si="4"/>
        <v>60.773257918831867</v>
      </c>
      <c r="G136" s="43">
        <v>621.71042850965</v>
      </c>
      <c r="H136" s="43"/>
      <c r="I136" s="8"/>
      <c r="J136" s="8"/>
      <c r="K136" s="8"/>
      <c r="L136" s="8"/>
      <c r="M136" s="8"/>
      <c r="O136" s="8"/>
      <c r="P136" s="8"/>
      <c r="Q136" s="8"/>
      <c r="R136" s="8"/>
      <c r="S136" s="8"/>
      <c r="T136" s="8"/>
      <c r="U136" s="8"/>
      <c r="V136" s="8"/>
      <c r="W136" s="8"/>
      <c r="X136" s="8"/>
      <c r="Y136" s="8"/>
      <c r="Z136" s="8"/>
      <c r="AA136" s="8"/>
      <c r="AB136" s="8"/>
      <c r="AC136" s="8"/>
    </row>
    <row r="137" spans="1:29" ht="13">
      <c r="A137" s="58"/>
      <c r="B137" s="69">
        <v>107</v>
      </c>
      <c r="C137" s="43" t="s">
        <v>333</v>
      </c>
      <c r="D137" s="69">
        <v>1.09131592788748</v>
      </c>
      <c r="E137" s="69">
        <f t="shared" si="3"/>
        <v>0.61789602758558559</v>
      </c>
      <c r="F137" s="71">
        <f t="shared" si="4"/>
        <v>61.789602758558559</v>
      </c>
      <c r="G137" s="43">
        <v>632.10763622005402</v>
      </c>
      <c r="H137" s="43"/>
      <c r="I137" s="8"/>
      <c r="J137" s="8"/>
      <c r="K137" s="8"/>
      <c r="L137" s="8"/>
      <c r="M137" s="8"/>
      <c r="O137" s="8"/>
      <c r="P137" s="8"/>
      <c r="Q137" s="8"/>
      <c r="R137" s="8"/>
      <c r="S137" s="8"/>
      <c r="T137" s="8"/>
      <c r="U137" s="8"/>
      <c r="V137" s="8"/>
      <c r="W137" s="8"/>
      <c r="X137" s="8"/>
      <c r="Y137" s="8"/>
      <c r="Z137" s="8"/>
      <c r="AA137" s="8"/>
      <c r="AB137" s="8"/>
      <c r="AC137" s="8"/>
    </row>
    <row r="138" spans="1:29" ht="13">
      <c r="A138" s="58"/>
      <c r="B138" s="69">
        <v>108</v>
      </c>
      <c r="C138" s="43" t="s">
        <v>334</v>
      </c>
      <c r="D138" s="69">
        <v>1.16964345075297</v>
      </c>
      <c r="E138" s="69">
        <f t="shared" si="3"/>
        <v>0.62805947599674194</v>
      </c>
      <c r="F138" s="71">
        <f t="shared" si="4"/>
        <v>62.805947599674198</v>
      </c>
      <c r="G138" s="43">
        <v>642.50484394466696</v>
      </c>
      <c r="H138" s="43"/>
      <c r="I138" s="8"/>
      <c r="J138" s="8"/>
      <c r="K138" s="8"/>
      <c r="L138" s="8"/>
      <c r="M138" s="8"/>
      <c r="O138" s="8"/>
      <c r="P138" s="8"/>
      <c r="Q138" s="8"/>
      <c r="R138" s="8"/>
      <c r="S138" s="8"/>
      <c r="T138" s="8"/>
      <c r="U138" s="8"/>
      <c r="V138" s="8"/>
      <c r="W138" s="8"/>
      <c r="X138" s="8"/>
      <c r="Y138" s="8"/>
      <c r="Z138" s="8"/>
      <c r="AA138" s="8"/>
      <c r="AB138" s="8"/>
      <c r="AC138" s="8"/>
    </row>
    <row r="139" spans="1:29" ht="13">
      <c r="A139" s="58"/>
      <c r="B139" s="69">
        <v>109</v>
      </c>
      <c r="C139" s="43" t="s">
        <v>335</v>
      </c>
      <c r="D139" s="69">
        <v>1.2535928111464101</v>
      </c>
      <c r="E139" s="69">
        <f t="shared" si="3"/>
        <v>0.638222924343957</v>
      </c>
      <c r="F139" s="71">
        <f t="shared" si="4"/>
        <v>63.822292434395699</v>
      </c>
      <c r="G139" s="43">
        <v>652.90205160386802</v>
      </c>
      <c r="H139" s="43"/>
      <c r="I139" s="8"/>
      <c r="J139" s="8"/>
      <c r="K139" s="8"/>
      <c r="L139" s="8"/>
      <c r="M139" s="8"/>
      <c r="O139" s="8"/>
      <c r="P139" s="8"/>
      <c r="Q139" s="8"/>
      <c r="R139" s="8"/>
      <c r="S139" s="8"/>
      <c r="T139" s="8"/>
      <c r="U139" s="8"/>
      <c r="V139" s="8"/>
      <c r="W139" s="8"/>
      <c r="X139" s="8"/>
      <c r="Y139" s="8"/>
      <c r="Z139" s="8"/>
      <c r="AA139" s="8"/>
      <c r="AB139" s="8"/>
      <c r="AC139" s="8"/>
    </row>
    <row r="140" spans="1:29" ht="13">
      <c r="A140" s="58"/>
      <c r="B140" s="69">
        <v>110</v>
      </c>
      <c r="C140" s="43" t="s">
        <v>336</v>
      </c>
      <c r="D140" s="69">
        <v>1.3435675078130001</v>
      </c>
      <c r="E140" s="69">
        <f t="shared" si="3"/>
        <v>0.64838637277679767</v>
      </c>
      <c r="F140" s="71">
        <f t="shared" si="4"/>
        <v>64.838637277679766</v>
      </c>
      <c r="G140" s="43">
        <v>663.29925935066399</v>
      </c>
      <c r="H140" s="43"/>
      <c r="I140" s="8"/>
      <c r="J140" s="8"/>
      <c r="K140" s="8"/>
      <c r="L140" s="8"/>
      <c r="M140" s="8"/>
      <c r="O140" s="8"/>
      <c r="P140" s="8"/>
      <c r="Q140" s="8"/>
      <c r="R140" s="8"/>
      <c r="S140" s="8"/>
      <c r="T140" s="8"/>
      <c r="U140" s="8"/>
      <c r="V140" s="8"/>
      <c r="W140" s="8"/>
      <c r="X140" s="8"/>
      <c r="Y140" s="8"/>
      <c r="Z140" s="8"/>
      <c r="AA140" s="8"/>
      <c r="AB140" s="8"/>
      <c r="AC140" s="8"/>
    </row>
    <row r="141" spans="1:29" ht="13">
      <c r="A141" s="58"/>
      <c r="B141" s="69">
        <v>111</v>
      </c>
      <c r="C141" s="43" t="s">
        <v>337</v>
      </c>
      <c r="D141" s="69">
        <v>1.44</v>
      </c>
      <c r="E141" s="69">
        <f t="shared" si="3"/>
        <v>0.65854982115169702</v>
      </c>
      <c r="F141" s="71">
        <f t="shared" si="4"/>
        <v>65.854982115169705</v>
      </c>
      <c r="G141" s="43">
        <v>673.69646703818603</v>
      </c>
      <c r="H141" s="43"/>
      <c r="I141" s="8"/>
      <c r="J141" s="8"/>
      <c r="K141" s="8"/>
      <c r="L141" s="8"/>
      <c r="M141" s="8"/>
      <c r="O141" s="8"/>
      <c r="P141" s="8"/>
      <c r="Q141" s="8"/>
      <c r="R141" s="8"/>
      <c r="S141" s="8"/>
      <c r="T141" s="8"/>
      <c r="U141" s="8"/>
      <c r="V141" s="8"/>
      <c r="W141" s="8"/>
      <c r="X141" s="8"/>
      <c r="Y141" s="8"/>
      <c r="Z141" s="8"/>
      <c r="AA141" s="8"/>
      <c r="AB141" s="8"/>
      <c r="AC141" s="8"/>
    </row>
    <row r="142" spans="1:29" ht="13">
      <c r="A142" s="58"/>
      <c r="B142" s="69">
        <v>112</v>
      </c>
      <c r="C142" s="43" t="s">
        <v>338</v>
      </c>
      <c r="D142" s="69">
        <v>1.5433537860522599</v>
      </c>
      <c r="E142" s="69">
        <f t="shared" si="3"/>
        <v>0.66871326954203913</v>
      </c>
      <c r="F142" s="71">
        <f t="shared" si="4"/>
        <v>66.871326954203909</v>
      </c>
      <c r="G142" s="43">
        <v>684.09367474150599</v>
      </c>
      <c r="H142" s="43"/>
      <c r="I142" s="8"/>
      <c r="J142" s="8"/>
      <c r="K142" s="8"/>
      <c r="L142" s="8"/>
      <c r="M142" s="8"/>
      <c r="O142" s="8"/>
      <c r="P142" s="8"/>
      <c r="Q142" s="8"/>
      <c r="R142" s="8"/>
      <c r="S142" s="8"/>
      <c r="T142" s="8"/>
      <c r="U142" s="8"/>
      <c r="V142" s="8"/>
      <c r="W142" s="8"/>
      <c r="X142" s="8"/>
      <c r="Y142" s="8"/>
      <c r="Z142" s="8"/>
      <c r="AA142" s="8"/>
      <c r="AB142" s="8"/>
      <c r="AC142" s="8"/>
    </row>
    <row r="143" spans="1:29" ht="13">
      <c r="A143" s="58"/>
      <c r="B143" s="69">
        <v>113</v>
      </c>
      <c r="C143" s="43" t="s">
        <v>339</v>
      </c>
      <c r="D143" s="69">
        <v>1.65412563119573</v>
      </c>
      <c r="E143" s="69">
        <f t="shared" si="3"/>
        <v>0.67887671792496085</v>
      </c>
      <c r="F143" s="71">
        <f t="shared" si="4"/>
        <v>67.887671792496079</v>
      </c>
      <c r="G143" s="43">
        <v>694.49088243723497</v>
      </c>
      <c r="H143" s="43"/>
      <c r="I143" s="8"/>
      <c r="J143" s="8"/>
      <c r="K143" s="8"/>
      <c r="L143" s="8"/>
      <c r="M143" s="8"/>
      <c r="O143" s="8"/>
      <c r="P143" s="8"/>
      <c r="Q143" s="8"/>
      <c r="R143" s="8"/>
      <c r="S143" s="8"/>
      <c r="T143" s="8"/>
      <c r="U143" s="8"/>
      <c r="V143" s="8"/>
      <c r="W143" s="8"/>
      <c r="X143" s="8"/>
      <c r="Y143" s="8"/>
      <c r="Z143" s="8"/>
      <c r="AA143" s="8"/>
      <c r="AB143" s="8"/>
      <c r="AC143" s="8"/>
    </row>
    <row r="144" spans="1:29" ht="13">
      <c r="A144" s="58"/>
      <c r="B144" s="69">
        <v>114</v>
      </c>
      <c r="C144" s="43" t="s">
        <v>340</v>
      </c>
      <c r="D144" s="69">
        <v>1.77284795521667</v>
      </c>
      <c r="E144" s="69">
        <f t="shared" si="3"/>
        <v>0.689040166319697</v>
      </c>
      <c r="F144" s="71">
        <f t="shared" si="4"/>
        <v>68.904016631969697</v>
      </c>
      <c r="G144" s="43">
        <v>704.88809014505</v>
      </c>
      <c r="H144" s="43"/>
      <c r="I144" s="8"/>
      <c r="J144" s="8"/>
      <c r="K144" s="8"/>
      <c r="L144" s="8"/>
      <c r="M144" s="8"/>
      <c r="O144" s="8"/>
      <c r="P144" s="8"/>
      <c r="Q144" s="8"/>
      <c r="R144" s="8"/>
      <c r="S144" s="8"/>
      <c r="T144" s="8"/>
      <c r="U144" s="8"/>
      <c r="V144" s="8"/>
      <c r="W144" s="8"/>
      <c r="X144" s="8"/>
      <c r="Y144" s="8"/>
      <c r="Z144" s="8"/>
      <c r="AA144" s="8"/>
      <c r="AB144" s="8"/>
      <c r="AC144" s="8"/>
    </row>
    <row r="145" spans="1:29" ht="13">
      <c r="A145" s="58"/>
      <c r="B145" s="69">
        <v>115</v>
      </c>
      <c r="C145" s="43" t="s">
        <v>341</v>
      </c>
      <c r="D145" s="69">
        <v>1.90009139151296</v>
      </c>
      <c r="E145" s="69">
        <f t="shared" si="3"/>
        <v>0.69920361477050919</v>
      </c>
      <c r="F145" s="71">
        <f t="shared" si="4"/>
        <v>69.920361477050918</v>
      </c>
      <c r="G145" s="43">
        <v>715.28529791023095</v>
      </c>
      <c r="H145" s="43"/>
      <c r="I145" s="8"/>
      <c r="J145" s="8"/>
      <c r="K145" s="8"/>
      <c r="L145" s="8"/>
      <c r="M145" s="8"/>
      <c r="O145" s="8"/>
      <c r="P145" s="8"/>
      <c r="Q145" s="8"/>
      <c r="R145" s="8"/>
      <c r="S145" s="8"/>
      <c r="T145" s="8"/>
      <c r="U145" s="8"/>
      <c r="V145" s="8"/>
      <c r="W145" s="8"/>
      <c r="X145" s="8"/>
      <c r="Y145" s="8"/>
      <c r="Z145" s="8"/>
      <c r="AA145" s="8"/>
      <c r="AB145" s="8"/>
      <c r="AC145" s="8"/>
    </row>
    <row r="146" spans="1:29" ht="13">
      <c r="A146" s="58"/>
      <c r="B146" s="69">
        <v>116</v>
      </c>
      <c r="C146" s="43" t="s">
        <v>342</v>
      </c>
      <c r="D146" s="69">
        <v>2.0364675298172501</v>
      </c>
      <c r="E146" s="69">
        <f t="shared" si="3"/>
        <v>0.70936706314138998</v>
      </c>
      <c r="F146" s="71">
        <f t="shared" si="4"/>
        <v>70.936706314139002</v>
      </c>
      <c r="G146" s="43">
        <v>725.68250559364196</v>
      </c>
      <c r="H146" s="43"/>
      <c r="I146" s="8"/>
      <c r="J146" s="8"/>
      <c r="K146" s="8"/>
      <c r="L146" s="8"/>
      <c r="M146" s="8"/>
      <c r="O146" s="8"/>
      <c r="P146" s="8"/>
      <c r="Q146" s="8"/>
      <c r="R146" s="8"/>
      <c r="S146" s="8"/>
      <c r="T146" s="8"/>
      <c r="U146" s="8"/>
      <c r="V146" s="8"/>
      <c r="W146" s="8"/>
      <c r="X146" s="8"/>
      <c r="Y146" s="8"/>
      <c r="Z146" s="8"/>
      <c r="AA146" s="8"/>
      <c r="AB146" s="8"/>
      <c r="AC146" s="8"/>
    </row>
    <row r="147" spans="1:29" ht="13">
      <c r="A147" s="58"/>
      <c r="B147" s="69">
        <v>117</v>
      </c>
      <c r="C147" s="43" t="s">
        <v>343</v>
      </c>
      <c r="D147" s="69">
        <v>2.1826318557749702</v>
      </c>
      <c r="E147" s="69">
        <f t="shared" si="3"/>
        <v>0.71953051153865688</v>
      </c>
      <c r="F147" s="71">
        <f t="shared" si="4"/>
        <v>71.953051153865687</v>
      </c>
      <c r="G147" s="43">
        <v>736.07971330404598</v>
      </c>
      <c r="H147" s="43"/>
      <c r="I147" s="8"/>
      <c r="J147" s="8"/>
      <c r="K147" s="8"/>
      <c r="L147" s="8"/>
      <c r="M147" s="8"/>
      <c r="O147" s="8"/>
      <c r="P147" s="8"/>
      <c r="Q147" s="8"/>
      <c r="R147" s="8"/>
      <c r="S147" s="8"/>
      <c r="T147" s="8"/>
      <c r="U147" s="8"/>
      <c r="V147" s="8"/>
      <c r="W147" s="8"/>
      <c r="X147" s="8"/>
      <c r="Y147" s="8"/>
      <c r="Z147" s="8"/>
      <c r="AA147" s="8"/>
      <c r="AB147" s="8"/>
      <c r="AC147" s="8"/>
    </row>
    <row r="148" spans="1:29" ht="13">
      <c r="A148" s="58"/>
      <c r="B148" s="69">
        <v>118</v>
      </c>
      <c r="C148" s="43" t="s">
        <v>344</v>
      </c>
      <c r="D148" s="69">
        <v>2.3392869015059499</v>
      </c>
      <c r="E148" s="69">
        <f t="shared" si="3"/>
        <v>0.72969395994981334</v>
      </c>
      <c r="F148" s="71">
        <f t="shared" si="4"/>
        <v>72.96939599498134</v>
      </c>
      <c r="G148" s="43">
        <v>746.47692102865904</v>
      </c>
      <c r="H148" s="43"/>
      <c r="I148" s="8"/>
      <c r="J148" s="8"/>
      <c r="K148" s="8"/>
      <c r="L148" s="8"/>
      <c r="M148" s="8"/>
      <c r="O148" s="8"/>
      <c r="P148" s="8"/>
      <c r="Q148" s="8"/>
      <c r="R148" s="8"/>
      <c r="S148" s="8"/>
      <c r="T148" s="8"/>
      <c r="U148" s="8"/>
      <c r="V148" s="8"/>
      <c r="W148" s="8"/>
      <c r="X148" s="8"/>
      <c r="Y148" s="8"/>
      <c r="Z148" s="8"/>
      <c r="AA148" s="8"/>
      <c r="AB148" s="8"/>
      <c r="AC148" s="8"/>
    </row>
    <row r="149" spans="1:29" ht="13">
      <c r="A149" s="58"/>
      <c r="B149" s="69">
        <v>119</v>
      </c>
      <c r="C149" s="43" t="s">
        <v>345</v>
      </c>
      <c r="D149" s="69">
        <v>2.5071856222928299</v>
      </c>
      <c r="E149" s="69">
        <f t="shared" si="3"/>
        <v>0.73985740829702829</v>
      </c>
      <c r="F149" s="71">
        <f t="shared" si="4"/>
        <v>73.985740829702834</v>
      </c>
      <c r="G149" s="43">
        <v>756.87412868785998</v>
      </c>
      <c r="H149" s="43"/>
      <c r="I149" s="8"/>
      <c r="J149" s="8"/>
      <c r="K149" s="8"/>
      <c r="L149" s="8"/>
      <c r="M149" s="8"/>
      <c r="O149" s="8"/>
      <c r="P149" s="8"/>
      <c r="Q149" s="8"/>
      <c r="R149" s="8"/>
      <c r="S149" s="8"/>
      <c r="T149" s="8"/>
      <c r="U149" s="8"/>
      <c r="V149" s="8"/>
      <c r="W149" s="8"/>
      <c r="X149" s="8"/>
      <c r="Y149" s="8"/>
      <c r="Z149" s="8"/>
      <c r="AA149" s="8"/>
      <c r="AB149" s="8"/>
      <c r="AC149" s="8"/>
    </row>
    <row r="150" spans="1:29" ht="13">
      <c r="A150" s="58"/>
      <c r="B150" s="69">
        <v>120</v>
      </c>
      <c r="C150" s="43" t="s">
        <v>346</v>
      </c>
      <c r="D150" s="69">
        <v>2.6871350156260001</v>
      </c>
      <c r="E150" s="69">
        <f t="shared" si="3"/>
        <v>0.75002085672986896</v>
      </c>
      <c r="F150" s="71">
        <f t="shared" si="4"/>
        <v>75.002085672986894</v>
      </c>
      <c r="G150" s="43">
        <v>767.27133643465595</v>
      </c>
      <c r="H150" s="43"/>
      <c r="I150" s="8"/>
      <c r="J150" s="8"/>
      <c r="K150" s="8"/>
      <c r="L150" s="8"/>
      <c r="M150" s="8"/>
      <c r="O150" s="8"/>
      <c r="P150" s="8"/>
      <c r="Q150" s="8"/>
      <c r="R150" s="8"/>
      <c r="S150" s="8"/>
      <c r="T150" s="8"/>
      <c r="U150" s="8"/>
      <c r="V150" s="8"/>
      <c r="W150" s="8"/>
      <c r="X150" s="8"/>
      <c r="Y150" s="8"/>
      <c r="Z150" s="8"/>
      <c r="AA150" s="8"/>
      <c r="AB150" s="8"/>
      <c r="AC150" s="8"/>
    </row>
    <row r="151" spans="1:29" ht="13">
      <c r="A151" s="58"/>
      <c r="B151" s="69">
        <v>121</v>
      </c>
      <c r="C151" s="43" t="s">
        <v>347</v>
      </c>
      <c r="D151" s="69">
        <v>2.88</v>
      </c>
      <c r="E151" s="69">
        <f t="shared" si="3"/>
        <v>0.76018430510476831</v>
      </c>
      <c r="F151" s="71">
        <f t="shared" si="4"/>
        <v>76.018430510476833</v>
      </c>
      <c r="G151" s="43">
        <v>777.66854412217799</v>
      </c>
      <c r="H151" s="43"/>
      <c r="I151" s="8"/>
      <c r="J151" s="8"/>
      <c r="K151" s="8"/>
      <c r="L151" s="8"/>
      <c r="M151" s="8"/>
      <c r="O151" s="8"/>
      <c r="P151" s="8"/>
      <c r="Q151" s="8"/>
      <c r="R151" s="8"/>
      <c r="S151" s="8"/>
      <c r="T151" s="8"/>
      <c r="U151" s="8"/>
      <c r="V151" s="8"/>
      <c r="W151" s="8"/>
      <c r="X151" s="8"/>
      <c r="Y151" s="8"/>
      <c r="Z151" s="8"/>
      <c r="AA151" s="8"/>
      <c r="AB151" s="8"/>
      <c r="AC151" s="8"/>
    </row>
    <row r="152" spans="1:29" ht="13">
      <c r="A152" s="58"/>
      <c r="B152" s="69">
        <v>122</v>
      </c>
      <c r="C152" s="43" t="s">
        <v>348</v>
      </c>
      <c r="D152" s="69">
        <v>3.0867075721045198</v>
      </c>
      <c r="E152" s="69">
        <f t="shared" si="3"/>
        <v>0.77034775349511042</v>
      </c>
      <c r="F152" s="71">
        <f t="shared" si="4"/>
        <v>77.034775349511037</v>
      </c>
      <c r="G152" s="43">
        <v>788.06575182549795</v>
      </c>
      <c r="H152" s="43"/>
      <c r="I152" s="8"/>
      <c r="J152" s="8"/>
      <c r="K152" s="8"/>
      <c r="L152" s="8"/>
      <c r="M152" s="8"/>
      <c r="O152" s="8"/>
      <c r="P152" s="8"/>
      <c r="Q152" s="8"/>
      <c r="R152" s="8"/>
      <c r="S152" s="8"/>
      <c r="T152" s="8"/>
      <c r="U152" s="8"/>
      <c r="V152" s="8"/>
      <c r="W152" s="8"/>
      <c r="X152" s="8"/>
      <c r="Y152" s="8"/>
      <c r="Z152" s="8"/>
      <c r="AA152" s="8"/>
      <c r="AB152" s="8"/>
      <c r="AC152" s="8"/>
    </row>
    <row r="153" spans="1:29" ht="13">
      <c r="A153" s="58"/>
      <c r="B153" s="69">
        <v>123</v>
      </c>
      <c r="C153" s="43" t="s">
        <v>349</v>
      </c>
      <c r="D153" s="69">
        <v>3.3082512623914599</v>
      </c>
      <c r="E153" s="69">
        <f t="shared" si="3"/>
        <v>0.78051120187803236</v>
      </c>
      <c r="F153" s="71">
        <f t="shared" si="4"/>
        <v>78.051120187803235</v>
      </c>
      <c r="G153" s="43">
        <v>798.46295952122705</v>
      </c>
      <c r="H153" s="43"/>
      <c r="I153" s="8"/>
      <c r="J153" s="8"/>
      <c r="K153" s="8"/>
      <c r="L153" s="8"/>
      <c r="M153" s="8"/>
      <c r="O153" s="8"/>
      <c r="P153" s="8"/>
      <c r="Q153" s="8"/>
      <c r="R153" s="8"/>
      <c r="S153" s="8"/>
      <c r="T153" s="8"/>
      <c r="U153" s="8"/>
      <c r="V153" s="8"/>
      <c r="W153" s="8"/>
      <c r="X153" s="8"/>
      <c r="Y153" s="8"/>
      <c r="Z153" s="8"/>
      <c r="AA153" s="8"/>
      <c r="AB153" s="8"/>
      <c r="AC153" s="8"/>
    </row>
    <row r="154" spans="1:29" ht="13">
      <c r="A154" s="58"/>
      <c r="B154" s="69">
        <v>124</v>
      </c>
      <c r="C154" s="43" t="s">
        <v>350</v>
      </c>
      <c r="D154" s="69">
        <v>3.5456959104333499</v>
      </c>
      <c r="E154" s="69">
        <f t="shared" si="3"/>
        <v>0.79067465027276829</v>
      </c>
      <c r="F154" s="71">
        <f t="shared" si="4"/>
        <v>79.067465027276825</v>
      </c>
      <c r="G154" s="43">
        <v>808.86016722904196</v>
      </c>
      <c r="H154" s="43"/>
      <c r="I154" s="8"/>
      <c r="J154" s="8"/>
      <c r="K154" s="8"/>
      <c r="L154" s="8"/>
      <c r="M154" s="8"/>
      <c r="O154" s="8"/>
      <c r="P154" s="8"/>
      <c r="Q154" s="8"/>
      <c r="R154" s="8"/>
      <c r="S154" s="8"/>
      <c r="T154" s="8"/>
      <c r="U154" s="8"/>
      <c r="V154" s="8"/>
      <c r="W154" s="8"/>
      <c r="X154" s="8"/>
      <c r="Y154" s="8"/>
      <c r="Z154" s="8"/>
      <c r="AA154" s="8"/>
      <c r="AB154" s="8"/>
      <c r="AC154" s="8"/>
    </row>
    <row r="155" spans="1:29" ht="13">
      <c r="A155" s="58"/>
      <c r="B155" s="69">
        <v>125</v>
      </c>
      <c r="C155" s="43" t="s">
        <v>351</v>
      </c>
      <c r="D155" s="69">
        <v>3.8001827830259298</v>
      </c>
      <c r="E155" s="69">
        <f t="shared" si="3"/>
        <v>0.800838098684996</v>
      </c>
      <c r="F155" s="71">
        <f t="shared" si="4"/>
        <v>80.0838098684996</v>
      </c>
      <c r="G155" s="43">
        <v>819.25737495475096</v>
      </c>
      <c r="H155" s="43"/>
      <c r="I155" s="8"/>
      <c r="J155" s="8"/>
      <c r="K155" s="8"/>
      <c r="L155" s="8"/>
      <c r="M155" s="8"/>
      <c r="O155" s="8"/>
      <c r="P155" s="8"/>
      <c r="Q155" s="8"/>
      <c r="R155" s="8"/>
      <c r="S155" s="8"/>
      <c r="T155" s="8"/>
      <c r="U155" s="8"/>
      <c r="V155" s="8"/>
      <c r="W155" s="8"/>
      <c r="X155" s="8"/>
      <c r="Y155" s="8"/>
      <c r="Z155" s="8"/>
      <c r="AA155" s="8"/>
      <c r="AB155" s="8"/>
      <c r="AC155" s="8"/>
    </row>
    <row r="156" spans="1:29" ht="13">
      <c r="A156" s="58"/>
      <c r="B156" s="69">
        <v>126</v>
      </c>
      <c r="C156" s="43" t="s">
        <v>352</v>
      </c>
      <c r="D156" s="69">
        <v>4.07293505963451</v>
      </c>
      <c r="E156" s="69">
        <f t="shared" si="3"/>
        <v>0.81100154709446137</v>
      </c>
      <c r="F156" s="71">
        <f t="shared" si="4"/>
        <v>81.100154709446144</v>
      </c>
      <c r="G156" s="43">
        <v>829.65458267763404</v>
      </c>
      <c r="H156" s="43"/>
      <c r="I156" s="8"/>
      <c r="J156" s="8"/>
      <c r="K156" s="8"/>
      <c r="L156" s="8"/>
      <c r="M156" s="8"/>
      <c r="O156" s="8"/>
      <c r="P156" s="8"/>
      <c r="Q156" s="8"/>
      <c r="R156" s="8"/>
      <c r="S156" s="8"/>
      <c r="T156" s="8"/>
      <c r="U156" s="8"/>
      <c r="V156" s="8"/>
      <c r="W156" s="8"/>
      <c r="X156" s="8"/>
      <c r="Y156" s="8"/>
      <c r="Z156" s="8"/>
      <c r="AA156" s="8"/>
      <c r="AB156" s="8"/>
      <c r="AC156" s="8"/>
    </row>
    <row r="157" spans="1:29" ht="13">
      <c r="A157" s="58"/>
      <c r="B157" s="69">
        <v>127</v>
      </c>
      <c r="C157" s="43" t="s">
        <v>353</v>
      </c>
      <c r="D157" s="69">
        <v>4.3652637115499404</v>
      </c>
      <c r="E157" s="69">
        <f t="shared" si="3"/>
        <v>0.82116499549172817</v>
      </c>
      <c r="F157" s="71">
        <f t="shared" si="4"/>
        <v>82.116499549172815</v>
      </c>
      <c r="G157" s="43">
        <v>840.05179038803794</v>
      </c>
      <c r="H157" s="43"/>
      <c r="I157" s="8"/>
      <c r="J157" s="8"/>
      <c r="K157" s="8"/>
      <c r="L157" s="8"/>
      <c r="M157" s="8"/>
      <c r="O157" s="8"/>
      <c r="P157" s="8"/>
      <c r="Q157" s="8"/>
      <c r="R157" s="8"/>
      <c r="S157" s="8"/>
      <c r="T157" s="8"/>
      <c r="U157" s="8"/>
      <c r="V157" s="8"/>
      <c r="W157" s="8"/>
      <c r="X157" s="8"/>
      <c r="Y157" s="8"/>
      <c r="Z157" s="8"/>
      <c r="AA157" s="8"/>
      <c r="AB157" s="8"/>
      <c r="AC157" s="8"/>
    </row>
    <row r="158" spans="1:29" ht="13">
      <c r="A158" s="58"/>
      <c r="B158" s="69">
        <v>128</v>
      </c>
      <c r="C158" s="43" t="s">
        <v>354</v>
      </c>
      <c r="D158" s="69">
        <v>4.6785738030119104</v>
      </c>
      <c r="E158" s="69">
        <f t="shared" si="3"/>
        <v>0.83132844387154448</v>
      </c>
      <c r="F158" s="71">
        <f t="shared" si="4"/>
        <v>83.132844387154449</v>
      </c>
      <c r="G158" s="43">
        <v>850.44899808058994</v>
      </c>
      <c r="H158" s="43"/>
      <c r="I158" s="8"/>
      <c r="J158" s="8"/>
      <c r="K158" s="8"/>
      <c r="L158" s="8"/>
      <c r="M158" s="8"/>
      <c r="O158" s="8"/>
      <c r="P158" s="8"/>
      <c r="Q158" s="8"/>
      <c r="R158" s="8"/>
      <c r="S158" s="8"/>
      <c r="T158" s="8"/>
      <c r="U158" s="8"/>
      <c r="V158" s="8"/>
      <c r="W158" s="8"/>
      <c r="X158" s="8"/>
      <c r="Y158" s="8"/>
      <c r="Z158" s="8"/>
      <c r="AA158" s="8"/>
      <c r="AB158" s="8"/>
      <c r="AC158" s="8"/>
    </row>
    <row r="159" spans="1:29" ht="13">
      <c r="A159" s="58"/>
      <c r="B159" s="69">
        <v>129</v>
      </c>
      <c r="C159" s="43" t="s">
        <v>355</v>
      </c>
      <c r="D159" s="69">
        <v>5.0143712445856696</v>
      </c>
      <c r="E159" s="69">
        <f t="shared" si="3"/>
        <v>0.84149189227934018</v>
      </c>
      <c r="F159" s="71">
        <f t="shared" si="4"/>
        <v>84.149189227934016</v>
      </c>
      <c r="G159" s="43">
        <v>860.846205801765</v>
      </c>
      <c r="H159" s="43"/>
      <c r="I159" s="8"/>
      <c r="J159" s="8"/>
      <c r="K159" s="8"/>
      <c r="L159" s="8"/>
      <c r="M159" s="8"/>
      <c r="O159" s="8"/>
      <c r="P159" s="8"/>
      <c r="Q159" s="8"/>
      <c r="R159" s="8"/>
      <c r="S159" s="8"/>
      <c r="T159" s="8"/>
      <c r="U159" s="8"/>
      <c r="V159" s="8"/>
      <c r="W159" s="8"/>
      <c r="X159" s="8"/>
      <c r="Y159" s="8"/>
      <c r="Z159" s="8"/>
      <c r="AA159" s="8"/>
      <c r="AB159" s="8"/>
      <c r="AC159" s="8"/>
    </row>
    <row r="160" spans="1:29" ht="13">
      <c r="A160" s="58"/>
      <c r="B160" s="69">
        <v>130</v>
      </c>
      <c r="C160" s="43" t="s">
        <v>356</v>
      </c>
      <c r="D160" s="69">
        <v>5.37427003125201</v>
      </c>
      <c r="E160" s="69">
        <f t="shared" si="3"/>
        <v>0.85165534065565685</v>
      </c>
      <c r="F160" s="71">
        <f t="shared" si="4"/>
        <v>85.16553406556568</v>
      </c>
      <c r="G160" s="43">
        <v>871.243413490737</v>
      </c>
      <c r="H160" s="43"/>
      <c r="I160" s="8"/>
      <c r="J160" s="8"/>
      <c r="K160" s="8"/>
      <c r="L160" s="8"/>
      <c r="M160" s="8"/>
      <c r="O160" s="8"/>
      <c r="P160" s="8"/>
      <c r="Q160" s="8"/>
      <c r="R160" s="8"/>
      <c r="S160" s="8"/>
      <c r="T160" s="8"/>
      <c r="U160" s="8"/>
      <c r="V160" s="8"/>
      <c r="W160" s="8"/>
      <c r="X160" s="8"/>
      <c r="Y160" s="8"/>
      <c r="Z160" s="8"/>
      <c r="AA160" s="8"/>
      <c r="AB160" s="8"/>
      <c r="AC160" s="8"/>
    </row>
    <row r="161" spans="1:29" ht="13">
      <c r="A161" s="58"/>
      <c r="B161" s="69">
        <v>131</v>
      </c>
      <c r="C161" s="43" t="s">
        <v>357</v>
      </c>
      <c r="D161" s="69">
        <v>5.76</v>
      </c>
      <c r="E161" s="69">
        <f t="shared" si="3"/>
        <v>0.8618187890578396</v>
      </c>
      <c r="F161" s="71">
        <f t="shared" si="4"/>
        <v>86.181878905783961</v>
      </c>
      <c r="G161" s="43">
        <v>881.64062120616995</v>
      </c>
      <c r="H161" s="43"/>
      <c r="I161" s="8"/>
      <c r="J161" s="8"/>
      <c r="K161" s="8"/>
      <c r="L161" s="8"/>
      <c r="M161" s="8"/>
      <c r="O161" s="8"/>
      <c r="P161" s="8"/>
      <c r="Q161" s="8"/>
      <c r="R161" s="8"/>
      <c r="S161" s="8"/>
      <c r="T161" s="8"/>
      <c r="U161" s="8"/>
      <c r="V161" s="8"/>
      <c r="W161" s="8"/>
      <c r="X161" s="8"/>
      <c r="Y161" s="8"/>
      <c r="Z161" s="8"/>
      <c r="AA161" s="8"/>
      <c r="AB161" s="8"/>
      <c r="AC161" s="8"/>
    </row>
    <row r="162" spans="1:29" ht="13">
      <c r="A162" s="58"/>
      <c r="B162" s="69">
        <v>132</v>
      </c>
      <c r="C162" s="43" t="s">
        <v>358</v>
      </c>
      <c r="D162" s="69">
        <v>6.1734151442090397</v>
      </c>
      <c r="E162" s="69">
        <f t="shared" si="3"/>
        <v>0.87198223744818082</v>
      </c>
      <c r="F162" s="71">
        <f t="shared" si="4"/>
        <v>87.19822374481808</v>
      </c>
      <c r="G162" s="43">
        <v>892.03782890948901</v>
      </c>
      <c r="H162" s="43"/>
      <c r="I162" s="8"/>
      <c r="J162" s="8"/>
      <c r="K162" s="8"/>
      <c r="L162" s="8"/>
      <c r="M162" s="8"/>
      <c r="O162" s="8"/>
      <c r="P162" s="8"/>
      <c r="Q162" s="8"/>
      <c r="R162" s="8"/>
      <c r="S162" s="8"/>
      <c r="T162" s="8"/>
      <c r="U162" s="8"/>
      <c r="V162" s="8"/>
      <c r="W162" s="8"/>
      <c r="X162" s="8"/>
      <c r="Y162" s="8"/>
      <c r="Z162" s="8"/>
      <c r="AA162" s="8"/>
      <c r="AB162" s="8"/>
      <c r="AC162" s="8"/>
    </row>
    <row r="163" spans="1:29" ht="13">
      <c r="A163" s="58"/>
      <c r="B163" s="69">
        <v>133</v>
      </c>
      <c r="C163" s="43" t="s">
        <v>359</v>
      </c>
      <c r="D163" s="69">
        <v>6.6165025247829199</v>
      </c>
      <c r="E163" s="69">
        <f t="shared" si="3"/>
        <v>0.88214568585326392</v>
      </c>
      <c r="F163" s="71">
        <f t="shared" si="4"/>
        <v>88.21456858532639</v>
      </c>
      <c r="G163" s="43">
        <v>902.43503662788896</v>
      </c>
      <c r="H163" s="43"/>
      <c r="I163" s="8"/>
      <c r="J163" s="8"/>
      <c r="K163" s="8"/>
      <c r="L163" s="8"/>
      <c r="M163" s="8"/>
      <c r="O163" s="8"/>
      <c r="P163" s="8"/>
      <c r="Q163" s="8"/>
      <c r="R163" s="8"/>
      <c r="S163" s="8"/>
      <c r="T163" s="8"/>
      <c r="U163" s="8"/>
      <c r="V163" s="8"/>
      <c r="W163" s="8"/>
      <c r="X163" s="8"/>
      <c r="Y163" s="8"/>
      <c r="Z163" s="8"/>
      <c r="AA163" s="8"/>
      <c r="AB163" s="8"/>
      <c r="AC163" s="8"/>
    </row>
    <row r="164" spans="1:29" ht="13">
      <c r="A164" s="58"/>
      <c r="B164" s="69">
        <v>134</v>
      </c>
      <c r="C164" s="43" t="s">
        <v>360</v>
      </c>
      <c r="D164" s="69">
        <v>7.0913918208667104</v>
      </c>
      <c r="E164" s="69">
        <f t="shared" si="3"/>
        <v>0.89230913424651614</v>
      </c>
      <c r="F164" s="71">
        <f t="shared" si="4"/>
        <v>89.230913424651618</v>
      </c>
      <c r="G164" s="43">
        <v>912.83224433418604</v>
      </c>
      <c r="H164" s="43"/>
      <c r="I164" s="8"/>
      <c r="J164" s="8"/>
      <c r="K164" s="8"/>
      <c r="L164" s="8"/>
      <c r="M164" s="8"/>
      <c r="O164" s="8"/>
      <c r="P164" s="8"/>
      <c r="Q164" s="8"/>
      <c r="R164" s="8"/>
      <c r="S164" s="8"/>
      <c r="T164" s="8"/>
      <c r="U164" s="8"/>
      <c r="V164" s="8"/>
      <c r="W164" s="8"/>
      <c r="X164" s="8"/>
      <c r="Y164" s="8"/>
      <c r="Z164" s="8"/>
      <c r="AA164" s="8"/>
      <c r="AB164" s="8"/>
      <c r="AC164" s="8"/>
    </row>
    <row r="165" spans="1:29" ht="13">
      <c r="A165" s="58"/>
      <c r="B165" s="69">
        <v>135</v>
      </c>
      <c r="C165" s="105" t="s">
        <v>361</v>
      </c>
      <c r="D165" s="124">
        <v>7.6003655660518703</v>
      </c>
      <c r="E165" s="69">
        <f t="shared" si="3"/>
        <v>0.90247258263806651</v>
      </c>
      <c r="F165" s="125">
        <f t="shared" si="4"/>
        <v>90.247258263806657</v>
      </c>
      <c r="G165" s="43">
        <v>923.22945203874201</v>
      </c>
      <c r="H165" s="105"/>
      <c r="I165" s="8"/>
      <c r="J165" s="8"/>
      <c r="K165" s="8"/>
      <c r="L165" s="8"/>
      <c r="M165" s="8"/>
      <c r="O165" s="8"/>
      <c r="P165" s="8"/>
      <c r="Q165" s="8"/>
      <c r="R165" s="8"/>
      <c r="S165" s="8"/>
      <c r="T165" s="8"/>
      <c r="U165" s="8"/>
      <c r="V165" s="8"/>
      <c r="W165" s="8"/>
      <c r="X165" s="8"/>
      <c r="Y165" s="8"/>
      <c r="Z165" s="8"/>
      <c r="AA165" s="8"/>
      <c r="AB165" s="8"/>
      <c r="AC165" s="8"/>
    </row>
    <row r="166" spans="1:29" ht="13">
      <c r="A166" s="58"/>
      <c r="B166" s="69">
        <v>136</v>
      </c>
      <c r="C166" s="105" t="s">
        <v>362</v>
      </c>
      <c r="D166" s="124">
        <v>8.1458701192690199</v>
      </c>
      <c r="E166" s="69">
        <f t="shared" si="3"/>
        <v>0.91263603102953272</v>
      </c>
      <c r="F166" s="125">
        <f t="shared" si="4"/>
        <v>91.263603102953269</v>
      </c>
      <c r="G166" s="43">
        <v>933.62665974321203</v>
      </c>
      <c r="H166" s="105"/>
      <c r="I166" s="8"/>
      <c r="J166" s="8"/>
      <c r="K166" s="8"/>
      <c r="L166" s="8"/>
      <c r="M166" s="8"/>
      <c r="O166" s="8"/>
      <c r="P166" s="8"/>
      <c r="Q166" s="8"/>
      <c r="R166" s="8"/>
      <c r="S166" s="8"/>
      <c r="T166" s="8"/>
      <c r="U166" s="8"/>
      <c r="V166" s="8"/>
      <c r="W166" s="8"/>
      <c r="X166" s="8"/>
      <c r="Y166" s="8"/>
      <c r="Z166" s="8"/>
      <c r="AA166" s="8"/>
      <c r="AB166" s="8"/>
      <c r="AC166" s="8"/>
    </row>
    <row r="167" spans="1:29" ht="13">
      <c r="A167" s="58"/>
      <c r="B167" s="69">
        <v>137</v>
      </c>
      <c r="C167" s="105" t="s">
        <v>363</v>
      </c>
      <c r="D167" s="124">
        <v>8.7305274230998897</v>
      </c>
      <c r="E167" s="69">
        <f t="shared" si="3"/>
        <v>0.92279947942800389</v>
      </c>
      <c r="F167" s="125">
        <f t="shared" si="4"/>
        <v>92.279947942800391</v>
      </c>
      <c r="G167" s="43">
        <v>944.02386745484796</v>
      </c>
      <c r="H167" s="105"/>
      <c r="I167" s="8"/>
      <c r="J167" s="8"/>
      <c r="K167" s="8"/>
      <c r="L167" s="8"/>
      <c r="M167" s="8"/>
      <c r="O167" s="8"/>
      <c r="P167" s="8"/>
      <c r="Q167" s="8"/>
      <c r="R167" s="8"/>
      <c r="S167" s="8"/>
      <c r="T167" s="8"/>
      <c r="U167" s="8"/>
      <c r="V167" s="8"/>
      <c r="W167" s="8"/>
      <c r="X167" s="8"/>
      <c r="Y167" s="8"/>
      <c r="Z167" s="8"/>
      <c r="AA167" s="8"/>
      <c r="AB167" s="8"/>
      <c r="AC167" s="8"/>
    </row>
    <row r="168" spans="1:29" ht="13">
      <c r="A168" s="58"/>
      <c r="B168" s="69">
        <v>138</v>
      </c>
      <c r="C168" s="105" t="s">
        <v>364</v>
      </c>
      <c r="D168" s="124">
        <v>9.3571476060238297</v>
      </c>
      <c r="E168" s="69">
        <f t="shared" si="3"/>
        <v>0.93296292782461587</v>
      </c>
      <c r="F168" s="125">
        <f t="shared" si="4"/>
        <v>93.296292782461592</v>
      </c>
      <c r="G168" s="43">
        <v>954.42107516458202</v>
      </c>
      <c r="H168" s="105"/>
      <c r="I168" s="8"/>
      <c r="J168" s="8"/>
      <c r="K168" s="8"/>
      <c r="L168" s="8"/>
      <c r="M168" s="8"/>
      <c r="O168" s="8"/>
      <c r="P168" s="8"/>
      <c r="Q168" s="8"/>
      <c r="R168" s="8"/>
      <c r="S168" s="8"/>
      <c r="T168" s="8"/>
      <c r="U168" s="8"/>
      <c r="V168" s="8"/>
      <c r="W168" s="8"/>
      <c r="X168" s="8"/>
      <c r="Y168" s="8"/>
      <c r="Z168" s="8"/>
      <c r="AA168" s="8"/>
      <c r="AB168" s="8"/>
      <c r="AC168" s="8"/>
    </row>
    <row r="169" spans="1:29" ht="13">
      <c r="A169" s="58"/>
      <c r="B169" s="69">
        <v>139</v>
      </c>
      <c r="C169" s="105" t="s">
        <v>365</v>
      </c>
      <c r="D169" s="124">
        <v>10.0287424891713</v>
      </c>
      <c r="E169" s="69">
        <f t="shared" si="3"/>
        <v>0.94312637623241147</v>
      </c>
      <c r="F169" s="125">
        <f t="shared" si="4"/>
        <v>94.312637623241145</v>
      </c>
      <c r="G169" s="43">
        <v>964.81828288575696</v>
      </c>
      <c r="H169" s="105"/>
      <c r="I169" s="8"/>
      <c r="J169" s="8"/>
      <c r="K169" s="8"/>
      <c r="L169" s="8"/>
      <c r="M169" s="8"/>
      <c r="O169" s="8"/>
      <c r="P169" s="8"/>
      <c r="Q169" s="8"/>
      <c r="R169" s="8"/>
      <c r="S169" s="8"/>
      <c r="T169" s="8"/>
      <c r="U169" s="8"/>
      <c r="V169" s="8"/>
      <c r="W169" s="8"/>
      <c r="X169" s="8"/>
      <c r="Y169" s="8"/>
      <c r="Z169" s="8"/>
      <c r="AA169" s="8"/>
      <c r="AB169" s="8"/>
      <c r="AC169" s="8"/>
    </row>
    <row r="170" spans="1:29" ht="13">
      <c r="A170" s="58"/>
      <c r="B170" s="69">
        <v>140</v>
      </c>
      <c r="C170" s="105" t="s">
        <v>366</v>
      </c>
      <c r="D170" s="124">
        <v>10.748540062504</v>
      </c>
      <c r="E170" s="69">
        <f t="shared" si="3"/>
        <v>0.95328982458144484</v>
      </c>
      <c r="F170" s="125">
        <f t="shared" si="4"/>
        <v>95.32898245814448</v>
      </c>
      <c r="G170" s="43">
        <v>975.21549054681805</v>
      </c>
      <c r="H170" s="105"/>
      <c r="I170" s="8"/>
      <c r="J170" s="8"/>
      <c r="K170" s="8"/>
      <c r="L170" s="8"/>
      <c r="M170" s="8"/>
      <c r="O170" s="8"/>
      <c r="P170" s="8"/>
      <c r="Q170" s="8"/>
      <c r="R170" s="8"/>
      <c r="S170" s="8"/>
      <c r="T170" s="8"/>
      <c r="U170" s="8"/>
      <c r="V170" s="8"/>
      <c r="W170" s="8"/>
      <c r="X170" s="8"/>
      <c r="Y170" s="8"/>
      <c r="Z170" s="8"/>
      <c r="AA170" s="8"/>
      <c r="AB170" s="8"/>
      <c r="AC170" s="8"/>
    </row>
    <row r="171" spans="1:29" ht="13">
      <c r="A171" s="58"/>
      <c r="B171" s="69">
        <v>141</v>
      </c>
      <c r="C171" s="105" t="s">
        <v>367</v>
      </c>
      <c r="D171" s="124">
        <v>11.52</v>
      </c>
      <c r="E171" s="69">
        <f t="shared" si="3"/>
        <v>0.96345327301091011</v>
      </c>
      <c r="F171" s="125">
        <f t="shared" si="4"/>
        <v>96.345327301091004</v>
      </c>
      <c r="G171" s="43">
        <v>985.61269829016101</v>
      </c>
      <c r="H171" s="105" t="s">
        <v>753</v>
      </c>
      <c r="I171" s="8"/>
      <c r="J171" s="8"/>
      <c r="K171" s="8"/>
      <c r="L171" s="8"/>
      <c r="M171" s="8"/>
      <c r="O171" s="8"/>
      <c r="P171" s="8"/>
      <c r="Q171" s="8"/>
      <c r="R171" s="8"/>
      <c r="S171" s="8"/>
      <c r="T171" s="8"/>
      <c r="U171" s="8"/>
      <c r="V171" s="8"/>
      <c r="W171" s="8"/>
      <c r="X171" s="8"/>
      <c r="Y171" s="8"/>
      <c r="Z171" s="8"/>
      <c r="AA171" s="8"/>
      <c r="AB171" s="8"/>
      <c r="AC171" s="8"/>
    </row>
    <row r="172" spans="1:29" ht="13">
      <c r="A172" s="58"/>
      <c r="B172" s="69">
        <v>142</v>
      </c>
      <c r="C172" s="105" t="s">
        <v>368</v>
      </c>
      <c r="D172" s="124">
        <v>12.346830288417999</v>
      </c>
      <c r="E172" s="69">
        <f t="shared" si="3"/>
        <v>0.97361672142500399</v>
      </c>
      <c r="F172" s="125">
        <f t="shared" si="4"/>
        <v>97.361672142500396</v>
      </c>
      <c r="G172" s="43">
        <v>996.00990601777903</v>
      </c>
      <c r="H172" s="105"/>
      <c r="I172" s="8"/>
      <c r="J172" s="8"/>
      <c r="K172" s="8"/>
      <c r="L172" s="8"/>
      <c r="M172" s="8"/>
      <c r="O172" s="8"/>
      <c r="P172" s="8"/>
      <c r="Q172" s="8"/>
      <c r="R172" s="8"/>
      <c r="S172" s="8"/>
      <c r="T172" s="8"/>
      <c r="U172" s="8"/>
      <c r="V172" s="8"/>
      <c r="W172" s="8"/>
      <c r="X172" s="8"/>
      <c r="Y172" s="8"/>
      <c r="Z172" s="8"/>
      <c r="AA172" s="8"/>
      <c r="AB172" s="8"/>
      <c r="AC172" s="8"/>
    </row>
    <row r="173" spans="1:29" ht="13">
      <c r="A173" s="58"/>
      <c r="B173" s="69">
        <v>143</v>
      </c>
      <c r="C173" s="105" t="s">
        <v>369</v>
      </c>
      <c r="D173" s="124">
        <v>13.233005049565801</v>
      </c>
      <c r="E173" s="69">
        <f t="shared" si="3"/>
        <v>0.98378016980633431</v>
      </c>
      <c r="F173" s="125">
        <f t="shared" si="4"/>
        <v>98.378016980633433</v>
      </c>
      <c r="G173" s="43">
        <v>1006.40711371188</v>
      </c>
      <c r="H173" s="105"/>
      <c r="I173" s="8"/>
      <c r="J173" s="8"/>
      <c r="K173" s="8"/>
      <c r="L173" s="8"/>
      <c r="M173" s="8"/>
      <c r="O173" s="8"/>
      <c r="P173" s="8"/>
      <c r="Q173" s="8"/>
      <c r="R173" s="8"/>
      <c r="S173" s="8"/>
      <c r="T173" s="8"/>
      <c r="U173" s="8"/>
      <c r="V173" s="8"/>
      <c r="W173" s="8"/>
      <c r="X173" s="8"/>
      <c r="Y173" s="8"/>
      <c r="Z173" s="8"/>
      <c r="AA173" s="8"/>
      <c r="AB173" s="8"/>
      <c r="AC173" s="8"/>
    </row>
    <row r="174" spans="1:29" ht="15">
      <c r="A174" s="58"/>
      <c r="B174" s="69">
        <v>144</v>
      </c>
      <c r="C174" s="105" t="s">
        <v>370</v>
      </c>
      <c r="D174" s="124">
        <v>14.182783641733399</v>
      </c>
      <c r="E174" s="69">
        <f t="shared" si="3"/>
        <v>0.9939436181789052</v>
      </c>
      <c r="F174" s="125">
        <f t="shared" si="4"/>
        <v>99.394361817890513</v>
      </c>
      <c r="G174" s="43">
        <v>1016.80432139702</v>
      </c>
      <c r="H174" s="107" t="s">
        <v>754</v>
      </c>
      <c r="I174" s="8"/>
      <c r="J174" s="8"/>
      <c r="K174" s="8"/>
      <c r="L174" s="8"/>
      <c r="M174" s="8"/>
      <c r="O174" s="8"/>
      <c r="P174" s="8"/>
      <c r="Q174" s="8"/>
      <c r="R174" s="8"/>
      <c r="S174" s="8"/>
      <c r="T174" s="8"/>
      <c r="U174" s="8"/>
      <c r="V174" s="8"/>
      <c r="W174" s="8"/>
      <c r="X174" s="8"/>
      <c r="Y174" s="8"/>
      <c r="Z174" s="8"/>
      <c r="AA174" s="8"/>
      <c r="AB174" s="8"/>
      <c r="AC174" s="8"/>
    </row>
    <row r="175" spans="1:29" ht="13">
      <c r="A175" s="58"/>
      <c r="B175" s="69">
        <v>145</v>
      </c>
      <c r="C175" s="105" t="s">
        <v>371</v>
      </c>
      <c r="D175" s="124">
        <v>15.2007311321037</v>
      </c>
      <c r="E175" s="69">
        <f t="shared" si="3"/>
        <v>1.0041070665718377</v>
      </c>
      <c r="F175" s="125">
        <f t="shared" si="4"/>
        <v>100.41070665718377</v>
      </c>
      <c r="G175" s="43">
        <v>1027.20152910299</v>
      </c>
      <c r="H175" s="105"/>
      <c r="I175" s="8"/>
      <c r="J175" s="8"/>
      <c r="K175" s="8"/>
      <c r="L175" s="8"/>
      <c r="M175" s="8"/>
      <c r="O175" s="8"/>
      <c r="P175" s="8"/>
      <c r="Q175" s="8"/>
      <c r="R175" s="8"/>
      <c r="S175" s="8"/>
      <c r="T175" s="8"/>
      <c r="U175" s="8"/>
      <c r="V175" s="8"/>
      <c r="W175" s="8"/>
      <c r="X175" s="8"/>
      <c r="Y175" s="8"/>
      <c r="Z175" s="8"/>
      <c r="AA175" s="8"/>
      <c r="AB175" s="8"/>
      <c r="AC175" s="8"/>
    </row>
    <row r="176" spans="1:29" ht="13">
      <c r="A176" s="58"/>
      <c r="B176" s="69">
        <v>146</v>
      </c>
      <c r="C176" s="105" t="s">
        <v>372</v>
      </c>
      <c r="D176" s="124">
        <v>16.291740238538001</v>
      </c>
      <c r="E176" s="69">
        <f t="shared" si="3"/>
        <v>1.0142705150005962</v>
      </c>
      <c r="F176" s="125">
        <f t="shared" si="4"/>
        <v>101.42705150005962</v>
      </c>
      <c r="G176" s="43">
        <v>1037.5987368456099</v>
      </c>
      <c r="H176" s="105"/>
      <c r="I176" s="8"/>
      <c r="J176" s="8"/>
      <c r="K176" s="8"/>
      <c r="L176" s="8"/>
      <c r="M176" s="8"/>
      <c r="O176" s="8"/>
      <c r="P176" s="8"/>
      <c r="Q176" s="8"/>
      <c r="R176" s="8"/>
      <c r="S176" s="8"/>
      <c r="T176" s="8"/>
      <c r="U176" s="8"/>
      <c r="V176" s="8"/>
      <c r="W176" s="8"/>
      <c r="X176" s="8"/>
      <c r="Y176" s="8"/>
      <c r="Z176" s="8"/>
      <c r="AA176" s="8"/>
      <c r="AB176" s="8"/>
      <c r="AC176" s="8"/>
    </row>
    <row r="177" spans="1:29" ht="13">
      <c r="A177" s="58"/>
      <c r="B177" s="69">
        <v>147</v>
      </c>
      <c r="C177" s="105" t="s">
        <v>373</v>
      </c>
      <c r="D177" s="124">
        <v>17.461054846199701</v>
      </c>
      <c r="E177" s="69">
        <f t="shared" si="3"/>
        <v>1.0244339634146626</v>
      </c>
      <c r="F177" s="125">
        <f t="shared" si="4"/>
        <v>102.44339634146627</v>
      </c>
      <c r="G177" s="43">
        <v>1047.9959445731999</v>
      </c>
      <c r="H177" s="105"/>
      <c r="I177" s="8"/>
      <c r="J177" s="8"/>
      <c r="K177" s="8"/>
      <c r="L177" s="8"/>
      <c r="M177" s="8"/>
      <c r="O177" s="8"/>
      <c r="P177" s="8"/>
      <c r="Q177" s="8"/>
      <c r="R177" s="8"/>
      <c r="S177" s="8"/>
      <c r="T177" s="8"/>
      <c r="U177" s="8"/>
      <c r="V177" s="8"/>
      <c r="W177" s="8"/>
      <c r="X177" s="8"/>
      <c r="Y177" s="8"/>
      <c r="Z177" s="8"/>
      <c r="AA177" s="8"/>
      <c r="AB177" s="8"/>
      <c r="AC177" s="8"/>
    </row>
    <row r="178" spans="1:29" ht="13">
      <c r="A178" s="58"/>
      <c r="B178" s="69">
        <v>148</v>
      </c>
      <c r="C178" s="105" t="s">
        <v>374</v>
      </c>
      <c r="D178" s="124">
        <v>18.714295212047599</v>
      </c>
      <c r="E178" s="69">
        <f t="shared" si="3"/>
        <v>1.0345974117620136</v>
      </c>
      <c r="F178" s="125">
        <f t="shared" si="4"/>
        <v>103.45974117620136</v>
      </c>
      <c r="G178" s="43">
        <v>1058.3931522325399</v>
      </c>
      <c r="H178" s="105"/>
      <c r="I178" s="8"/>
      <c r="J178" s="8"/>
      <c r="K178" s="8"/>
      <c r="L178" s="8"/>
      <c r="M178" s="8"/>
      <c r="O178" s="8"/>
      <c r="P178" s="8"/>
      <c r="Q178" s="8"/>
      <c r="R178" s="8"/>
      <c r="S178" s="8"/>
      <c r="T178" s="8"/>
      <c r="U178" s="8"/>
      <c r="V178" s="8"/>
      <c r="W178" s="8"/>
      <c r="X178" s="8"/>
      <c r="Y178" s="8"/>
      <c r="Z178" s="8"/>
      <c r="AA178" s="8"/>
      <c r="AB178" s="8"/>
      <c r="AC178" s="8"/>
    </row>
    <row r="179" spans="1:29" ht="13">
      <c r="A179" s="58"/>
      <c r="B179" s="69">
        <v>149</v>
      </c>
      <c r="C179" s="105" t="s">
        <v>375</v>
      </c>
      <c r="D179" s="124">
        <v>20.0574849783426</v>
      </c>
      <c r="E179" s="69">
        <f t="shared" si="3"/>
        <v>1.0447608601854741</v>
      </c>
      <c r="F179" s="125">
        <f t="shared" si="4"/>
        <v>104.47608601854741</v>
      </c>
      <c r="G179" s="43">
        <v>1068.7903599697399</v>
      </c>
      <c r="H179" s="105"/>
      <c r="I179" s="8"/>
      <c r="J179" s="8"/>
      <c r="K179" s="8"/>
      <c r="L179" s="8"/>
      <c r="M179" s="8"/>
      <c r="O179" s="8"/>
      <c r="P179" s="8"/>
      <c r="Q179" s="8"/>
      <c r="R179" s="8"/>
      <c r="S179" s="8"/>
      <c r="T179" s="8"/>
      <c r="U179" s="8"/>
      <c r="V179" s="8"/>
      <c r="W179" s="8"/>
      <c r="X179" s="8"/>
      <c r="Y179" s="8"/>
      <c r="Z179" s="8"/>
      <c r="AA179" s="8"/>
      <c r="AB179" s="8"/>
      <c r="AC179" s="8"/>
    </row>
    <row r="180" spans="1:29" ht="13">
      <c r="A180" s="58"/>
      <c r="B180" s="69">
        <v>150</v>
      </c>
      <c r="C180" s="105" t="s">
        <v>376</v>
      </c>
      <c r="D180" s="124">
        <v>21.497080125008001</v>
      </c>
      <c r="E180" s="69">
        <f t="shared" si="3"/>
        <v>1.0549243086027176</v>
      </c>
      <c r="F180" s="125">
        <f t="shared" si="4"/>
        <v>105.49243086027175</v>
      </c>
      <c r="G180" s="43">
        <v>1079.1875677005801</v>
      </c>
      <c r="H180" s="105"/>
      <c r="I180" s="8"/>
      <c r="J180" s="8"/>
      <c r="K180" s="8"/>
      <c r="L180" s="8"/>
      <c r="M180" s="8"/>
      <c r="N180" s="8"/>
      <c r="O180" s="8"/>
      <c r="P180" s="8"/>
      <c r="Q180" s="8"/>
      <c r="R180" s="8"/>
      <c r="S180" s="8"/>
      <c r="T180" s="8"/>
      <c r="U180" s="8"/>
      <c r="V180" s="8"/>
      <c r="W180" s="8"/>
      <c r="X180" s="8"/>
      <c r="Y180" s="8"/>
      <c r="Z180" s="8"/>
      <c r="AA180" s="8"/>
      <c r="AB180" s="8"/>
      <c r="AC180" s="8"/>
    </row>
    <row r="181" spans="1:29" ht="13">
      <c r="A181" s="58"/>
      <c r="B181" s="69">
        <v>151</v>
      </c>
      <c r="C181" s="105" t="s">
        <v>377</v>
      </c>
      <c r="D181" s="124">
        <v>23.04</v>
      </c>
      <c r="E181" s="69">
        <f t="shared" si="3"/>
        <v>1.0650877569639785</v>
      </c>
      <c r="F181" s="125">
        <f t="shared" si="4"/>
        <v>106.50877569639785</v>
      </c>
      <c r="G181" s="43">
        <v>1089.58477537415</v>
      </c>
      <c r="H181" s="105"/>
      <c r="I181" s="8"/>
      <c r="J181" s="8"/>
      <c r="K181" s="8"/>
      <c r="L181" s="8"/>
      <c r="M181" s="8"/>
      <c r="N181" s="8"/>
      <c r="O181" s="8"/>
      <c r="P181" s="8"/>
      <c r="Q181" s="8"/>
      <c r="R181" s="8"/>
      <c r="S181" s="8"/>
      <c r="T181" s="8"/>
      <c r="U181" s="8"/>
      <c r="V181" s="8"/>
      <c r="W181" s="8"/>
      <c r="X181" s="8"/>
      <c r="Y181" s="8"/>
      <c r="Z181" s="8"/>
      <c r="AA181" s="8"/>
      <c r="AB181" s="8"/>
      <c r="AC181" s="8"/>
    </row>
    <row r="182" spans="1:29" ht="15">
      <c r="A182" s="58"/>
      <c r="B182" s="69">
        <v>152</v>
      </c>
      <c r="C182" s="105" t="s">
        <v>378</v>
      </c>
      <c r="D182" s="124">
        <v>24.693660576836098</v>
      </c>
      <c r="E182" s="124"/>
      <c r="F182" s="125"/>
      <c r="G182" s="126"/>
      <c r="H182" s="105"/>
      <c r="I182" s="8"/>
      <c r="J182" s="8"/>
      <c r="K182" s="8"/>
      <c r="L182" s="8"/>
      <c r="M182" s="8"/>
      <c r="N182" s="8"/>
      <c r="O182" s="8"/>
      <c r="P182" s="8"/>
      <c r="Q182" s="8"/>
      <c r="R182" s="8"/>
      <c r="S182" s="8"/>
      <c r="T182" s="8"/>
      <c r="U182" s="8"/>
      <c r="V182" s="8"/>
      <c r="W182" s="8"/>
      <c r="X182" s="8"/>
      <c r="Y182" s="8"/>
      <c r="Z182" s="8"/>
      <c r="AA182" s="8"/>
      <c r="AB182" s="8"/>
      <c r="AC182" s="8"/>
    </row>
    <row r="183" spans="1:29" ht="15">
      <c r="A183" s="58"/>
      <c r="B183" s="69">
        <v>153</v>
      </c>
      <c r="C183" s="105" t="s">
        <v>379</v>
      </c>
      <c r="D183" s="124">
        <v>26.466010099131601</v>
      </c>
      <c r="E183" s="124"/>
      <c r="F183" s="125"/>
      <c r="G183" s="126"/>
      <c r="H183" s="105"/>
      <c r="I183" s="8"/>
      <c r="J183" s="8"/>
      <c r="K183" s="8"/>
      <c r="L183" s="8"/>
      <c r="M183" s="8"/>
      <c r="N183" s="8"/>
      <c r="O183" s="8"/>
      <c r="P183" s="8"/>
      <c r="Q183" s="8"/>
      <c r="R183" s="8"/>
      <c r="S183" s="8"/>
      <c r="T183" s="8"/>
      <c r="U183" s="8"/>
      <c r="V183" s="8"/>
      <c r="W183" s="8"/>
      <c r="X183" s="8"/>
      <c r="Y183" s="8"/>
      <c r="Z183" s="8"/>
      <c r="AA183" s="8"/>
      <c r="AB183" s="8"/>
      <c r="AC183" s="8"/>
    </row>
    <row r="184" spans="1:29" ht="15">
      <c r="A184" s="58"/>
      <c r="B184" s="69">
        <v>154</v>
      </c>
      <c r="C184" s="105" t="s">
        <v>380</v>
      </c>
      <c r="D184" s="124">
        <v>28.365567283466799</v>
      </c>
      <c r="E184" s="124"/>
      <c r="F184" s="125"/>
      <c r="G184" s="126"/>
      <c r="H184" s="105"/>
      <c r="I184" s="8"/>
      <c r="J184" s="8"/>
      <c r="K184" s="8"/>
      <c r="L184" s="8"/>
      <c r="M184" s="8"/>
      <c r="N184" s="8"/>
      <c r="O184" s="8"/>
      <c r="P184" s="8"/>
      <c r="Q184" s="8"/>
      <c r="R184" s="8"/>
      <c r="S184" s="8"/>
      <c r="T184" s="8"/>
      <c r="U184" s="8"/>
      <c r="V184" s="8"/>
      <c r="W184" s="8"/>
      <c r="X184" s="8"/>
      <c r="Y184" s="8"/>
      <c r="Z184" s="8"/>
      <c r="AA184" s="8"/>
      <c r="AB184" s="8"/>
      <c r="AC184" s="8"/>
    </row>
    <row r="185" spans="1:29" ht="15">
      <c r="A185" s="58"/>
      <c r="B185" s="69">
        <v>155</v>
      </c>
      <c r="C185" s="105" t="s">
        <v>381</v>
      </c>
      <c r="D185" s="124">
        <v>30.401462264207399</v>
      </c>
      <c r="E185" s="124"/>
      <c r="F185" s="125"/>
      <c r="G185" s="126"/>
      <c r="H185" s="105"/>
      <c r="I185" s="8"/>
      <c r="J185" s="8"/>
      <c r="K185" s="8"/>
      <c r="L185" s="8"/>
      <c r="M185" s="8"/>
      <c r="N185" s="8"/>
      <c r="O185" s="8"/>
      <c r="P185" s="8"/>
      <c r="Q185" s="8"/>
      <c r="R185" s="8"/>
      <c r="S185" s="8"/>
      <c r="T185" s="8"/>
      <c r="U185" s="8"/>
      <c r="V185" s="8"/>
      <c r="W185" s="8"/>
      <c r="X185" s="8"/>
      <c r="Y185" s="8"/>
      <c r="Z185" s="8"/>
      <c r="AA185" s="8"/>
      <c r="AB185" s="8"/>
      <c r="AC185" s="8"/>
    </row>
    <row r="186" spans="1:29" ht="15">
      <c r="A186" s="58"/>
      <c r="B186" s="69">
        <v>156</v>
      </c>
      <c r="C186" s="105" t="s">
        <v>382</v>
      </c>
      <c r="D186" s="124">
        <v>32.583480477076101</v>
      </c>
      <c r="E186" s="124"/>
      <c r="F186" s="125"/>
      <c r="G186" s="126"/>
      <c r="H186" s="105"/>
      <c r="I186" s="8"/>
      <c r="J186" s="8"/>
      <c r="K186" s="8"/>
      <c r="L186" s="8"/>
      <c r="M186" s="8"/>
      <c r="N186" s="8"/>
      <c r="O186" s="8"/>
      <c r="P186" s="8"/>
      <c r="Q186" s="8"/>
      <c r="R186" s="8"/>
      <c r="S186" s="8"/>
      <c r="T186" s="8"/>
      <c r="U186" s="8"/>
      <c r="V186" s="8"/>
      <c r="W186" s="8"/>
      <c r="X186" s="8"/>
      <c r="Y186" s="8"/>
      <c r="Z186" s="8"/>
      <c r="AA186" s="8"/>
      <c r="AB186" s="8"/>
      <c r="AC186" s="8"/>
    </row>
    <row r="187" spans="1:29" ht="15">
      <c r="A187" s="58"/>
      <c r="B187" s="69">
        <v>157</v>
      </c>
      <c r="C187" s="105" t="s">
        <v>383</v>
      </c>
      <c r="D187" s="124">
        <v>34.922109692399502</v>
      </c>
      <c r="E187" s="124"/>
      <c r="F187" s="125"/>
      <c r="G187" s="126"/>
      <c r="H187" s="105"/>
      <c r="I187" s="8"/>
      <c r="J187" s="8"/>
      <c r="K187" s="8"/>
      <c r="L187" s="8"/>
      <c r="M187" s="8"/>
      <c r="N187" s="8"/>
      <c r="O187" s="8"/>
      <c r="P187" s="8"/>
      <c r="Q187" s="8"/>
      <c r="R187" s="8"/>
      <c r="S187" s="8"/>
      <c r="T187" s="8"/>
      <c r="U187" s="8"/>
      <c r="V187" s="8"/>
      <c r="W187" s="8"/>
      <c r="X187" s="8"/>
      <c r="Y187" s="8"/>
      <c r="Z187" s="8"/>
      <c r="AA187" s="8"/>
      <c r="AB187" s="8"/>
      <c r="AC187" s="8"/>
    </row>
    <row r="188" spans="1:29" ht="15">
      <c r="A188" s="58"/>
      <c r="B188" s="69">
        <v>158</v>
      </c>
      <c r="C188" s="105" t="s">
        <v>384</v>
      </c>
      <c r="D188" s="124">
        <v>37.428590424095297</v>
      </c>
      <c r="E188" s="124"/>
      <c r="F188" s="125"/>
      <c r="G188" s="126"/>
      <c r="H188" s="105"/>
      <c r="I188" s="8"/>
      <c r="J188" s="8"/>
      <c r="K188" s="8"/>
      <c r="L188" s="8"/>
      <c r="M188" s="8"/>
      <c r="N188" s="8"/>
      <c r="O188" s="8"/>
      <c r="P188" s="8"/>
      <c r="Q188" s="8"/>
      <c r="R188" s="8"/>
      <c r="S188" s="8"/>
      <c r="T188" s="8"/>
      <c r="U188" s="8"/>
      <c r="V188" s="8"/>
      <c r="W188" s="8"/>
      <c r="X188" s="8"/>
      <c r="Y188" s="8"/>
      <c r="Z188" s="8"/>
      <c r="AA188" s="8"/>
      <c r="AB188" s="8"/>
      <c r="AC188" s="8"/>
    </row>
    <row r="189" spans="1:29" ht="15">
      <c r="A189" s="58"/>
      <c r="B189" s="69">
        <v>159</v>
      </c>
      <c r="C189" s="105" t="s">
        <v>385</v>
      </c>
      <c r="D189" s="124">
        <v>40.1149699566853</v>
      </c>
      <c r="E189" s="124"/>
      <c r="F189" s="125"/>
      <c r="G189" s="126"/>
      <c r="H189" s="105"/>
      <c r="I189" s="8"/>
      <c r="J189" s="8"/>
      <c r="K189" s="8"/>
      <c r="L189" s="8"/>
      <c r="M189" s="8"/>
      <c r="N189" s="8"/>
      <c r="O189" s="8"/>
      <c r="P189" s="8"/>
      <c r="Q189" s="8"/>
      <c r="R189" s="8"/>
      <c r="S189" s="8"/>
      <c r="T189" s="8"/>
      <c r="U189" s="8"/>
      <c r="V189" s="8"/>
      <c r="W189" s="8"/>
      <c r="X189" s="8"/>
      <c r="Y189" s="8"/>
      <c r="Z189" s="8"/>
      <c r="AA189" s="8"/>
      <c r="AB189" s="8"/>
      <c r="AC189" s="8"/>
    </row>
    <row r="190" spans="1:29" ht="15">
      <c r="A190" s="58"/>
      <c r="B190" s="69">
        <v>160</v>
      </c>
      <c r="C190" s="105" t="s">
        <v>386</v>
      </c>
      <c r="D190" s="124">
        <v>42.994160250016002</v>
      </c>
      <c r="E190" s="124"/>
      <c r="F190" s="125"/>
      <c r="G190" s="126"/>
      <c r="H190" s="105"/>
      <c r="I190" s="8"/>
      <c r="J190" s="8"/>
      <c r="K190" s="8"/>
      <c r="L190" s="8"/>
      <c r="M190" s="8"/>
      <c r="N190" s="8"/>
      <c r="O190" s="8"/>
      <c r="P190" s="8"/>
      <c r="Q190" s="8"/>
      <c r="R190" s="8"/>
      <c r="S190" s="8"/>
      <c r="T190" s="8"/>
      <c r="U190" s="8"/>
      <c r="V190" s="8"/>
      <c r="W190" s="8"/>
      <c r="X190" s="8"/>
      <c r="Y190" s="8"/>
      <c r="Z190" s="8"/>
      <c r="AA190" s="8"/>
      <c r="AB190" s="8"/>
      <c r="AC190" s="8"/>
    </row>
    <row r="191" spans="1:29" ht="15">
      <c r="A191" s="58"/>
      <c r="B191" s="69">
        <v>161</v>
      </c>
      <c r="C191" s="105" t="s">
        <v>387</v>
      </c>
      <c r="D191" s="124">
        <v>46.08</v>
      </c>
      <c r="E191" s="124"/>
      <c r="F191" s="125"/>
      <c r="G191" s="126"/>
      <c r="H191" s="105"/>
      <c r="I191" s="8"/>
      <c r="J191" s="8"/>
      <c r="K191" s="8"/>
      <c r="L191" s="8"/>
      <c r="M191" s="8"/>
      <c r="N191" s="8"/>
      <c r="O191" s="8"/>
      <c r="P191" s="8"/>
      <c r="Q191" s="8"/>
      <c r="R191" s="8"/>
      <c r="S191" s="8"/>
      <c r="T191" s="8"/>
      <c r="U191" s="8"/>
      <c r="V191" s="8"/>
      <c r="W191" s="8"/>
      <c r="X191" s="8"/>
      <c r="Y191" s="8"/>
      <c r="Z191" s="8"/>
      <c r="AA191" s="8"/>
      <c r="AB191" s="8"/>
      <c r="AC191" s="8"/>
    </row>
    <row r="192" spans="1:29"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spans="1:29"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spans="1:29"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spans="1:29"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spans="1:29"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spans="1:29"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spans="1:29"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spans="1:29"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spans="1:29"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spans="1:29"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spans="1:29"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spans="1:29"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spans="1:29"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spans="1:29"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spans="1:29"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spans="1:29"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spans="1:29"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spans="1:29"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spans="1:29"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spans="1:29"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spans="1:29"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spans="1:29"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spans="1:29"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spans="1:29"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spans="1:29"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spans="1:29"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spans="1:29"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spans="1:29"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spans="1:29"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spans="1:29"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spans="1:29"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spans="1:29"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spans="1:29"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spans="1:29"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spans="1:29"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spans="1:29"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spans="1:29"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spans="1:29"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spans="1:29"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spans="1:29"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spans="1:29"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spans="1:29"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spans="1:29"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spans="1:29"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spans="1:29"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spans="1:29"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spans="1:29"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spans="1:29"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spans="1:29"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spans="1:29"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spans="1:29"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spans="1:29"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spans="1:29"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spans="1:29"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spans="1:29"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spans="1:29"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spans="1:29"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spans="1:29"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spans="1:29"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spans="1:29"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spans="1:29"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spans="1:29"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spans="1:29"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spans="1:29"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spans="1:29"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spans="1:29"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spans="1:29"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spans="1:29"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spans="1:29"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spans="1:29"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spans="1:29"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spans="1:29"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spans="1:29"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spans="1:29"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spans="1:29"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spans="1:29"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spans="1:29"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spans="1:29"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spans="1:29"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spans="1:29"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spans="1:29"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spans="1:29"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spans="1:29"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spans="1:29"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spans="1:29"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spans="1:29"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spans="1:29"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spans="1:29"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spans="1:29"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spans="1:29"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spans="1:29"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spans="1:29"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spans="1:29"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spans="1:29"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spans="1:29"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spans="1:29"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spans="1:29"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spans="1:29"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spans="1:29"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spans="1:29"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spans="1:29"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spans="1:29"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spans="1:29"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spans="1:29"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spans="1:29"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spans="1:29"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spans="1:29"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spans="1:29"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spans="1:29"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spans="1:29"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spans="1:29"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spans="1:29"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spans="1:29"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spans="1:29"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spans="1:29"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spans="1:29"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spans="1:29"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spans="1:29"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spans="1:29"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spans="1:29"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spans="1:29"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spans="1:29"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spans="1:29"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spans="1:29"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spans="1:29"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spans="1:29"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spans="1:29"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spans="1:29"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spans="1:29"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spans="1:29"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spans="1:29"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spans="1:29"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spans="1:29"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spans="1:29"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spans="1:29"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spans="1:29"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spans="1:29"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spans="1:29"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spans="1:29"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spans="1:29"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spans="1:29"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spans="1:29"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spans="1:29"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spans="1:29"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spans="1:29"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spans="1:29"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spans="1:29"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spans="1:29"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spans="1:29"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spans="1:29"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spans="1:29"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spans="1:29"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spans="1:29"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spans="1:29"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spans="1:29"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spans="1:29"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spans="1:29"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spans="1:29"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spans="1:29"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spans="1:29"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spans="1:29"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spans="1:29"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spans="1:29"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spans="1:29"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spans="1:29"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spans="1:29"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spans="1:29"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spans="1:29"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spans="1:29"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spans="1:29"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spans="1:29"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spans="1:29"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spans="1:29"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spans="1:29"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spans="1:29"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spans="1:29"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spans="1:29"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spans="1:29"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spans="1:29"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spans="1:29"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spans="1:29"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spans="1:29"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spans="1:29"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spans="1:29"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spans="1:29"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spans="1:29"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spans="1:29"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spans="1:29"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spans="1:29"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spans="1:29"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spans="1:29"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spans="1:29"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spans="1:29"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spans="1:29"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spans="1:29"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spans="1:29"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spans="1:29"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spans="1:29"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spans="1:29"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spans="1:29"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spans="1:29"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spans="1:29"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spans="1:29"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spans="1:29"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spans="1:29"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spans="1:29"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spans="1:29"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spans="1:29"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spans="1:29"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spans="1:29"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spans="1:29"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spans="1:29"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spans="1:29"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spans="1:29"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spans="1:29"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spans="1:29"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spans="1:29"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spans="1:29"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spans="1:29"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spans="1:29"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spans="1:29"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spans="1:29"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spans="1:29"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spans="1:29"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spans="1:29"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spans="1:29"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spans="1:29"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spans="1:29"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spans="1:29"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spans="1:29"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spans="1:29"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spans="1:29"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spans="1:29"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spans="1:29"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spans="1:29"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spans="1:29"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spans="1:29"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spans="1:29"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spans="1:29"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spans="1:29"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spans="1:29"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spans="1:29"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spans="1:29"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spans="1:29"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spans="1:29"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spans="1:29"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spans="1:29"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spans="1:29"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spans="1:29"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spans="1:29"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spans="1:29"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spans="1:29"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spans="1:29"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spans="1:29"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spans="1:29"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spans="1:29"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spans="1:29"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spans="1:29"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spans="1:29"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spans="1:29"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spans="1:29"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spans="1:29"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spans="1:29"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spans="1:29"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spans="1:29"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spans="1:29"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spans="1:29"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spans="1:29"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spans="1:29"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spans="1:29"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spans="1:29"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spans="1:29"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spans="1:29"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spans="1:29"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spans="1:29"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spans="1:29"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spans="1:29"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spans="1:29"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spans="1:29"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spans="1:29"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spans="1:29"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spans="1:29"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spans="1:29"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spans="1:29"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spans="1:29"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spans="1:29"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spans="1:29"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spans="1:29"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spans="1:29"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spans="1:29"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spans="1:29"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spans="1:29"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spans="1:29"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spans="1:29"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spans="1:29"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spans="1:29"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spans="1:29"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spans="1:29"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spans="1:29"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spans="1:29"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spans="1:29"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spans="1:29"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spans="1:29"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spans="1:29"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spans="1:29"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spans="1:29"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spans="1:29"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spans="1:29"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spans="1:29"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spans="1:29"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spans="1:29"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spans="1:29"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spans="1:29"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spans="1:29"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spans="1:29"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spans="1:29"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spans="1:29"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spans="1:29"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spans="1:29"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spans="1:29"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spans="1:29"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spans="1:29"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spans="1:29"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spans="1:29"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spans="1:29"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spans="1:29"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spans="1:29"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spans="1:29"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spans="1:29"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spans="1:29"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spans="1:29"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spans="1:29"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spans="1:29"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spans="1:29"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spans="1:29"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spans="1:29"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spans="1:29"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spans="1:29"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spans="1:29"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spans="1:29"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spans="1:29"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spans="1:29"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spans="1:29"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spans="1:29"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spans="1:29"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spans="1:29"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spans="1:29"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spans="1:29"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spans="1:29"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spans="1:29"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spans="1:29"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spans="1:29"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spans="1:29"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spans="1:29"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spans="1:29"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spans="1:29"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spans="1:29"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spans="1:29"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spans="1:29"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spans="1:29"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spans="1:29"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spans="1:29"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spans="1:29"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spans="1:29"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spans="1:29"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spans="1:29"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spans="1:29"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spans="1:29"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spans="1:29"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spans="1:29"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spans="1:29"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spans="1:29"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spans="1:29"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spans="1:29"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spans="1:29"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spans="1:29"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spans="1:29"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spans="1:29"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spans="1:29"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spans="1:29"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spans="1:29"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spans="1:29"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spans="1:29"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spans="1:29"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spans="1:29"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spans="1:29"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spans="1:29"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spans="1:29"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spans="1:29"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spans="1:29"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spans="1:29"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spans="1:29"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spans="1:29"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spans="1:29"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spans="1:29"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spans="1:29"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spans="1:29"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spans="1:29"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spans="1:29"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spans="1:29"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spans="1:29"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spans="1:29"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spans="1:29"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spans="1:29"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spans="1:29"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spans="1:29"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spans="1:29"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spans="1:29"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spans="1:29"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spans="1:29"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spans="1:29"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spans="1:29"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spans="1:29"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spans="1:29"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spans="1:29"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spans="1:29"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spans="1:29"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spans="1:29"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spans="1:29"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spans="1:29"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spans="1:29"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spans="1:29"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spans="1:29"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spans="1:29"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spans="1:29"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spans="1:29"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spans="1:29"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spans="1:29"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spans="1:29"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spans="1:29"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spans="1:29"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spans="1:29"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spans="1:29"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spans="1:29"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spans="1:29"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spans="1:29"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spans="1:29"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spans="1:29"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spans="1:29"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spans="1:29"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spans="1:29"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spans="1:29"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spans="1:29"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spans="1:29"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spans="1:29"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spans="1:29"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spans="1:29"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spans="1:29"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spans="1:29"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spans="1:29"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spans="1:29"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spans="1:29"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spans="1:29"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spans="1:29"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spans="1:29"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spans="1:29"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spans="1:29"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spans="1:29"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spans="1:29"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spans="1:29"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spans="1:29"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spans="1:29"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spans="1:29"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spans="1:29"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spans="1:29"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spans="1:29"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spans="1:29"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spans="1:29"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spans="1:29"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spans="1:29"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spans="1:29"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spans="1:29"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spans="1:29"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spans="1:29"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spans="1:29"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spans="1:29"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spans="1:29"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spans="1:29"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spans="1:29"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spans="1:29"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spans="1:29"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spans="1:29"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spans="1:29"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spans="1:29"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spans="1:29"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spans="1:29"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spans="1:29"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spans="1:29"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spans="1:29"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spans="1:29"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spans="1:29"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spans="1:29"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spans="1:29"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spans="1:29"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spans="1:29"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spans="1:29"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spans="1:29"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spans="1:29"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spans="1:29"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spans="1:29"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spans="1:29"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spans="1:29"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spans="1:29"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spans="1:29"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spans="1:29"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spans="1:29"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spans="1:29"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spans="1:29"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spans="1:29"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spans="1:29"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spans="1:29"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spans="1:29"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spans="1:29"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spans="1:29"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spans="1:29"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spans="1:29"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spans="1:29"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spans="1:29"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spans="1:29"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spans="1:29"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spans="1:29"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spans="1:29"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spans="1:29"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spans="1:29"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spans="1:29"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spans="1:29"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spans="1:29"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spans="1:29"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spans="1:29"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spans="1:29"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spans="1:29"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spans="1:29"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spans="1:29"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spans="1:29"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spans="1:29"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spans="1:29"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spans="1:29"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spans="1:29"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spans="1:29"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spans="1:29"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spans="1:29"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spans="1:29"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spans="1:29"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spans="1:29"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spans="1:29"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spans="1:29"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spans="1:29"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spans="1:29"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spans="1:29"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spans="1:29"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spans="1:29"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spans="1:29"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spans="1:29"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spans="1:29"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spans="1:29"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spans="1:29"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spans="1:29"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spans="1:29"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spans="1:29"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spans="1:29"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spans="1:29"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spans="1:29"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spans="1:29"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spans="1:29"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spans="1:29"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spans="1:29"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spans="1:29"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spans="1:29"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spans="1:29"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spans="1:29"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spans="1:29"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spans="1:29"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spans="1:29"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spans="1:29"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spans="1:29"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spans="1:29"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spans="1:29"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spans="1:29"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spans="1:29"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spans="1:29"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spans="1:29"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spans="1:29"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spans="1:29"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spans="1:29"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spans="1:29"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spans="1:29"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spans="1:29"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spans="1:29"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spans="1:29"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spans="1:29"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spans="1:29"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spans="1:29"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spans="1:29"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spans="1:29"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spans="1:29"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spans="1:29"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spans="1:29"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spans="1:29"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spans="1:29"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spans="1:29"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spans="1:29"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spans="1:29"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spans="1:29"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spans="1:29"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spans="1:29"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spans="1:29"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spans="1:29"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spans="1:29"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spans="1:29"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spans="1:29"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spans="1:29"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spans="1:29"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spans="1:29"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spans="1:29"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spans="1:29"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spans="1:29"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spans="1:29"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spans="1:29"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spans="1:29"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spans="1:29"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spans="1:29"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spans="1:29"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spans="1:29"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spans="1:29"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spans="1:29"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spans="1:29"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spans="1:29"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spans="1:29"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spans="1:29"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spans="1:29"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spans="1:29"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spans="1:29"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spans="1:29"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spans="1:29"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spans="1:29"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spans="1:29"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spans="1:29"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spans="1:29"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spans="1:29"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spans="1:29"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spans="1:29"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spans="1:29"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spans="1:29"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spans="1:29"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spans="1:29"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spans="1:29"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spans="1:29"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spans="1:29"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spans="1:29"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spans="1:29"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spans="1:29"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spans="1:29"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spans="1:29"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spans="1:29"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spans="1:29"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spans="1:29"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spans="1:29"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spans="1:29"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spans="1:29"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spans="1:29"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spans="1:29"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spans="1:29"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spans="1:29"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spans="1:29"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spans="1:29"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spans="1:29"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spans="1:29"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spans="1:29"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spans="1:29"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spans="1:29"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spans="1:29"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spans="1:29"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spans="1:29"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spans="1:29"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spans="1:29"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spans="1:29"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spans="1:29"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spans="1:29"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spans="1:29"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spans="1:29"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spans="1:29"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spans="1:29"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spans="1:29"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spans="1:29"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spans="1:29"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spans="1:29"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spans="1:29"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spans="1:29"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spans="1:29"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spans="1:29"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spans="1:29"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spans="1:29"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spans="1:29"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spans="1:29"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spans="1:29"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spans="1:29"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spans="1:29"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spans="1:29"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spans="1:29"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spans="1:29"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spans="1:29"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spans="1:29"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spans="1:29"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spans="1:29"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spans="1:29"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spans="1:29"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spans="1:29"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spans="1:29"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spans="1:29"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spans="1:29"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spans="1:29"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spans="1:29"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spans="1:29"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spans="1:29"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spans="1:29"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spans="1:29"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spans="1:29"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spans="1:29"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spans="1:29"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spans="1:29"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spans="1:29"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spans="1:29"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spans="1:29"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spans="1:29"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spans="1:29"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spans="1:29"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spans="1:29"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spans="1:29"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spans="1:29"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spans="1:29"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spans="1:29"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spans="1:29"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spans="1:29"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spans="1:29"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spans="1:29"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spans="1:29"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spans="1:29"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spans="1:29"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spans="1:29"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spans="1:29"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spans="1:29"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spans="1:29"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spans="1:29"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spans="1:29"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spans="1:29"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spans="1:29"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spans="1:29"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spans="1:29"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spans="1:29"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spans="1:29"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spans="1:29"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spans="1:29"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spans="1:29"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spans="1:29"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spans="1:29"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spans="1:29"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spans="1:29"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spans="1:29"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spans="1:29"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spans="1:29"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spans="1:29"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spans="1:29"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spans="1:29"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spans="1:29"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spans="1:29"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spans="1:29"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spans="1:29"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spans="1:29"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spans="1:29"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spans="1:29"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spans="1:29"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spans="1:29"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spans="1:29"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spans="1:29"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spans="1:29"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spans="1:29"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spans="1:29"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spans="1:29"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spans="1:29"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spans="1:29"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spans="1:29"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spans="1:29"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spans="1:29"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spans="1:29"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spans="1:29"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spans="1:29"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spans="1:29"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spans="1:29"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spans="1:29"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spans="1:29"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spans="1:29"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spans="1:29"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spans="1:29"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spans="1:29"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spans="1:29"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spans="1:29"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spans="1:29"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spans="1:29"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spans="1:29"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spans="1:29"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spans="1:29"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spans="1:29"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spans="1:29"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spans="1:29"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spans="1:29"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spans="1:29"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spans="1:29"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spans="1:29"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spans="1:29"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spans="1:29"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spans="1:29"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spans="1:29"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spans="1:29"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sheetData>
  <mergeCells count="2">
    <mergeCell ref="D2:G2"/>
    <mergeCell ref="D29:G2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README</vt:lpstr>
      <vt:lpstr>LOG compare</vt:lpstr>
      <vt:lpstr>Arri709</vt:lpstr>
      <vt:lpstr>LogC3</vt:lpstr>
      <vt:lpstr>Alexa35 LogC4</vt:lpstr>
      <vt:lpstr>ARRI LogC4</vt:lpstr>
      <vt:lpstr>SLog3</vt:lpstr>
      <vt:lpstr>VLog</vt:lpstr>
      <vt:lpstr>DWG INT</vt:lpstr>
      <vt:lpstr>BMDFilmG5</vt:lpstr>
      <vt:lpstr>RedLog3G10</vt:lpstr>
      <vt:lpstr>CLog</vt:lpstr>
      <vt:lpstr>CLog2</vt:lpstr>
      <vt:lpstr>CLog3</vt:lpstr>
      <vt:lpstr>Apple Log</vt:lpstr>
      <vt:lpstr>FLog2C</vt:lpstr>
      <vt:lpstr>FLog2</vt:lpstr>
      <vt:lpstr>FLog</vt:lpstr>
      <vt:lpstr>DLogM</vt:lpstr>
      <vt:lpstr>DLog</vt:lpstr>
      <vt:lpstr>NLog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2614</cp:lastModifiedBy>
  <dcterms:modified xsi:type="dcterms:W3CDTF">2025-03-19T15:49:57Z</dcterms:modified>
</cp:coreProperties>
</file>