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IGB\Documents\Code_CCU\EtOH\analyses\parameter_distributions\"/>
    </mc:Choice>
  </mc:AlternateContent>
  <xr:revisionPtr revIDLastSave="0" documentId="13_ncr:1_{D1AFC32E-A38D-4034-B487-AB23E6CD79E1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6" i="1"/>
  <c r="I3" i="1"/>
  <c r="G3" i="1"/>
  <c r="E60" i="1"/>
  <c r="H60" i="1" s="1"/>
  <c r="E61" i="1"/>
  <c r="H61" i="1" s="1"/>
  <c r="E63" i="1"/>
  <c r="H63" i="1" s="1"/>
  <c r="E64" i="1"/>
  <c r="H64" i="1" s="1"/>
  <c r="I59" i="1"/>
  <c r="G59" i="1"/>
  <c r="E59" i="1" s="1"/>
  <c r="H59" i="1" s="1"/>
  <c r="G62" i="1"/>
  <c r="E62" i="1" s="1"/>
  <c r="H62" i="1" s="1"/>
  <c r="G64" i="1"/>
  <c r="I64" i="1"/>
  <c r="I60" i="1"/>
  <c r="G60" i="1"/>
  <c r="I62" i="1"/>
  <c r="I61" i="1"/>
  <c r="G61" i="1"/>
  <c r="I63" i="1"/>
  <c r="G63" i="1"/>
  <c r="I49" i="1"/>
  <c r="G49" i="1"/>
  <c r="H49" i="1"/>
  <c r="H48" i="1" l="1"/>
  <c r="G58" i="1"/>
  <c r="H58" i="1"/>
  <c r="I58" i="1"/>
  <c r="I38" i="1" l="1"/>
  <c r="G38" i="1"/>
  <c r="H38" i="1"/>
  <c r="G7" i="3"/>
  <c r="I6" i="3"/>
  <c r="H6" i="3"/>
  <c r="G6" i="3"/>
  <c r="E6" i="3"/>
  <c r="I37" i="1"/>
  <c r="G37" i="1"/>
  <c r="H2" i="3" l="1"/>
  <c r="E1" i="3"/>
  <c r="I1" i="3" s="1"/>
  <c r="G1" i="3" l="1"/>
  <c r="H1" i="3"/>
  <c r="G56" i="1"/>
  <c r="I56" i="1"/>
  <c r="H56" i="1"/>
  <c r="E14" i="1" l="1"/>
  <c r="E2" i="1"/>
  <c r="H2" i="1" s="1"/>
  <c r="H3" i="1"/>
  <c r="H53" i="1"/>
  <c r="I53" i="1"/>
  <c r="E54" i="1"/>
  <c r="G54" i="1" s="1"/>
  <c r="G52" i="1"/>
  <c r="H52" i="1"/>
  <c r="I52" i="1"/>
  <c r="G53" i="1"/>
  <c r="G51" i="1"/>
  <c r="H51" i="1"/>
  <c r="I51" i="1"/>
  <c r="H55" i="1"/>
  <c r="I50" i="1"/>
  <c r="H50" i="1"/>
  <c r="G50" i="1"/>
  <c r="G47" i="1"/>
  <c r="H47" i="1"/>
  <c r="I47" i="1"/>
  <c r="G46" i="1"/>
  <c r="H46" i="1"/>
  <c r="I46" i="1"/>
  <c r="G45" i="1"/>
  <c r="H45" i="1"/>
  <c r="I45" i="1"/>
  <c r="G44" i="1"/>
  <c r="H44" i="1"/>
  <c r="I44" i="1"/>
  <c r="G43" i="1"/>
  <c r="H43" i="1"/>
  <c r="I43" i="1"/>
  <c r="I42" i="1"/>
  <c r="H42" i="1"/>
  <c r="G42" i="1"/>
  <c r="H34" i="1"/>
  <c r="H33" i="1"/>
  <c r="I29" i="1"/>
  <c r="G29" i="1"/>
  <c r="I2" i="1" l="1"/>
  <c r="G2" i="1"/>
  <c r="I54" i="1"/>
  <c r="H54" i="1"/>
  <c r="H29" i="1"/>
  <c r="H27" i="1"/>
  <c r="H28" i="1"/>
  <c r="H30" i="1"/>
  <c r="H31" i="1"/>
  <c r="H32" i="1"/>
  <c r="I26" i="1"/>
  <c r="G26" i="1"/>
  <c r="I57" i="1"/>
  <c r="G57" i="1"/>
  <c r="H57" i="1"/>
  <c r="G19" i="1"/>
  <c r="I19" i="1"/>
  <c r="G22" i="1" l="1"/>
  <c r="I21" i="1"/>
  <c r="G20" i="1"/>
  <c r="G18" i="1"/>
  <c r="I18" i="1"/>
  <c r="G41" i="1"/>
  <c r="I41" i="1"/>
  <c r="G40" i="1"/>
  <c r="I40" i="1"/>
  <c r="G17" i="1"/>
  <c r="I17" i="1"/>
  <c r="G16" i="1"/>
  <c r="I16" i="1"/>
  <c r="G14" i="1"/>
  <c r="I14" i="1"/>
  <c r="G13" i="1"/>
  <c r="I13" i="1"/>
  <c r="E25" i="1"/>
  <c r="I24" i="1"/>
  <c r="G24" i="1"/>
  <c r="I12" i="1"/>
  <c r="G12" i="1"/>
  <c r="G25" i="1" l="1"/>
  <c r="H25" i="1"/>
  <c r="I22" i="1"/>
  <c r="G21" i="1"/>
  <c r="I25" i="1"/>
  <c r="I20" i="1"/>
  <c r="I11" i="1"/>
  <c r="H11" i="1"/>
  <c r="G11" i="1"/>
  <c r="I8" i="1"/>
  <c r="H8" i="1"/>
  <c r="G8" i="1"/>
  <c r="I36" i="1" l="1"/>
  <c r="G36" i="1"/>
  <c r="I35" i="1"/>
  <c r="G35" i="1"/>
  <c r="I15" i="1" l="1"/>
  <c r="G15" i="1"/>
</calcChain>
</file>

<file path=xl/sharedStrings.xml><?xml version="1.0" encoding="utf-8"?>
<sst xmlns="http://schemas.openxmlformats.org/spreadsheetml/2006/main" count="430" uniqueCount="165">
  <si>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</si>
  <si>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</si>
  <si>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</si>
  <si>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</si>
  <si>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</si>
  <si>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</si>
  <si>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</si>
  <si>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</si>
  <si>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$/wet-kg</t>
  </si>
  <si>
    <t>$/kg</t>
  </si>
  <si>
    <t>$/kWh</t>
  </si>
  <si>
    <t>Feedstock unit price</t>
  </si>
  <si>
    <t>Natural gas unit price</t>
  </si>
  <si>
    <t>Uniform</t>
  </si>
  <si>
    <t>Boiler efficiency</t>
  </si>
  <si>
    <t>Kind</t>
  </si>
  <si>
    <t>isolated</t>
  </si>
  <si>
    <t>coupled</t>
  </si>
  <si>
    <t>Baseline</t>
  </si>
  <si>
    <t>Triangular</t>
  </si>
  <si>
    <t>CSL unit price</t>
  </si>
  <si>
    <t>Turbogenerator efficiency</t>
  </si>
  <si>
    <t>Plant annual operating days</t>
  </si>
  <si>
    <t>d</t>
  </si>
  <si>
    <t>Federal corporate tax rate</t>
  </si>
  <si>
    <t>Internal rate of return</t>
  </si>
  <si>
    <t>Lime unit price</t>
  </si>
  <si>
    <t>Sulfuric acid unit price</t>
  </si>
  <si>
    <t>% as decimal</t>
  </si>
  <si>
    <t>Ethanol unit price</t>
  </si>
  <si>
    <t xml:space="preserve">Water unit price </t>
  </si>
  <si>
    <t>RO water unit price</t>
  </si>
  <si>
    <t>Ammonia unit price</t>
  </si>
  <si>
    <t>Cellulase unit price</t>
  </si>
  <si>
    <t>DAP unit price</t>
  </si>
  <si>
    <t>NaOH unit price</t>
  </si>
  <si>
    <t>MEA unit price</t>
  </si>
  <si>
    <t>Catalyst_MeOH unit price</t>
  </si>
  <si>
    <t>Denaturant unit price</t>
  </si>
  <si>
    <t>Boiler chemical unit price</t>
  </si>
  <si>
    <t>Cooling tower chemical unit price</t>
  </si>
  <si>
    <t>Oxygen unit price</t>
  </si>
  <si>
    <t>Ash disposal price</t>
  </si>
  <si>
    <t>Enzymatic hydrolysis solids loading</t>
  </si>
  <si>
    <t>Enzyme loading</t>
  </si>
  <si>
    <t>g/g</t>
  </si>
  <si>
    <t>Saccharification glucan-to-glucose</t>
  </si>
  <si>
    <t>Co-fermentation glucose-to-ethanol</t>
  </si>
  <si>
    <t>Co-fermentation xylose-to-ethanol</t>
  </si>
  <si>
    <t>Saccharification split</t>
  </si>
  <si>
    <t>Seedtrain glucose-to-ethanol</t>
  </si>
  <si>
    <t>Seedtrain xylose-to-ethanol</t>
  </si>
  <si>
    <t>CO2 recovery</t>
  </si>
  <si>
    <t xml:space="preserve">Heat integration split recycled </t>
  </si>
  <si>
    <t>MeOH conversion</t>
  </si>
  <si>
    <t>MeOH conversion WHSV</t>
  </si>
  <si>
    <t>MeOH conversion catalyst density</t>
  </si>
  <si>
    <t>kg/m^3</t>
  </si>
  <si>
    <t>MeOH conversion catalyst longevity</t>
  </si>
  <si>
    <t>MeOH conversion porosity</t>
  </si>
  <si>
    <t>Electrolyzer stack longevity</t>
  </si>
  <si>
    <t>year</t>
  </si>
  <si>
    <t>Electricity -wind unit price</t>
  </si>
  <si>
    <t>Electrolyzer stack F_BM</t>
  </si>
  <si>
    <t>Electrolyzer mechanical BOP F_BM</t>
  </si>
  <si>
    <t>Electrolyzer electrical BOP F_BM</t>
  </si>
  <si>
    <t>Electrolyzer base_power_per_hydrogen_flow</t>
  </si>
  <si>
    <t>kWh/kg</t>
  </si>
  <si>
    <t>Biorefinery</t>
  </si>
  <si>
    <t>Feedstock moisture</t>
  </si>
  <si>
    <t>Feedstock dry flow</t>
  </si>
  <si>
    <t>dry kg/hr</t>
  </si>
  <si>
    <t>1/hr</t>
  </si>
  <si>
    <t>hr</t>
  </si>
  <si>
    <t>Feedstock carb dry content</t>
  </si>
  <si>
    <t>Feedstock glucan carb content</t>
  </si>
  <si>
    <t>Feedstock glucan to xylan</t>
  </si>
  <si>
    <t>U101.specifications[0].args[0] = x</t>
  </si>
  <si>
    <t>U101.specifications[0].args[1] = x</t>
  </si>
  <si>
    <t>U101.specifications[0].args[2] = x</t>
  </si>
  <si>
    <t>U101.specifications[0].args[3] = x</t>
  </si>
  <si>
    <t>U101.specifications[0].args[4] = x</t>
  </si>
  <si>
    <t>Electricity-wind GWP</t>
  </si>
  <si>
    <t>LCA</t>
  </si>
  <si>
    <t>Ethanol GWP</t>
  </si>
  <si>
    <t>kg CO2e/kg</t>
  </si>
  <si>
    <t>CFs['GWP_100']['ethanol'] = x</t>
  </si>
  <si>
    <t>Feedstock glucan dry</t>
  </si>
  <si>
    <t>Feedstock xylan dry</t>
  </si>
  <si>
    <t>Feedstock lignin dry</t>
  </si>
  <si>
    <t>Feedstock ash dry</t>
  </si>
  <si>
    <t>ethanol.price = x</t>
  </si>
  <si>
    <t>Feedstock GWP</t>
  </si>
  <si>
    <t>Electricity unit price</t>
  </si>
  <si>
    <t>Electricity GWP</t>
  </si>
  <si>
    <t>kg CO2e/kWh</t>
  </si>
  <si>
    <t>A</t>
  </si>
  <si>
    <t>B</t>
  </si>
  <si>
    <t>Hydrogen unit price (green)</t>
  </si>
  <si>
    <t>Hydrogen GWP (green)</t>
  </si>
  <si>
    <t>Hydrogen unit price (blue)</t>
  </si>
  <si>
    <t>Hydrogen GWP (blue)</t>
  </si>
  <si>
    <t>Hydrogen unit price (gray)</t>
  </si>
  <si>
    <t>Oxygen GWP</t>
  </si>
  <si>
    <t>Methanol unit price</t>
  </si>
  <si>
    <t>Methanol GWP</t>
  </si>
  <si>
    <t>C1</t>
  </si>
  <si>
    <t>C2</t>
  </si>
  <si>
    <t>C3</t>
  </si>
  <si>
    <t>C4</t>
  </si>
  <si>
    <t>Hydrogen GWP (gray)</t>
  </si>
  <si>
    <t>Statement</t>
  </si>
  <si>
    <t>tea.operating_days = x</t>
  </si>
  <si>
    <t>tea.income_tax = x</t>
  </si>
  <si>
    <t>tea.IRR = x</t>
  </si>
  <si>
    <t>PowerUtility.price = x</t>
  </si>
  <si>
    <t>CFs['GWP_100']['cornstover'] = x</t>
  </si>
  <si>
    <t>CFs['GWP_100']['Electricity'] = x</t>
  </si>
  <si>
    <t>makeup_MEA.price = x</t>
  </si>
  <si>
    <t>catalyst_MeOH.price = x</t>
  </si>
  <si>
    <t>oxygen.price = x</t>
  </si>
  <si>
    <t>R1101._default_equipment_lifetime['Stack'] = x</t>
  </si>
  <si>
    <t>R1101.F_BM['Stack'] = x</t>
  </si>
  <si>
    <t>R1101.F_BM['Mechanical BOP'] = x</t>
  </si>
  <si>
    <t>R1101.F_BM['Electrical BOP'] = x</t>
  </si>
  <si>
    <t>R1101.base_kWh_per_kg_hydrogen = x</t>
  </si>
  <si>
    <t>U1301.CO2_recovery = x</t>
  </si>
  <si>
    <t>S1101.split = x</t>
  </si>
  <si>
    <t>R1102.reactions[0].X = x</t>
  </si>
  <si>
    <t>R1102.WHSV = x</t>
  </si>
  <si>
    <t>R1102.catalyst_density = x</t>
  </si>
  <si>
    <t>R1102.catalyst_longevity = x</t>
  </si>
  <si>
    <t>R1102.porosity = x</t>
  </si>
  <si>
    <t>MeOH.price = x</t>
  </si>
  <si>
    <t>CFs['GWP_100']['CH3OH'] = x</t>
  </si>
  <si>
    <t>CFs['GWP_100']['O2'] = x</t>
  </si>
  <si>
    <t>CFs['GWP_100']['H2'] = x</t>
  </si>
  <si>
    <t>hydrogen.price = x</t>
  </si>
  <si>
    <t>U101.specifications[0].args[5] = x</t>
  </si>
  <si>
    <t>feedstock.price = x</t>
  </si>
  <si>
    <t>sulfuric_acid.price = x</t>
  </si>
  <si>
    <t>ammonia.price = x</t>
  </si>
  <si>
    <t>cellulase.price = x</t>
  </si>
  <si>
    <t>DAP.price = x</t>
  </si>
  <si>
    <t>CSL.price = x</t>
  </si>
  <si>
    <t>caustic.price = x</t>
  </si>
  <si>
    <t>denaturant.price = x</t>
  </si>
  <si>
    <t>cooling_tower_chemicals.price = x</t>
  </si>
  <si>
    <t>natural_gas.price = x</t>
  </si>
  <si>
    <t>FGD_lime.price = x</t>
  </si>
  <si>
    <t>boiler_chemicals.price = x</t>
  </si>
  <si>
    <t>makeup_process_water.price = x</t>
  </si>
  <si>
    <t>makeup_RO_water.price = x</t>
  </si>
  <si>
    <t>BT.ash_disposal_price = x</t>
  </si>
  <si>
    <t>M301.solids_loading = x</t>
  </si>
  <si>
    <t>M301.enzyme_loading = x</t>
  </si>
  <si>
    <t>R303.saccharification_split = x</t>
  </si>
  <si>
    <t>R303.saccharification[2].X = x</t>
  </si>
  <si>
    <t>R303.cofermentation[0].X = x</t>
  </si>
  <si>
    <t>R303.cofermentation[4].X = x</t>
  </si>
  <si>
    <t>R302.glucose_to_ethanol.X = x</t>
  </si>
  <si>
    <t>R302.xylose_to_ethanol.X = x</t>
  </si>
  <si>
    <t>BT.boiler_efficiency = x</t>
  </si>
  <si>
    <t>BT.turbogenerator_efficiency = x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</si>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</sst>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11" fontId="0" fillId="0" borderId="1" xfId="0" applyNumberForma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12" zoomScale="115" zoomScaleNormal="115" workbookViewId="0">
      <selection activeCell="G23" sqref="G23"/>
    </sheetView>
  </sheetViews>
  <sheetFormatPr defaultRowHeight="14.4" x14ac:dyDescent="0.55000000000000004"/>
  <cols>
    <col min="1" max="1" width="40.7890625" style="3" customWidth="1"/>
    <col min="2" max="2" width="14.62890625" style="3" bestFit="1" customWidth="1"/>
    <col min="3" max="3" width="8.83984375" style="3"/>
    <col min="4" max="4" width="12.15625" style="3" customWidth="1"/>
    <col min="5" max="5" width="8.83984375" style="3" customWidth="1"/>
    <col min="6" max="6" width="14.47265625" style="5" customWidth="1"/>
    <col min="7" max="9" width="8.83984375" style="3" customWidth="1"/>
    <col min="10" max="10" width="38.26171875" bestFit="1" customWidth="1"/>
  </cols>
  <sheetData>
    <row r="1" spans="1:10" s="1" customFormat="1" ht="22.3" customHeight="1" x14ac:dyDescent="0.55000000000000004">
      <c r="A1" s="2" t="s">
        <v>0</v>
      </c>
      <c r="B1" s="2" t="s">
        <v>1</v>
      </c>
      <c r="C1" s="2" t="s">
        <v>15</v>
      </c>
      <c r="D1" s="2" t="s">
        <v>2</v>
      </c>
      <c r="E1" s="2" t="s">
        <v>18</v>
      </c>
      <c r="F1" s="4" t="s">
        <v>3</v>
      </c>
      <c r="G1" s="2" t="s">
        <v>4</v>
      </c>
      <c r="H1" s="2" t="s">
        <v>5</v>
      </c>
      <c r="I1" s="2" t="s">
        <v>6</v>
      </c>
      <c r="J1" s="7" t="s">
        <v>111</v>
      </c>
    </row>
    <row r="2" spans="1:10" x14ac:dyDescent="0.55000000000000004">
      <c r="A2" s="3" t="s">
        <v>70</v>
      </c>
      <c r="B2" s="3" t="s">
        <v>96</v>
      </c>
      <c r="C2" s="3" t="s">
        <v>17</v>
      </c>
      <c r="D2" s="3" t="s">
        <v>71</v>
      </c>
      <c r="E2" s="3">
        <f>2000000/24</f>
        <v>83333.333333333328</v>
      </c>
      <c r="F2" s="5" t="s">
        <v>19</v>
      </c>
      <c r="G2" s="3">
        <f>E2*0.8</f>
        <v>66666.666666666672</v>
      </c>
      <c r="H2" s="3">
        <f>E2</f>
        <v>83333.333333333328</v>
      </c>
      <c r="I2" s="3">
        <f>E2*1.2</f>
        <v>99999.999999999985</v>
      </c>
      <c r="J2" s="3" t="s">
        <v>77</v>
      </c>
    </row>
    <row r="3" spans="1:10" x14ac:dyDescent="0.55000000000000004">
      <c r="A3" s="3" t="s">
        <v>69</v>
      </c>
      <c r="B3" s="3" t="s">
        <v>96</v>
      </c>
      <c r="C3" s="3" t="s">
        <v>17</v>
      </c>
      <c r="D3" s="3" t="s">
        <v>28</v>
      </c>
      <c r="E3" s="3">
        <v>0.2</v>
      </c>
      <c r="F3" s="5" t="s">
        <v>19</v>
      </c>
      <c r="G3" s="3">
        <f>E3*0.8</f>
        <v>0.16000000000000003</v>
      </c>
      <c r="H3" s="3">
        <f>E3</f>
        <v>0.2</v>
      </c>
      <c r="I3" s="3">
        <f>E3*1.2</f>
        <v>0.24</v>
      </c>
      <c r="J3" s="3" t="s">
        <v>78</v>
      </c>
    </row>
    <row r="4" spans="1:10" x14ac:dyDescent="0.55000000000000004">
      <c r="A4" s="3" t="s">
        <v>87</v>
      </c>
      <c r="B4" s="3" t="s">
        <v>96</v>
      </c>
      <c r="C4" s="3" t="s">
        <v>17</v>
      </c>
      <c r="D4" s="3" t="s">
        <v>28</v>
      </c>
      <c r="E4" s="3">
        <v>0.36109999999999998</v>
      </c>
      <c r="F4" s="5" t="s">
        <v>19</v>
      </c>
      <c r="G4" s="3">
        <v>0.3377</v>
      </c>
      <c r="H4" s="3">
        <v>0.36109999999999998</v>
      </c>
      <c r="I4" s="3">
        <v>0.39800000000000002</v>
      </c>
      <c r="J4" s="3" t="s">
        <v>79</v>
      </c>
    </row>
    <row r="5" spans="1:10" x14ac:dyDescent="0.55000000000000004">
      <c r="A5" s="3" t="s">
        <v>88</v>
      </c>
      <c r="B5" s="3" t="s">
        <v>96</v>
      </c>
      <c r="C5" s="3" t="s">
        <v>17</v>
      </c>
      <c r="D5" s="3" t="s">
        <v>28</v>
      </c>
      <c r="E5" s="3">
        <v>0.20599999999999999</v>
      </c>
      <c r="F5" s="5" t="s">
        <v>19</v>
      </c>
      <c r="G5" s="3">
        <v>0.19600000000000001</v>
      </c>
      <c r="H5" s="3">
        <v>0.20599999999999999</v>
      </c>
      <c r="I5" s="3">
        <v>0.21640000000000001</v>
      </c>
      <c r="J5" s="3" t="s">
        <v>80</v>
      </c>
    </row>
    <row r="6" spans="1:10" x14ac:dyDescent="0.55000000000000004">
      <c r="A6" s="3" t="s">
        <v>89</v>
      </c>
      <c r="B6" s="3" t="s">
        <v>96</v>
      </c>
      <c r="C6" s="3" t="s">
        <v>17</v>
      </c>
      <c r="D6" s="3" t="s">
        <v>28</v>
      </c>
      <c r="E6" s="3">
        <v>0.20050000000000001</v>
      </c>
      <c r="F6" s="5" t="s">
        <v>19</v>
      </c>
      <c r="G6" s="3">
        <v>0.19089999999999999</v>
      </c>
      <c r="H6" s="3">
        <v>0.20050000000000001</v>
      </c>
      <c r="I6" s="3">
        <v>0.2145</v>
      </c>
      <c r="J6" s="3" t="s">
        <v>81</v>
      </c>
    </row>
    <row r="7" spans="1:10" x14ac:dyDescent="0.55000000000000004">
      <c r="A7" s="3" t="s">
        <v>90</v>
      </c>
      <c r="B7" s="3" t="s">
        <v>96</v>
      </c>
      <c r="C7" s="3" t="s">
        <v>17</v>
      </c>
      <c r="D7" s="3" t="s">
        <v>28</v>
      </c>
      <c r="E7" s="3">
        <v>4.1000000000000002E-2</v>
      </c>
      <c r="F7" s="5" t="s">
        <v>19</v>
      </c>
      <c r="G7" s="3">
        <v>3.1125E-2</v>
      </c>
      <c r="H7" s="3">
        <v>4.1000000000000002E-2</v>
      </c>
      <c r="I7" s="3">
        <v>6.1074999999999997E-2</v>
      </c>
      <c r="J7" s="3" t="s">
        <v>138</v>
      </c>
    </row>
    <row r="8" spans="1:10" x14ac:dyDescent="0.55000000000000004">
      <c r="A8" s="3" t="s">
        <v>22</v>
      </c>
      <c r="B8" s="3" t="s">
        <v>96</v>
      </c>
      <c r="C8" s="3" t="s">
        <v>16</v>
      </c>
      <c r="D8" s="3" t="s">
        <v>23</v>
      </c>
      <c r="E8" s="3">
        <v>330</v>
      </c>
      <c r="F8" s="5" t="s">
        <v>19</v>
      </c>
      <c r="G8" s="3">
        <f>0.9*E8</f>
        <v>297</v>
      </c>
      <c r="H8" s="3">
        <f>E8</f>
        <v>330</v>
      </c>
      <c r="I8" s="3">
        <f>1.1*E8</f>
        <v>363.00000000000006</v>
      </c>
      <c r="J8" s="3" t="s">
        <v>112</v>
      </c>
    </row>
    <row r="9" spans="1:10" x14ac:dyDescent="0.55000000000000004">
      <c r="A9" s="3" t="s">
        <v>24</v>
      </c>
      <c r="B9" s="3" t="s">
        <v>96</v>
      </c>
      <c r="C9" s="3" t="s">
        <v>16</v>
      </c>
      <c r="D9" s="3" t="s">
        <v>28</v>
      </c>
      <c r="E9" s="3">
        <v>0.21</v>
      </c>
      <c r="F9" s="5" t="s">
        <v>13</v>
      </c>
      <c r="G9" s="3">
        <v>0.15</v>
      </c>
      <c r="I9" s="3">
        <v>0.28000000000000003</v>
      </c>
      <c r="J9" s="3" t="s">
        <v>113</v>
      </c>
    </row>
    <row r="10" spans="1:10" x14ac:dyDescent="0.55000000000000004">
      <c r="A10" s="3" t="s">
        <v>25</v>
      </c>
      <c r="B10" s="3" t="s">
        <v>96</v>
      </c>
      <c r="C10" s="3" t="s">
        <v>16</v>
      </c>
      <c r="D10" s="3" t="s">
        <v>28</v>
      </c>
      <c r="E10" s="3">
        <v>0.1</v>
      </c>
      <c r="F10" s="5" t="s">
        <v>13</v>
      </c>
      <c r="G10" s="3">
        <v>0.08</v>
      </c>
      <c r="I10" s="3">
        <v>0.12</v>
      </c>
      <c r="J10" s="3" t="s">
        <v>114</v>
      </c>
    </row>
    <row r="11" spans="1:10" x14ac:dyDescent="0.55000000000000004">
      <c r="A11" s="3" t="s">
        <v>11</v>
      </c>
      <c r="B11" s="3" t="s">
        <v>96</v>
      </c>
      <c r="C11" s="3" t="s">
        <v>16</v>
      </c>
      <c r="D11" s="3" t="s">
        <v>8</v>
      </c>
      <c r="E11" s="3">
        <v>9.1146890784133197E-2</v>
      </c>
      <c r="F11" s="5" t="s">
        <v>19</v>
      </c>
      <c r="G11" s="3">
        <f t="shared" ref="G11:G19" si="0">E11*0.8</f>
        <v>7.2917512627306558E-2</v>
      </c>
      <c r="H11" s="3">
        <f>E11</f>
        <v>9.1146890784133197E-2</v>
      </c>
      <c r="I11" s="3">
        <f>E11*1.2</f>
        <v>0.10937626894095984</v>
      </c>
      <c r="J11" s="3" t="s">
        <v>139</v>
      </c>
    </row>
    <row r="12" spans="1:10" x14ac:dyDescent="0.55000000000000004">
      <c r="A12" s="3" t="s">
        <v>27</v>
      </c>
      <c r="B12" s="3" t="s">
        <v>96</v>
      </c>
      <c r="C12" s="3" t="s">
        <v>16</v>
      </c>
      <c r="D12" s="3" t="s">
        <v>9</v>
      </c>
      <c r="E12" s="3">
        <v>0.145967078841204</v>
      </c>
      <c r="F12" s="5" t="s">
        <v>13</v>
      </c>
      <c r="G12" s="3">
        <f t="shared" si="0"/>
        <v>0.1167736630729632</v>
      </c>
      <c r="I12" s="3">
        <f>E12*1.2</f>
        <v>0.1751604946094448</v>
      </c>
      <c r="J12" s="3" t="s">
        <v>140</v>
      </c>
    </row>
    <row r="13" spans="1:10" x14ac:dyDescent="0.55000000000000004">
      <c r="A13" s="3" t="s">
        <v>32</v>
      </c>
      <c r="B13" s="3" t="s">
        <v>96</v>
      </c>
      <c r="C13" s="3" t="s">
        <v>16</v>
      </c>
      <c r="D13" s="3" t="s">
        <v>9</v>
      </c>
      <c r="E13" s="3">
        <v>0.87580247304722503</v>
      </c>
      <c r="F13" s="5" t="s">
        <v>13</v>
      </c>
      <c r="G13" s="3">
        <f t="shared" si="0"/>
        <v>0.70064197843778009</v>
      </c>
      <c r="I13" s="3">
        <f>E13*1.2</f>
        <v>1.0509629676566701</v>
      </c>
      <c r="J13" s="3" t="s">
        <v>141</v>
      </c>
    </row>
    <row r="14" spans="1:10" x14ac:dyDescent="0.55000000000000004">
      <c r="A14" s="3" t="s">
        <v>33</v>
      </c>
      <c r="B14" s="3" t="s">
        <v>96</v>
      </c>
      <c r="C14" s="3" t="s">
        <v>16</v>
      </c>
      <c r="D14" s="3" t="s">
        <v>9</v>
      </c>
      <c r="E14" s="3">
        <f>8.17484708118955*0.05</f>
        <v>0.40874235405947756</v>
      </c>
      <c r="F14" s="5" t="s">
        <v>13</v>
      </c>
      <c r="G14" s="3">
        <f t="shared" si="0"/>
        <v>0.32699388324758205</v>
      </c>
      <c r="I14" s="3">
        <f>E14*1.2</f>
        <v>0.49049082487137308</v>
      </c>
      <c r="J14" s="3" t="s">
        <v>142</v>
      </c>
    </row>
    <row r="15" spans="1:10" x14ac:dyDescent="0.55000000000000004">
      <c r="A15" s="3" t="s">
        <v>20</v>
      </c>
      <c r="B15" s="3" t="s">
        <v>96</v>
      </c>
      <c r="C15" s="3" t="s">
        <v>16</v>
      </c>
      <c r="D15" s="3" t="s">
        <v>9</v>
      </c>
      <c r="E15" s="3">
        <v>9.9133291715074595E-2</v>
      </c>
      <c r="F15" s="5" t="s">
        <v>13</v>
      </c>
      <c r="G15" s="3">
        <f t="shared" si="0"/>
        <v>7.9306633372059676E-2</v>
      </c>
      <c r="I15" s="3">
        <f>1.2*E15</f>
        <v>0.11895995005808951</v>
      </c>
      <c r="J15" s="3" t="s">
        <v>143</v>
      </c>
    </row>
    <row r="16" spans="1:10" x14ac:dyDescent="0.55000000000000004">
      <c r="A16" s="3" t="s">
        <v>34</v>
      </c>
      <c r="B16" s="3" t="s">
        <v>96</v>
      </c>
      <c r="C16" s="3" t="s">
        <v>16</v>
      </c>
      <c r="D16" s="3" t="s">
        <v>9</v>
      </c>
      <c r="E16" s="3">
        <v>1.2009326789994701</v>
      </c>
      <c r="F16" s="5" t="s">
        <v>13</v>
      </c>
      <c r="G16" s="3">
        <f t="shared" si="0"/>
        <v>0.96074614319957607</v>
      </c>
      <c r="I16" s="3">
        <f>1.2*E16</f>
        <v>1.4411192147993641</v>
      </c>
      <c r="J16" s="3" t="s">
        <v>144</v>
      </c>
    </row>
    <row r="17" spans="1:10" x14ac:dyDescent="0.55000000000000004">
      <c r="A17" s="3" t="s">
        <v>35</v>
      </c>
      <c r="B17" s="3" t="s">
        <v>96</v>
      </c>
      <c r="C17" s="3" t="s">
        <v>16</v>
      </c>
      <c r="D17" s="3" t="s">
        <v>9</v>
      </c>
      <c r="E17" s="3">
        <v>0.91295772947953102</v>
      </c>
      <c r="F17" s="5" t="s">
        <v>13</v>
      </c>
      <c r="G17" s="3">
        <f t="shared" si="0"/>
        <v>0.73036618358362482</v>
      </c>
      <c r="I17" s="3">
        <f>1.2*E17</f>
        <v>1.0955492753754372</v>
      </c>
      <c r="J17" s="3" t="s">
        <v>145</v>
      </c>
    </row>
    <row r="18" spans="1:10" x14ac:dyDescent="0.55000000000000004">
      <c r="A18" s="3" t="s">
        <v>38</v>
      </c>
      <c r="B18" s="3" t="s">
        <v>96</v>
      </c>
      <c r="C18" s="3" t="s">
        <v>16</v>
      </c>
      <c r="D18" s="3" t="s">
        <v>9</v>
      </c>
      <c r="E18" s="3">
        <v>0.91993662256809305</v>
      </c>
      <c r="F18" s="5" t="s">
        <v>13</v>
      </c>
      <c r="G18" s="3">
        <f t="shared" si="0"/>
        <v>0.73594929805447451</v>
      </c>
      <c r="I18" s="3">
        <f>1.2*E18</f>
        <v>1.1039239470817117</v>
      </c>
      <c r="J18" s="3" t="s">
        <v>146</v>
      </c>
    </row>
    <row r="19" spans="1:10" x14ac:dyDescent="0.55000000000000004">
      <c r="A19" s="3" t="s">
        <v>40</v>
      </c>
      <c r="B19" s="3" t="s">
        <v>96</v>
      </c>
      <c r="C19" s="3" t="s">
        <v>16</v>
      </c>
      <c r="D19" s="3" t="s">
        <v>9</v>
      </c>
      <c r="E19" s="3">
        <v>2.1447049186042699</v>
      </c>
      <c r="F19" s="5" t="s">
        <v>13</v>
      </c>
      <c r="G19" s="3">
        <f t="shared" si="0"/>
        <v>1.7157639348834159</v>
      </c>
      <c r="I19" s="3">
        <f>1.2*E19</f>
        <v>2.5736459023251239</v>
      </c>
      <c r="J19" s="3" t="s">
        <v>147</v>
      </c>
    </row>
    <row r="20" spans="1:10" x14ac:dyDescent="0.55000000000000004">
      <c r="A20" s="3" t="s">
        <v>12</v>
      </c>
      <c r="B20" s="3" t="s">
        <v>96</v>
      </c>
      <c r="C20" s="3" t="s">
        <v>16</v>
      </c>
      <c r="D20" s="3" t="s">
        <v>9</v>
      </c>
      <c r="E20" s="3">
        <v>0.28936735642924299</v>
      </c>
      <c r="F20" s="5" t="s">
        <v>19</v>
      </c>
      <c r="G20" s="3">
        <f>H20*0.8</f>
        <v>0.23149388514339442</v>
      </c>
      <c r="H20" s="3">
        <f t="shared" ref="H20:H26" si="1">E20</f>
        <v>0.28936735642924299</v>
      </c>
      <c r="I20" s="3">
        <f>H20*1.2</f>
        <v>0.34724082771509157</v>
      </c>
      <c r="J20" s="3" t="s">
        <v>148</v>
      </c>
    </row>
    <row r="21" spans="1:10" x14ac:dyDescent="0.55000000000000004">
      <c r="A21" s="3" t="s">
        <v>26</v>
      </c>
      <c r="B21" s="3" t="s">
        <v>96</v>
      </c>
      <c r="C21" s="3" t="s">
        <v>16</v>
      </c>
      <c r="D21" s="3" t="s">
        <v>9</v>
      </c>
      <c r="E21" s="3">
        <v>0.13514000000000001</v>
      </c>
      <c r="F21" s="5" t="s">
        <v>19</v>
      </c>
      <c r="G21" s="3">
        <f>H21*0.8</f>
        <v>0.10811200000000001</v>
      </c>
      <c r="H21" s="3">
        <f t="shared" si="1"/>
        <v>0.13514000000000001</v>
      </c>
      <c r="I21" s="3">
        <f>H21*1.2</f>
        <v>0.16216800000000001</v>
      </c>
      <c r="J21" s="3" t="s">
        <v>149</v>
      </c>
    </row>
    <row r="22" spans="1:10" x14ac:dyDescent="0.55000000000000004">
      <c r="A22" s="3" t="s">
        <v>39</v>
      </c>
      <c r="B22" s="3" t="s">
        <v>96</v>
      </c>
      <c r="C22" s="3" t="s">
        <v>16</v>
      </c>
      <c r="D22" s="3" t="s">
        <v>9</v>
      </c>
      <c r="E22" s="3">
        <v>3.5635187930642802</v>
      </c>
      <c r="F22" s="5" t="s">
        <v>19</v>
      </c>
      <c r="G22" s="3">
        <f>H22*0.8</f>
        <v>2.8508150344514243</v>
      </c>
      <c r="H22" s="3">
        <f t="shared" si="1"/>
        <v>3.5635187930642802</v>
      </c>
      <c r="I22" s="3">
        <f>H22*1.2</f>
        <v>4.2762225516771357</v>
      </c>
      <c r="J22" s="3" t="s">
        <v>150</v>
      </c>
    </row>
    <row r="23" spans="1:10" x14ac:dyDescent="0.55000000000000004">
      <c r="A23" s="3" t="s">
        <v>93</v>
      </c>
      <c r="B23" s="3" t="s">
        <v>164</v>
      </c>
      <c r="C23" s="3" t="s">
        <v>16</v>
      </c>
      <c r="D23" s="3" t="s">
        <v>10</v>
      </c>
      <c r="E23" s="3">
        <v>8.4539160408078698E-2</v>
      </c>
      <c r="F23" s="5" t="s">
        <v>19</v>
      </c>
      <c r="G23" s="3">
        <v>7.8343341427146204E-2</v>
      </c>
      <c r="H23" s="3">
        <f t="shared" si="1"/>
        <v>8.4539160408078698E-2</v>
      </c>
      <c r="I23" s="3">
        <v>0.110173994390799</v>
      </c>
      <c r="J23" s="3" t="s">
        <v>115</v>
      </c>
    </row>
    <row r="24" spans="1:10" x14ac:dyDescent="0.55000000000000004">
      <c r="A24" s="3" t="s">
        <v>30</v>
      </c>
      <c r="B24" s="3" t="s">
        <v>96</v>
      </c>
      <c r="C24" s="3" t="s">
        <v>16</v>
      </c>
      <c r="D24" s="3" t="s">
        <v>9</v>
      </c>
      <c r="E24" s="3">
        <v>1.0922825059934799E-3</v>
      </c>
      <c r="F24" s="5" t="s">
        <v>19</v>
      </c>
      <c r="G24" s="3">
        <f>E24*0.8</f>
        <v>8.73826004794784E-4</v>
      </c>
      <c r="H24" s="3">
        <f t="shared" si="1"/>
        <v>1.0922825059934799E-3</v>
      </c>
      <c r="I24" s="3">
        <f>E24*1.2</f>
        <v>1.3107390071921759E-3</v>
      </c>
      <c r="J24" s="3" t="s">
        <v>151</v>
      </c>
    </row>
    <row r="25" spans="1:10" x14ac:dyDescent="0.55000000000000004">
      <c r="A25" s="3" t="s">
        <v>31</v>
      </c>
      <c r="B25" s="3" t="s">
        <v>96</v>
      </c>
      <c r="C25" s="3" t="s">
        <v>16</v>
      </c>
      <c r="D25" s="3" t="s">
        <v>9</v>
      </c>
      <c r="E25" s="3">
        <f>0.00226547482724574</f>
        <v>2.2654748272457402E-3</v>
      </c>
      <c r="F25" s="5" t="s">
        <v>19</v>
      </c>
      <c r="G25" s="3">
        <f>E25*0.8</f>
        <v>1.8123798617965922E-3</v>
      </c>
      <c r="H25" s="3">
        <f t="shared" si="1"/>
        <v>2.2654748272457402E-3</v>
      </c>
      <c r="I25" s="3">
        <f>E25*1.2</f>
        <v>2.7185697926948881E-3</v>
      </c>
      <c r="J25" s="3" t="s">
        <v>152</v>
      </c>
    </row>
    <row r="26" spans="1:10" x14ac:dyDescent="0.55000000000000004">
      <c r="A26" s="3" t="s">
        <v>42</v>
      </c>
      <c r="B26" s="3" t="s">
        <v>96</v>
      </c>
      <c r="C26" s="3" t="s">
        <v>16</v>
      </c>
      <c r="D26" s="3" t="s">
        <v>9</v>
      </c>
      <c r="E26" s="3">
        <v>-5.5494447764336201E-2</v>
      </c>
      <c r="F26" s="5" t="s">
        <v>19</v>
      </c>
      <c r="G26" s="3">
        <f>E26*1.2</f>
        <v>-6.6593337317203433E-2</v>
      </c>
      <c r="H26" s="3">
        <f t="shared" si="1"/>
        <v>-5.5494447764336201E-2</v>
      </c>
      <c r="I26" s="3">
        <f>E26*0.8</f>
        <v>-4.4395558211468962E-2</v>
      </c>
      <c r="J26" s="3" t="s">
        <v>153</v>
      </c>
    </row>
    <row r="27" spans="1:10" x14ac:dyDescent="0.55000000000000004">
      <c r="A27" s="3" t="s">
        <v>43</v>
      </c>
      <c r="B27" s="3" t="s">
        <v>96</v>
      </c>
      <c r="C27" s="3" t="s">
        <v>17</v>
      </c>
      <c r="D27" s="3" t="s">
        <v>28</v>
      </c>
      <c r="E27" s="3">
        <v>0.2</v>
      </c>
      <c r="F27" s="5" t="s">
        <v>19</v>
      </c>
      <c r="G27" s="3">
        <v>0.17499999999999999</v>
      </c>
      <c r="H27" s="3">
        <f t="shared" ref="H27:H34" si="2">E27</f>
        <v>0.2</v>
      </c>
      <c r="I27" s="3">
        <v>0.25</v>
      </c>
      <c r="J27" s="3" t="s">
        <v>154</v>
      </c>
    </row>
    <row r="28" spans="1:10" x14ac:dyDescent="0.55000000000000004">
      <c r="A28" s="3" t="s">
        <v>44</v>
      </c>
      <c r="B28" s="3" t="s">
        <v>96</v>
      </c>
      <c r="C28" s="3" t="s">
        <v>17</v>
      </c>
      <c r="D28" s="3" t="s">
        <v>45</v>
      </c>
      <c r="E28" s="3">
        <v>0.02</v>
      </c>
      <c r="F28" s="5" t="s">
        <v>19</v>
      </c>
      <c r="G28" s="3">
        <v>0.01</v>
      </c>
      <c r="H28" s="3">
        <f t="shared" si="2"/>
        <v>0.02</v>
      </c>
      <c r="I28" s="3">
        <v>0.03</v>
      </c>
      <c r="J28" s="3" t="s">
        <v>155</v>
      </c>
    </row>
    <row r="29" spans="1:10" x14ac:dyDescent="0.55000000000000004">
      <c r="A29" s="3" t="s">
        <v>49</v>
      </c>
      <c r="B29" s="3" t="s">
        <v>96</v>
      </c>
      <c r="C29" s="3" t="s">
        <v>17</v>
      </c>
      <c r="D29" s="3" t="s">
        <v>28</v>
      </c>
      <c r="E29" s="3">
        <v>0.1</v>
      </c>
      <c r="F29" s="5" t="s">
        <v>19</v>
      </c>
      <c r="G29" s="3">
        <f>E29*0.9</f>
        <v>9.0000000000000011E-2</v>
      </c>
      <c r="H29" s="3">
        <f t="shared" si="2"/>
        <v>0.1</v>
      </c>
      <c r="I29" s="3">
        <f>E29*1.1</f>
        <v>0.11000000000000001</v>
      </c>
      <c r="J29" s="3" t="s">
        <v>156</v>
      </c>
    </row>
    <row r="30" spans="1:10" x14ac:dyDescent="0.55000000000000004">
      <c r="A30" s="3" t="s">
        <v>46</v>
      </c>
      <c r="B30" s="3" t="s">
        <v>96</v>
      </c>
      <c r="C30" s="3" t="s">
        <v>17</v>
      </c>
      <c r="D30" s="3" t="s">
        <v>28</v>
      </c>
      <c r="E30" s="3">
        <v>0.9</v>
      </c>
      <c r="F30" s="5" t="s">
        <v>19</v>
      </c>
      <c r="G30" s="3">
        <v>0.75</v>
      </c>
      <c r="H30" s="3">
        <f t="shared" si="2"/>
        <v>0.9</v>
      </c>
      <c r="I30" s="3">
        <v>0.94799999999999995</v>
      </c>
      <c r="J30" s="3" t="s">
        <v>157</v>
      </c>
    </row>
    <row r="31" spans="1:10" x14ac:dyDescent="0.55000000000000004">
      <c r="A31" s="3" t="s">
        <v>47</v>
      </c>
      <c r="B31" s="3" t="s">
        <v>96</v>
      </c>
      <c r="C31" s="3" t="s">
        <v>17</v>
      </c>
      <c r="D31" s="3" t="s">
        <v>28</v>
      </c>
      <c r="E31" s="3">
        <v>0.95</v>
      </c>
      <c r="F31" s="5" t="s">
        <v>19</v>
      </c>
      <c r="G31" s="3">
        <v>0.9</v>
      </c>
      <c r="H31" s="3">
        <f t="shared" si="2"/>
        <v>0.95</v>
      </c>
      <c r="I31" s="3">
        <v>0.97</v>
      </c>
      <c r="J31" s="3" t="s">
        <v>158</v>
      </c>
    </row>
    <row r="32" spans="1:10" x14ac:dyDescent="0.55000000000000004">
      <c r="A32" s="3" t="s">
        <v>48</v>
      </c>
      <c r="B32" s="3" t="s">
        <v>96</v>
      </c>
      <c r="C32" s="3" t="s">
        <v>17</v>
      </c>
      <c r="D32" s="3" t="s">
        <v>28</v>
      </c>
      <c r="E32" s="3">
        <v>0.85</v>
      </c>
      <c r="F32" s="5" t="s">
        <v>19</v>
      </c>
      <c r="G32" s="3">
        <v>0.8</v>
      </c>
      <c r="H32" s="3">
        <f t="shared" si="2"/>
        <v>0.85</v>
      </c>
      <c r="I32" s="3">
        <v>0.9</v>
      </c>
      <c r="J32" s="3" t="s">
        <v>159</v>
      </c>
    </row>
    <row r="33" spans="1:10" x14ac:dyDescent="0.55000000000000004">
      <c r="A33" s="3" t="s">
        <v>50</v>
      </c>
      <c r="B33" s="3" t="s">
        <v>96</v>
      </c>
      <c r="C33" s="3" t="s">
        <v>17</v>
      </c>
      <c r="D33" s="3" t="s">
        <v>28</v>
      </c>
      <c r="E33" s="3">
        <v>0.9</v>
      </c>
      <c r="F33" s="5" t="s">
        <v>19</v>
      </c>
      <c r="G33" s="3">
        <v>0.75</v>
      </c>
      <c r="H33" s="3">
        <f t="shared" si="2"/>
        <v>0.9</v>
      </c>
      <c r="I33" s="3">
        <v>0.94799999999999995</v>
      </c>
      <c r="J33" s="3" t="s">
        <v>160</v>
      </c>
    </row>
    <row r="34" spans="1:10" x14ac:dyDescent="0.55000000000000004">
      <c r="A34" s="3" t="s">
        <v>51</v>
      </c>
      <c r="B34" s="3" t="s">
        <v>96</v>
      </c>
      <c r="C34" s="3" t="s">
        <v>17</v>
      </c>
      <c r="D34" s="3" t="s">
        <v>28</v>
      </c>
      <c r="E34" s="3">
        <v>0.8</v>
      </c>
      <c r="F34" s="5" t="s">
        <v>19</v>
      </c>
      <c r="G34" s="3">
        <v>0.75</v>
      </c>
      <c r="H34" s="3">
        <f t="shared" si="2"/>
        <v>0.8</v>
      </c>
      <c r="I34" s="3">
        <v>0.85</v>
      </c>
      <c r="J34" s="3" t="s">
        <v>161</v>
      </c>
    </row>
    <row r="35" spans="1:10" x14ac:dyDescent="0.55000000000000004">
      <c r="A35" s="3" t="s">
        <v>14</v>
      </c>
      <c r="B35" s="3" t="s">
        <v>96</v>
      </c>
      <c r="C35" s="3" t="s">
        <v>17</v>
      </c>
      <c r="D35" s="3" t="s">
        <v>28</v>
      </c>
      <c r="E35" s="3">
        <v>0.8</v>
      </c>
      <c r="F35" s="5" t="s">
        <v>13</v>
      </c>
      <c r="G35" s="3">
        <f>E35*0.9</f>
        <v>0.72000000000000008</v>
      </c>
      <c r="I35" s="3">
        <f>E35*1.1</f>
        <v>0.88000000000000012</v>
      </c>
      <c r="J35" s="3" t="s">
        <v>162</v>
      </c>
    </row>
    <row r="36" spans="1:10" x14ac:dyDescent="0.55000000000000004">
      <c r="A36" s="3" t="s">
        <v>21</v>
      </c>
      <c r="B36" s="3" t="s">
        <v>96</v>
      </c>
      <c r="C36" s="3" t="s">
        <v>17</v>
      </c>
      <c r="D36" s="3" t="s">
        <v>28</v>
      </c>
      <c r="E36" s="3">
        <v>0.85</v>
      </c>
      <c r="F36" s="5" t="s">
        <v>13</v>
      </c>
      <c r="G36" s="3">
        <f>E36*0.9</f>
        <v>0.76500000000000001</v>
      </c>
      <c r="I36" s="3">
        <f>E36*1.1</f>
        <v>0.93500000000000005</v>
      </c>
      <c r="J36" s="3" t="s">
        <v>163</v>
      </c>
    </row>
    <row r="37" spans="1:10" x14ac:dyDescent="0.55000000000000004">
      <c r="A37" s="3" t="s">
        <v>92</v>
      </c>
      <c r="B37" s="3" t="s">
        <v>96</v>
      </c>
      <c r="C37" s="3" t="s">
        <v>16</v>
      </c>
      <c r="D37" s="3" t="s">
        <v>85</v>
      </c>
      <c r="E37" s="3">
        <v>0.10945000000000001</v>
      </c>
      <c r="F37" s="5" t="s">
        <v>19</v>
      </c>
      <c r="G37" s="3">
        <f>E37*0.8</f>
        <v>8.7560000000000013E-2</v>
      </c>
      <c r="H37" s="3">
        <v>0.10945000000000001</v>
      </c>
      <c r="I37" s="3">
        <f>E37*1.2</f>
        <v>0.13134000000000001</v>
      </c>
      <c r="J37" s="3" t="s">
        <v>116</v>
      </c>
    </row>
    <row r="38" spans="1:10" x14ac:dyDescent="0.55000000000000004">
      <c r="A38" s="3" t="s">
        <v>94</v>
      </c>
      <c r="B38" s="3" t="s">
        <v>164</v>
      </c>
      <c r="C38" s="3" t="s">
        <v>16</v>
      </c>
      <c r="D38" s="3" t="s">
        <v>95</v>
      </c>
      <c r="E38" s="3">
        <v>0.435</v>
      </c>
      <c r="F38" s="5" t="s">
        <v>19</v>
      </c>
      <c r="G38" s="3">
        <f>E38*0.8</f>
        <v>0.34800000000000003</v>
      </c>
      <c r="H38" s="3">
        <f>E38</f>
        <v>0.435</v>
      </c>
      <c r="I38" s="3">
        <f>E38*1.2</f>
        <v>0.52200000000000002</v>
      </c>
      <c r="J38" s="3" t="s">
        <v>117</v>
      </c>
    </row>
    <row r="39" spans="1:10" x14ac:dyDescent="0.55000000000000004">
      <c r="A39" s="3" t="s">
        <v>52</v>
      </c>
      <c r="B39" s="3" t="s">
        <v>97</v>
      </c>
      <c r="C39" s="3" t="s">
        <v>17</v>
      </c>
      <c r="D39" s="3" t="s">
        <v>28</v>
      </c>
      <c r="E39" s="3">
        <v>0.8</v>
      </c>
      <c r="F39" s="5" t="s">
        <v>13</v>
      </c>
      <c r="G39" s="3">
        <v>0.7</v>
      </c>
      <c r="I39" s="3">
        <v>0.95</v>
      </c>
      <c r="J39" s="3" t="s">
        <v>126</v>
      </c>
    </row>
    <row r="40" spans="1:10" x14ac:dyDescent="0.55000000000000004">
      <c r="A40" s="3" t="s">
        <v>36</v>
      </c>
      <c r="B40" s="3" t="s">
        <v>97</v>
      </c>
      <c r="C40" s="3" t="s">
        <v>16</v>
      </c>
      <c r="D40" s="3" t="s">
        <v>9</v>
      </c>
      <c r="E40" s="3">
        <v>1.44</v>
      </c>
      <c r="F40" s="5" t="s">
        <v>13</v>
      </c>
      <c r="G40" s="3">
        <f t="shared" ref="G40:G54" si="3">E40*0.8</f>
        <v>1.1519999999999999</v>
      </c>
      <c r="I40" s="3">
        <f>1.2*E40</f>
        <v>1.728</v>
      </c>
      <c r="J40" s="3" t="s">
        <v>118</v>
      </c>
    </row>
    <row r="41" spans="1:10" x14ac:dyDescent="0.55000000000000004">
      <c r="A41" s="3" t="s">
        <v>37</v>
      </c>
      <c r="B41" s="3" t="s">
        <v>97</v>
      </c>
      <c r="C41" s="3" t="s">
        <v>16</v>
      </c>
      <c r="D41" s="3" t="s">
        <v>9</v>
      </c>
      <c r="E41" s="3">
        <v>32.485780240073801</v>
      </c>
      <c r="F41" s="5" t="s">
        <v>13</v>
      </c>
      <c r="G41" s="3">
        <f t="shared" si="3"/>
        <v>25.988624192059042</v>
      </c>
      <c r="I41" s="3">
        <f>1.2*E41</f>
        <v>38.98293628808856</v>
      </c>
      <c r="J41" s="3" t="s">
        <v>119</v>
      </c>
    </row>
    <row r="42" spans="1:10" x14ac:dyDescent="0.55000000000000004">
      <c r="A42" s="3" t="s">
        <v>53</v>
      </c>
      <c r="B42" s="3" t="s">
        <v>97</v>
      </c>
      <c r="C42" s="3" t="s">
        <v>17</v>
      </c>
      <c r="D42" s="3" t="s">
        <v>28</v>
      </c>
      <c r="E42" s="3">
        <v>0.6</v>
      </c>
      <c r="F42" s="5" t="s">
        <v>19</v>
      </c>
      <c r="G42" s="3">
        <f t="shared" ref="G42:G47" si="4">E42*0.8</f>
        <v>0.48</v>
      </c>
      <c r="H42" s="3">
        <f t="shared" ref="H42:H49" si="5">E42</f>
        <v>0.6</v>
      </c>
      <c r="I42" s="3">
        <f t="shared" ref="I42:I47" si="6">E42*1.2</f>
        <v>0.72</v>
      </c>
      <c r="J42" s="3" t="s">
        <v>127</v>
      </c>
    </row>
    <row r="43" spans="1:10" x14ac:dyDescent="0.55000000000000004">
      <c r="A43" s="3" t="s">
        <v>54</v>
      </c>
      <c r="B43" s="3" t="s">
        <v>97</v>
      </c>
      <c r="C43" s="3" t="s">
        <v>17</v>
      </c>
      <c r="D43" s="3" t="s">
        <v>28</v>
      </c>
      <c r="E43" s="3">
        <v>0.21</v>
      </c>
      <c r="F43" s="5" t="s">
        <v>19</v>
      </c>
      <c r="G43" s="3">
        <f t="shared" si="4"/>
        <v>0.16800000000000001</v>
      </c>
      <c r="H43" s="3">
        <f t="shared" si="5"/>
        <v>0.21</v>
      </c>
      <c r="I43" s="3">
        <f t="shared" si="6"/>
        <v>0.252</v>
      </c>
      <c r="J43" s="3" t="s">
        <v>128</v>
      </c>
    </row>
    <row r="44" spans="1:10" x14ac:dyDescent="0.55000000000000004">
      <c r="A44" s="3" t="s">
        <v>55</v>
      </c>
      <c r="B44" s="3" t="s">
        <v>97</v>
      </c>
      <c r="C44" s="3" t="s">
        <v>17</v>
      </c>
      <c r="D44" s="3" t="s">
        <v>72</v>
      </c>
      <c r="E44" s="3">
        <v>2.8965517241379302</v>
      </c>
      <c r="F44" s="5" t="s">
        <v>19</v>
      </c>
      <c r="G44" s="3">
        <f t="shared" si="4"/>
        <v>2.3172413793103441</v>
      </c>
      <c r="H44" s="3">
        <f t="shared" si="5"/>
        <v>2.8965517241379302</v>
      </c>
      <c r="I44" s="3">
        <f t="shared" si="6"/>
        <v>3.4758620689655162</v>
      </c>
      <c r="J44" s="3" t="s">
        <v>129</v>
      </c>
    </row>
    <row r="45" spans="1:10" x14ac:dyDescent="0.55000000000000004">
      <c r="A45" s="3" t="s">
        <v>56</v>
      </c>
      <c r="B45" s="3" t="s">
        <v>97</v>
      </c>
      <c r="C45" s="3" t="s">
        <v>17</v>
      </c>
      <c r="D45" s="3" t="s">
        <v>57</v>
      </c>
      <c r="E45" s="3">
        <v>1775</v>
      </c>
      <c r="F45" s="5" t="s">
        <v>19</v>
      </c>
      <c r="G45" s="3">
        <f t="shared" si="4"/>
        <v>1420</v>
      </c>
      <c r="H45" s="3">
        <f t="shared" si="5"/>
        <v>1775</v>
      </c>
      <c r="I45" s="3">
        <f t="shared" si="6"/>
        <v>2130</v>
      </c>
      <c r="J45" s="3" t="s">
        <v>130</v>
      </c>
    </row>
    <row r="46" spans="1:10" x14ac:dyDescent="0.55000000000000004">
      <c r="A46" s="3" t="s">
        <v>58</v>
      </c>
      <c r="B46" s="3" t="s">
        <v>97</v>
      </c>
      <c r="C46" s="3" t="s">
        <v>17</v>
      </c>
      <c r="D46" s="3" t="s">
        <v>73</v>
      </c>
      <c r="E46" s="3">
        <v>7884</v>
      </c>
      <c r="F46" s="5" t="s">
        <v>19</v>
      </c>
      <c r="G46" s="3">
        <f t="shared" si="4"/>
        <v>6307.2000000000007</v>
      </c>
      <c r="H46" s="3">
        <f t="shared" si="5"/>
        <v>7884</v>
      </c>
      <c r="I46" s="3">
        <f t="shared" si="6"/>
        <v>9460.7999999999993</v>
      </c>
      <c r="J46" s="3" t="s">
        <v>131</v>
      </c>
    </row>
    <row r="47" spans="1:10" x14ac:dyDescent="0.55000000000000004">
      <c r="A47" s="3" t="s">
        <v>59</v>
      </c>
      <c r="B47" s="3" t="s">
        <v>97</v>
      </c>
      <c r="C47" s="3" t="s">
        <v>17</v>
      </c>
      <c r="D47" s="3" t="s">
        <v>28</v>
      </c>
      <c r="E47" s="3">
        <v>0.5</v>
      </c>
      <c r="F47" s="5" t="s">
        <v>19</v>
      </c>
      <c r="G47" s="3">
        <f t="shared" si="4"/>
        <v>0.4</v>
      </c>
      <c r="H47" s="3">
        <f t="shared" si="5"/>
        <v>0.5</v>
      </c>
      <c r="I47" s="3">
        <f t="shared" si="6"/>
        <v>0.6</v>
      </c>
      <c r="J47" s="3" t="s">
        <v>132</v>
      </c>
    </row>
    <row r="48" spans="1:10" x14ac:dyDescent="0.55000000000000004">
      <c r="A48" s="3" t="s">
        <v>104</v>
      </c>
      <c r="B48" s="3" t="s">
        <v>97</v>
      </c>
      <c r="C48" s="3" t="s">
        <v>16</v>
      </c>
      <c r="D48" s="3" t="s">
        <v>9</v>
      </c>
      <c r="E48" s="3">
        <v>0.35</v>
      </c>
      <c r="F48" s="5" t="s">
        <v>19</v>
      </c>
      <c r="G48" s="3">
        <v>0.312</v>
      </c>
      <c r="H48" s="3">
        <f t="shared" si="5"/>
        <v>0.35</v>
      </c>
      <c r="I48" s="3">
        <v>0.4</v>
      </c>
      <c r="J48" t="s">
        <v>133</v>
      </c>
    </row>
    <row r="49" spans="1:10" x14ac:dyDescent="0.55000000000000004">
      <c r="A49" s="3" t="s">
        <v>105</v>
      </c>
      <c r="B49" s="3" t="s">
        <v>97</v>
      </c>
      <c r="C49" s="3" t="s">
        <v>16</v>
      </c>
      <c r="D49" s="3" t="s">
        <v>85</v>
      </c>
      <c r="E49" s="3">
        <v>0.57999999999999996</v>
      </c>
      <c r="F49" s="5" t="s">
        <v>19</v>
      </c>
      <c r="G49" s="3">
        <f>E49*0.8</f>
        <v>0.46399999999999997</v>
      </c>
      <c r="H49" s="3">
        <f t="shared" si="5"/>
        <v>0.57999999999999996</v>
      </c>
      <c r="I49" s="3">
        <f>E49*1.2</f>
        <v>0.69599999999999995</v>
      </c>
      <c r="J49" s="3" t="s">
        <v>134</v>
      </c>
    </row>
    <row r="50" spans="1:10" x14ac:dyDescent="0.55000000000000004">
      <c r="A50" s="3" t="s">
        <v>60</v>
      </c>
      <c r="B50" s="3" t="s">
        <v>106</v>
      </c>
      <c r="C50" s="3" t="s">
        <v>16</v>
      </c>
      <c r="D50" s="3" t="s">
        <v>61</v>
      </c>
      <c r="E50" s="3">
        <v>10</v>
      </c>
      <c r="F50" s="5" t="s">
        <v>19</v>
      </c>
      <c r="G50" s="3">
        <f t="shared" si="3"/>
        <v>8</v>
      </c>
      <c r="H50" s="3">
        <f t="shared" ref="H50:H54" si="7">E50</f>
        <v>10</v>
      </c>
      <c r="I50" s="3">
        <f t="shared" ref="I50:I54" si="8">E50*1.2</f>
        <v>12</v>
      </c>
      <c r="J50" s="3" t="s">
        <v>121</v>
      </c>
    </row>
    <row r="51" spans="1:10" x14ac:dyDescent="0.55000000000000004">
      <c r="A51" s="3" t="s">
        <v>63</v>
      </c>
      <c r="B51" s="3" t="s">
        <v>106</v>
      </c>
      <c r="C51" s="3" t="s">
        <v>16</v>
      </c>
      <c r="D51" s="3" t="s">
        <v>28</v>
      </c>
      <c r="E51" s="3">
        <v>1.01</v>
      </c>
      <c r="F51" s="5" t="s">
        <v>19</v>
      </c>
      <c r="G51" s="3">
        <f t="shared" si="3"/>
        <v>0.80800000000000005</v>
      </c>
      <c r="H51" s="3">
        <f t="shared" si="7"/>
        <v>1.01</v>
      </c>
      <c r="I51" s="3">
        <f t="shared" si="8"/>
        <v>1.212</v>
      </c>
      <c r="J51" s="3" t="s">
        <v>122</v>
      </c>
    </row>
    <row r="52" spans="1:10" x14ac:dyDescent="0.55000000000000004">
      <c r="A52" s="3" t="s">
        <v>64</v>
      </c>
      <c r="B52" s="3" t="s">
        <v>106</v>
      </c>
      <c r="C52" s="3" t="s">
        <v>16</v>
      </c>
      <c r="D52" s="3" t="s">
        <v>28</v>
      </c>
      <c r="E52" s="3">
        <v>1.38</v>
      </c>
      <c r="F52" s="5" t="s">
        <v>19</v>
      </c>
      <c r="G52" s="3">
        <f t="shared" si="3"/>
        <v>1.1039999999999999</v>
      </c>
      <c r="H52" s="3">
        <f t="shared" si="7"/>
        <v>1.38</v>
      </c>
      <c r="I52" s="3">
        <f t="shared" si="8"/>
        <v>1.6559999999999999</v>
      </c>
      <c r="J52" s="3" t="s">
        <v>123</v>
      </c>
    </row>
    <row r="53" spans="1:10" x14ac:dyDescent="0.55000000000000004">
      <c r="A53" s="3" t="s">
        <v>65</v>
      </c>
      <c r="B53" s="3" t="s">
        <v>106</v>
      </c>
      <c r="C53" s="3" t="s">
        <v>16</v>
      </c>
      <c r="D53" s="3" t="s">
        <v>28</v>
      </c>
      <c r="E53" s="3">
        <v>1.05</v>
      </c>
      <c r="F53" s="5" t="s">
        <v>19</v>
      </c>
      <c r="G53" s="3">
        <f t="shared" si="3"/>
        <v>0.84000000000000008</v>
      </c>
      <c r="H53" s="3">
        <f t="shared" si="7"/>
        <v>1.05</v>
      </c>
      <c r="I53" s="3">
        <f t="shared" si="8"/>
        <v>1.26</v>
      </c>
      <c r="J53" s="3" t="s">
        <v>124</v>
      </c>
    </row>
    <row r="54" spans="1:10" x14ac:dyDescent="0.55000000000000004">
      <c r="A54" s="3" t="s">
        <v>66</v>
      </c>
      <c r="B54" s="3" t="s">
        <v>106</v>
      </c>
      <c r="C54" s="3" t="s">
        <v>16</v>
      </c>
      <c r="D54" s="3" t="s">
        <v>67</v>
      </c>
      <c r="E54" s="3">
        <f>1208000/500000*24</f>
        <v>57.983999999999995</v>
      </c>
      <c r="F54" s="5" t="s">
        <v>19</v>
      </c>
      <c r="G54" s="3">
        <f t="shared" si="3"/>
        <v>46.3872</v>
      </c>
      <c r="H54" s="3">
        <f t="shared" si="7"/>
        <v>57.983999999999995</v>
      </c>
      <c r="I54" s="3">
        <f t="shared" si="8"/>
        <v>69.580799999999996</v>
      </c>
      <c r="J54" s="3" t="s">
        <v>125</v>
      </c>
    </row>
    <row r="55" spans="1:10" x14ac:dyDescent="0.55000000000000004">
      <c r="A55" s="3" t="s">
        <v>62</v>
      </c>
      <c r="B55" s="3" t="s">
        <v>106</v>
      </c>
      <c r="C55" s="3" t="s">
        <v>16</v>
      </c>
      <c r="D55" s="3" t="s">
        <v>10</v>
      </c>
      <c r="E55" s="3">
        <v>2.5000000000000001E-2</v>
      </c>
      <c r="F55" s="5" t="s">
        <v>19</v>
      </c>
      <c r="G55" s="3">
        <v>1.95E-2</v>
      </c>
      <c r="H55" s="3">
        <f t="shared" ref="H55:H56" si="9">E55</f>
        <v>2.5000000000000001E-2</v>
      </c>
      <c r="I55" s="3">
        <v>2.9499999999999998E-2</v>
      </c>
      <c r="J55" s="3" t="s">
        <v>115</v>
      </c>
    </row>
    <row r="56" spans="1:10" x14ac:dyDescent="0.55000000000000004">
      <c r="A56" s="3" t="s">
        <v>82</v>
      </c>
      <c r="B56" s="3" t="s">
        <v>106</v>
      </c>
      <c r="C56" s="3" t="s">
        <v>16</v>
      </c>
      <c r="D56" s="3" t="s">
        <v>95</v>
      </c>
      <c r="E56" s="3">
        <v>1.0999999999999999E-2</v>
      </c>
      <c r="F56" s="5" t="s">
        <v>19</v>
      </c>
      <c r="G56" s="3">
        <f>E56*0.5</f>
        <v>5.4999999999999997E-3</v>
      </c>
      <c r="H56" s="3">
        <f t="shared" si="9"/>
        <v>1.0999999999999999E-2</v>
      </c>
      <c r="I56" s="3">
        <f>E56*1.5</f>
        <v>1.6500000000000001E-2</v>
      </c>
      <c r="J56" s="3" t="s">
        <v>117</v>
      </c>
    </row>
    <row r="57" spans="1:10" x14ac:dyDescent="0.55000000000000004">
      <c r="A57" s="3" t="s">
        <v>41</v>
      </c>
      <c r="B57" s="3" t="s">
        <v>106</v>
      </c>
      <c r="C57" s="3" t="s">
        <v>16</v>
      </c>
      <c r="D57" s="3" t="s">
        <v>9</v>
      </c>
      <c r="E57" s="3">
        <v>0.23</v>
      </c>
      <c r="F57" s="5" t="s">
        <v>19</v>
      </c>
      <c r="G57" s="3">
        <f>E57*0.8</f>
        <v>0.18400000000000002</v>
      </c>
      <c r="H57" s="3">
        <f>E57</f>
        <v>0.23</v>
      </c>
      <c r="I57" s="3">
        <f>E57*1.2</f>
        <v>0.27600000000000002</v>
      </c>
      <c r="J57" s="3" t="s">
        <v>120</v>
      </c>
    </row>
    <row r="58" spans="1:10" x14ac:dyDescent="0.55000000000000004">
      <c r="A58" s="3" t="s">
        <v>103</v>
      </c>
      <c r="B58" s="3" t="s">
        <v>106</v>
      </c>
      <c r="C58" s="3" t="s">
        <v>16</v>
      </c>
      <c r="D58" s="3" t="s">
        <v>85</v>
      </c>
      <c r="E58" s="3">
        <v>0.1726</v>
      </c>
      <c r="F58" s="5" t="s">
        <v>19</v>
      </c>
      <c r="G58" s="3">
        <f>E58*0.8</f>
        <v>0.13808000000000001</v>
      </c>
      <c r="H58" s="3">
        <f>E58</f>
        <v>0.1726</v>
      </c>
      <c r="I58" s="3">
        <f>E58*1.2</f>
        <v>0.20712</v>
      </c>
      <c r="J58" s="3" t="s">
        <v>135</v>
      </c>
    </row>
    <row r="59" spans="1:10" x14ac:dyDescent="0.55000000000000004">
      <c r="A59" s="3" t="s">
        <v>98</v>
      </c>
      <c r="B59" s="3" t="s">
        <v>107</v>
      </c>
      <c r="C59" s="3" t="s">
        <v>16</v>
      </c>
      <c r="D59" s="3" t="s">
        <v>9</v>
      </c>
      <c r="E59" s="3">
        <f>AVERAGE(G59,I59)</f>
        <v>14.38791618046392</v>
      </c>
      <c r="F59" s="5" t="s">
        <v>13</v>
      </c>
      <c r="G59" s="3">
        <f>12/366.788*351.821</f>
        <v>11.510332944371136</v>
      </c>
      <c r="H59" s="3">
        <f>E59</f>
        <v>14.38791618046392</v>
      </c>
      <c r="I59" s="3">
        <f>18/366.788*351.821</f>
        <v>17.265499416556704</v>
      </c>
      <c r="J59" s="3" t="s">
        <v>137</v>
      </c>
    </row>
    <row r="60" spans="1:10" x14ac:dyDescent="0.55000000000000004">
      <c r="A60" s="3" t="s">
        <v>99</v>
      </c>
      <c r="B60" s="3" t="s">
        <v>107</v>
      </c>
      <c r="C60" s="3" t="s">
        <v>16</v>
      </c>
      <c r="D60" s="3" t="s">
        <v>85</v>
      </c>
      <c r="E60" s="3">
        <f t="shared" ref="E60:E64" si="10">AVERAGE(G60,I60)</f>
        <v>3.5395399199999993</v>
      </c>
      <c r="F60" s="5" t="s">
        <v>13</v>
      </c>
      <c r="G60" s="3">
        <f>3.24*0.134481</f>
        <v>0.43571843999999998</v>
      </c>
      <c r="H60" s="3">
        <f t="shared" ref="H60:H64" si="11">E60</f>
        <v>3.5395399199999993</v>
      </c>
      <c r="I60" s="3">
        <f>49.4*0.134481</f>
        <v>6.643361399999999</v>
      </c>
      <c r="J60" s="3" t="s">
        <v>136</v>
      </c>
    </row>
    <row r="61" spans="1:10" x14ac:dyDescent="0.55000000000000004">
      <c r="A61" s="3" t="s">
        <v>100</v>
      </c>
      <c r="B61" s="3" t="s">
        <v>108</v>
      </c>
      <c r="C61" s="3" t="s">
        <v>16</v>
      </c>
      <c r="D61" s="3" t="s">
        <v>9</v>
      </c>
      <c r="E61" s="3">
        <f t="shared" si="10"/>
        <v>10.93481629715258</v>
      </c>
      <c r="F61" s="5" t="s">
        <v>13</v>
      </c>
      <c r="G61" s="3">
        <f>9.4/366.788*351.821</f>
        <v>9.0164274730907241</v>
      </c>
      <c r="H61" s="3">
        <f t="shared" si="11"/>
        <v>10.93481629715258</v>
      </c>
      <c r="I61" s="3">
        <f>13.4/366.788*351.821</f>
        <v>12.853205121214435</v>
      </c>
      <c r="J61" s="3" t="s">
        <v>137</v>
      </c>
    </row>
    <row r="62" spans="1:10" x14ac:dyDescent="0.55000000000000004">
      <c r="A62" s="3" t="s">
        <v>101</v>
      </c>
      <c r="B62" s="3" t="s">
        <v>108</v>
      </c>
      <c r="C62" s="3" t="s">
        <v>16</v>
      </c>
      <c r="D62" s="3" t="s">
        <v>85</v>
      </c>
      <c r="E62" s="3">
        <f t="shared" si="10"/>
        <v>8.203341</v>
      </c>
      <c r="F62" s="5" t="s">
        <v>13</v>
      </c>
      <c r="G62" s="3">
        <f>43.6*0.134481</f>
        <v>5.8633715999999998</v>
      </c>
      <c r="H62" s="3">
        <f t="shared" si="11"/>
        <v>8.203341</v>
      </c>
      <c r="I62" s="3">
        <f>78.4*0.134481</f>
        <v>10.543310399999999</v>
      </c>
      <c r="J62" s="3" t="s">
        <v>136</v>
      </c>
    </row>
    <row r="63" spans="1:10" x14ac:dyDescent="0.55000000000000004">
      <c r="A63" s="3" t="s">
        <v>102</v>
      </c>
      <c r="B63" s="3" t="s">
        <v>109</v>
      </c>
      <c r="C63" s="3" t="s">
        <v>16</v>
      </c>
      <c r="D63" s="3" t="s">
        <v>9</v>
      </c>
      <c r="E63" s="3">
        <f t="shared" si="10"/>
        <v>9.7837830027154649</v>
      </c>
      <c r="F63" s="5" t="s">
        <v>13</v>
      </c>
      <c r="G63" s="3">
        <f>8.2/366.788*351.821</f>
        <v>7.8653941786536095</v>
      </c>
      <c r="H63" s="3">
        <f t="shared" si="11"/>
        <v>9.7837830027154649</v>
      </c>
      <c r="I63" s="3">
        <f>12.2/366.788*351.821</f>
        <v>11.70217182677732</v>
      </c>
      <c r="J63" s="3" t="s">
        <v>137</v>
      </c>
    </row>
    <row r="64" spans="1:10" x14ac:dyDescent="0.55000000000000004">
      <c r="A64" s="3" t="s">
        <v>110</v>
      </c>
      <c r="B64" s="3" t="s">
        <v>109</v>
      </c>
      <c r="C64" s="3" t="s">
        <v>16</v>
      </c>
      <c r="D64" s="3" t="s">
        <v>85</v>
      </c>
      <c r="E64" s="3">
        <f t="shared" si="10"/>
        <v>15.384626399999998</v>
      </c>
      <c r="F64" s="5" t="s">
        <v>13</v>
      </c>
      <c r="G64" s="3">
        <f>96.8*0.134481</f>
        <v>13.017760799999998</v>
      </c>
      <c r="H64" s="3">
        <f t="shared" si="11"/>
        <v>15.384626399999998</v>
      </c>
      <c r="I64" s="3">
        <f>132*0.134481</f>
        <v>17.751491999999999</v>
      </c>
      <c r="J64" s="3" t="s">
        <v>136</v>
      </c>
    </row>
    <row r="83" spans="2:2" x14ac:dyDescent="0.55000000000000004">
      <c r="B83" s="6"/>
    </row>
    <row r="84" spans="2:2" x14ac:dyDescent="0.55000000000000004">
      <c r="B84" s="6"/>
    </row>
    <row r="85" spans="2:2" x14ac:dyDescent="0.55000000000000004">
      <c r="B85" s="6"/>
    </row>
    <row r="86" spans="2:2" x14ac:dyDescent="0.55000000000000004">
      <c r="B86" s="6"/>
    </row>
    <row r="87" spans="2:2" x14ac:dyDescent="0.55000000000000004">
      <c r="B87" s="6"/>
    </row>
    <row r="88" spans="2:2" x14ac:dyDescent="0.55000000000000004">
      <c r="B88" s="6"/>
    </row>
    <row r="89" spans="2:2" x14ac:dyDescent="0.55000000000000004">
      <c r="B89" s="6"/>
    </row>
    <row r="91" spans="2:2" x14ac:dyDescent="0.55000000000000004">
      <c r="B91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859E-26FF-493A-ADD0-B19E8A180D54}">
  <dimension ref="A1:K7"/>
  <sheetViews>
    <sheetView workbookViewId="0">
      <selection activeCell="K1" sqref="K1:K5"/>
    </sheetView>
  </sheetViews>
  <sheetFormatPr defaultRowHeight="14.4" x14ac:dyDescent="0.55000000000000004"/>
  <cols>
    <col min="1" max="1" width="24.734375" bestFit="1" customWidth="1"/>
  </cols>
  <sheetData>
    <row r="1" spans="1:11" x14ac:dyDescent="0.55000000000000004">
      <c r="A1" s="3" t="s">
        <v>70</v>
      </c>
      <c r="B1" s="3" t="s">
        <v>68</v>
      </c>
      <c r="C1" s="3" t="s">
        <v>17</v>
      </c>
      <c r="D1" s="3" t="s">
        <v>71</v>
      </c>
      <c r="E1" s="3">
        <f>2000000/24</f>
        <v>83333.333333333328</v>
      </c>
      <c r="F1" s="3" t="s">
        <v>19</v>
      </c>
      <c r="G1" s="3">
        <f>E1*0.8</f>
        <v>66666.666666666672</v>
      </c>
      <c r="H1" s="3">
        <f>E1</f>
        <v>83333.333333333328</v>
      </c>
      <c r="I1" s="3">
        <f>E1*1.2</f>
        <v>99999.999999999985</v>
      </c>
      <c r="J1" s="3"/>
      <c r="K1" s="3" t="s">
        <v>77</v>
      </c>
    </row>
    <row r="2" spans="1:11" x14ac:dyDescent="0.55000000000000004">
      <c r="A2" s="3" t="s">
        <v>69</v>
      </c>
      <c r="B2" s="3" t="s">
        <v>68</v>
      </c>
      <c r="C2" s="3" t="s">
        <v>17</v>
      </c>
      <c r="D2" s="3" t="s">
        <v>28</v>
      </c>
      <c r="E2" s="3">
        <v>0.2</v>
      </c>
      <c r="F2" s="3" t="s">
        <v>19</v>
      </c>
      <c r="G2" s="3">
        <v>0.1</v>
      </c>
      <c r="H2" s="3">
        <f>E2</f>
        <v>0.2</v>
      </c>
      <c r="I2" s="3">
        <v>0.3</v>
      </c>
      <c r="J2" s="3"/>
      <c r="K2" s="3" t="s">
        <v>78</v>
      </c>
    </row>
    <row r="3" spans="1:11" x14ac:dyDescent="0.55000000000000004">
      <c r="A3" s="3" t="s">
        <v>74</v>
      </c>
      <c r="B3" s="3" t="s">
        <v>68</v>
      </c>
      <c r="C3" s="3" t="s">
        <v>17</v>
      </c>
      <c r="D3" s="3" t="s">
        <v>28</v>
      </c>
      <c r="E3" s="3">
        <v>0.58426199999999995</v>
      </c>
      <c r="F3" s="3" t="s">
        <v>19</v>
      </c>
      <c r="G3" s="3">
        <v>0.55000000000000004</v>
      </c>
      <c r="H3" s="3">
        <v>0.6</v>
      </c>
      <c r="I3" s="3">
        <v>0.75</v>
      </c>
      <c r="J3" s="3"/>
      <c r="K3" s="3" t="s">
        <v>79</v>
      </c>
    </row>
    <row r="4" spans="1:11" x14ac:dyDescent="0.55000000000000004">
      <c r="A4" s="3" t="s">
        <v>75</v>
      </c>
      <c r="B4" s="3" t="s">
        <v>68</v>
      </c>
      <c r="C4" s="3" t="s">
        <v>17</v>
      </c>
      <c r="D4" s="3" t="s">
        <v>28</v>
      </c>
      <c r="E4" s="3">
        <v>0.60709999999999997</v>
      </c>
      <c r="F4" s="3" t="s">
        <v>13</v>
      </c>
      <c r="G4" s="3">
        <v>0.5</v>
      </c>
      <c r="H4" s="3"/>
      <c r="I4" s="3">
        <v>0.6</v>
      </c>
      <c r="J4" s="3"/>
      <c r="K4" s="3" t="s">
        <v>80</v>
      </c>
    </row>
    <row r="5" spans="1:11" x14ac:dyDescent="0.55000000000000004">
      <c r="A5" s="3" t="s">
        <v>76</v>
      </c>
      <c r="B5" s="3" t="s">
        <v>68</v>
      </c>
      <c r="C5" s="3" t="s">
        <v>17</v>
      </c>
      <c r="D5" s="3" t="s">
        <v>28</v>
      </c>
      <c r="E5" s="3">
        <v>1.9</v>
      </c>
      <c r="F5" s="3" t="s">
        <v>19</v>
      </c>
      <c r="G5" s="3">
        <v>1.45</v>
      </c>
      <c r="H5" s="3">
        <v>1.9</v>
      </c>
      <c r="I5" s="3">
        <v>2.2200000000000002</v>
      </c>
      <c r="J5" s="3"/>
      <c r="K5" s="3" t="s">
        <v>81</v>
      </c>
    </row>
    <row r="6" spans="1:11" x14ac:dyDescent="0.55000000000000004">
      <c r="A6" s="3" t="s">
        <v>29</v>
      </c>
      <c r="B6" s="3" t="s">
        <v>7</v>
      </c>
      <c r="C6" s="3" t="s">
        <v>16</v>
      </c>
      <c r="D6" s="3" t="s">
        <v>9</v>
      </c>
      <c r="E6" s="3">
        <f>0.62/0.747561512219763</f>
        <v>0.82936318933676811</v>
      </c>
      <c r="F6" s="3" t="s">
        <v>19</v>
      </c>
      <c r="G6" s="3">
        <f>0.409/0.747561512219763</f>
        <v>0.54711216844957766</v>
      </c>
      <c r="H6" s="3">
        <f>E6</f>
        <v>0.82936318933676811</v>
      </c>
      <c r="I6" s="3">
        <f>0.866/0.747561512219763</f>
        <v>1.1584330999445827</v>
      </c>
      <c r="J6" s="3"/>
      <c r="K6" s="3" t="s">
        <v>91</v>
      </c>
    </row>
    <row r="7" spans="1:11" x14ac:dyDescent="0.55000000000000004">
      <c r="A7" s="3" t="s">
        <v>84</v>
      </c>
      <c r="B7" s="3" t="s">
        <v>83</v>
      </c>
      <c r="C7" s="3" t="s">
        <v>16</v>
      </c>
      <c r="D7" s="3" t="s">
        <v>85</v>
      </c>
      <c r="E7" s="3">
        <v>0.40400000000000003</v>
      </c>
      <c r="F7" s="3" t="s">
        <v>13</v>
      </c>
      <c r="G7" s="3">
        <f>E7</f>
        <v>0.40400000000000003</v>
      </c>
      <c r="H7" s="3"/>
      <c r="I7" s="3">
        <v>1.05</v>
      </c>
      <c r="J7" s="3"/>
      <c r="K7" s="3" t="s">
        <v>86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Guo, Wenjun</cp:lastModifiedBy>
  <dcterms:created xsi:type="dcterms:W3CDTF">2015-06-05T18:17:20Z</dcterms:created>
  <dcterms:modified xsi:type="dcterms:W3CDTF">2025-07-23T14:26:37Z</dcterms:modified>
</cp:coreProperties>
</file>