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6FA508-2C49-46A7-9CA4-FEA3002B7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5" r:id="rId1"/>
    <sheet name="DCF" sheetId="2" r:id="rId2"/>
    <sheet name="WACC" sheetId="6" r:id="rId3"/>
    <sheet name="Supporting Schedules" sheetId="3" r:id="rId4"/>
    <sheet name="IS" sheetId="14" r:id="rId5"/>
    <sheet name="BS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C42" i="2" l="1"/>
  <c r="H7" i="2"/>
  <c r="I7" i="2"/>
  <c r="J7" i="2" s="1"/>
  <c r="G7" i="2"/>
  <c r="F7" i="2"/>
  <c r="D25" i="2"/>
  <c r="E25" i="2"/>
  <c r="H42" i="2"/>
  <c r="G42" i="2" s="1"/>
  <c r="C47" i="2"/>
  <c r="C46" i="2"/>
  <c r="C16" i="6"/>
  <c r="C9" i="6"/>
  <c r="C15" i="6"/>
  <c r="C8" i="6"/>
  <c r="C3" i="6"/>
  <c r="C4" i="6"/>
  <c r="C18" i="3"/>
  <c r="C21" i="3" s="1"/>
  <c r="C17" i="3"/>
  <c r="C27" i="3" s="1"/>
  <c r="D13" i="14"/>
  <c r="C13" i="2" s="1"/>
  <c r="D18" i="3" s="1"/>
  <c r="C22" i="2"/>
  <c r="C20" i="2"/>
  <c r="C24" i="2" s="1"/>
  <c r="C16" i="2"/>
  <c r="C12" i="2"/>
  <c r="D17" i="3" s="1"/>
  <c r="D20" i="3" s="1"/>
  <c r="C31" i="3"/>
  <c r="C32" i="3"/>
  <c r="C33" i="3" s="1"/>
  <c r="C35" i="3"/>
  <c r="C40" i="3" s="1"/>
  <c r="C36" i="3"/>
  <c r="C37" i="3"/>
  <c r="C38" i="3"/>
  <c r="C39" i="3"/>
  <c r="D37" i="3"/>
  <c r="E37" i="3"/>
  <c r="F37" i="3"/>
  <c r="D36" i="3"/>
  <c r="E36" i="3"/>
  <c r="F36" i="3"/>
  <c r="D38" i="3"/>
  <c r="E38" i="3"/>
  <c r="F38" i="3"/>
  <c r="D39" i="3"/>
  <c r="E39" i="3"/>
  <c r="F39" i="3"/>
  <c r="D35" i="3"/>
  <c r="E35" i="3"/>
  <c r="F35" i="3"/>
  <c r="D32" i="3"/>
  <c r="E32" i="3"/>
  <c r="F32" i="3"/>
  <c r="D31" i="3"/>
  <c r="E31" i="3"/>
  <c r="F31" i="3"/>
  <c r="D12" i="3"/>
  <c r="E12" i="3"/>
  <c r="F9" i="3" s="1"/>
  <c r="C12" i="3"/>
  <c r="C9" i="3"/>
  <c r="D9" i="3"/>
  <c r="E9" i="3"/>
  <c r="D20" i="2"/>
  <c r="F15" i="14"/>
  <c r="F13" i="14" s="1"/>
  <c r="E13" i="2" s="1"/>
  <c r="F18" i="3" s="1"/>
  <c r="E13" i="14"/>
  <c r="D13" i="2" s="1"/>
  <c r="E18" i="3" s="1"/>
  <c r="C13" i="14"/>
  <c r="D22" i="2"/>
  <c r="E22" i="2"/>
  <c r="C17" i="2"/>
  <c r="D16" i="2"/>
  <c r="E16" i="2"/>
  <c r="D17" i="2"/>
  <c r="C18" i="2" s="1"/>
  <c r="E17" i="2"/>
  <c r="D12" i="2"/>
  <c r="E17" i="3" s="1"/>
  <c r="E12" i="2"/>
  <c r="F17" i="3" s="1"/>
  <c r="B41" i="13"/>
  <c r="B34" i="13"/>
  <c r="B42" i="13" s="1"/>
  <c r="B30" i="13"/>
  <c r="B14" i="13"/>
  <c r="B21" i="13" s="1"/>
  <c r="C10" i="15"/>
  <c r="C7" i="15"/>
  <c r="C13" i="6"/>
  <c r="J2" i="2"/>
  <c r="I2" i="2"/>
  <c r="H2" i="2"/>
  <c r="G2" i="2"/>
  <c r="F2" i="2"/>
  <c r="E2" i="2"/>
  <c r="D2" i="2"/>
  <c r="C2" i="2"/>
  <c r="B2" i="2"/>
  <c r="D24" i="2"/>
  <c r="J42" i="2" l="1"/>
  <c r="K42" i="2" s="1"/>
  <c r="C7" i="2"/>
  <c r="E20" i="2"/>
  <c r="E24" i="2" s="1"/>
  <c r="C20" i="3"/>
  <c r="C23" i="3"/>
  <c r="C24" i="3"/>
  <c r="C18" i="6"/>
  <c r="E23" i="3"/>
  <c r="F23" i="3"/>
  <c r="F24" i="3"/>
  <c r="D23" i="3"/>
  <c r="D24" i="3"/>
  <c r="F21" i="3"/>
  <c r="F25" i="3"/>
  <c r="E21" i="3"/>
  <c r="D21" i="3"/>
  <c r="D25" i="3"/>
  <c r="F27" i="3"/>
  <c r="E27" i="3"/>
  <c r="D27" i="3"/>
  <c r="G27" i="3" s="1"/>
  <c r="F20" i="3"/>
  <c r="F26" i="3"/>
  <c r="C25" i="3"/>
  <c r="C26" i="3"/>
  <c r="E25" i="3"/>
  <c r="E20" i="3"/>
  <c r="E26" i="3"/>
  <c r="D26" i="3"/>
  <c r="E24" i="3"/>
  <c r="F11" i="3"/>
  <c r="F25" i="2" s="1"/>
  <c r="D40" i="3"/>
  <c r="C29" i="2" s="1"/>
  <c r="E40" i="3"/>
  <c r="D29" i="2" s="1"/>
  <c r="F40" i="3"/>
  <c r="E29" i="2" s="1"/>
  <c r="E33" i="3"/>
  <c r="D28" i="2" s="1"/>
  <c r="D33" i="3"/>
  <c r="C28" i="2" s="1"/>
  <c r="C27" i="2" s="1"/>
  <c r="F33" i="3"/>
  <c r="E28" i="2" s="1"/>
  <c r="D7" i="2"/>
  <c r="E7" i="2"/>
  <c r="E18" i="2"/>
  <c r="D18" i="2"/>
  <c r="F12" i="2"/>
  <c r="C6" i="2"/>
  <c r="D14" i="2"/>
  <c r="E5" i="2"/>
  <c r="C10" i="3"/>
  <c r="C4" i="3" s="1"/>
  <c r="E14" i="2"/>
  <c r="D10" i="3"/>
  <c r="D11" i="3" s="1"/>
  <c r="E6" i="2"/>
  <c r="D3" i="2"/>
  <c r="E3" i="2"/>
  <c r="C5" i="2"/>
  <c r="D5" i="2"/>
  <c r="C14" i="2"/>
  <c r="D6" i="2"/>
  <c r="E10" i="3"/>
  <c r="E4" i="3" s="1"/>
  <c r="F46" i="2" l="1"/>
  <c r="F47" i="2" s="1"/>
  <c r="F44" i="2"/>
  <c r="F43" i="2" s="1"/>
  <c r="G20" i="3"/>
  <c r="G25" i="3"/>
  <c r="G26" i="3"/>
  <c r="H26" i="3" s="1"/>
  <c r="I26" i="3" s="1"/>
  <c r="J26" i="3" s="1"/>
  <c r="K26" i="3" s="1"/>
  <c r="G21" i="3"/>
  <c r="H21" i="3" s="1"/>
  <c r="I21" i="3" s="1"/>
  <c r="G24" i="3"/>
  <c r="H24" i="3" s="1"/>
  <c r="I24" i="3" s="1"/>
  <c r="J24" i="3" s="1"/>
  <c r="K24" i="3" s="1"/>
  <c r="G23" i="3"/>
  <c r="H23" i="3" s="1"/>
  <c r="I23" i="3" s="1"/>
  <c r="J23" i="3" s="1"/>
  <c r="K23" i="3" s="1"/>
  <c r="H27" i="3"/>
  <c r="I27" i="3" s="1"/>
  <c r="J27" i="3" s="1"/>
  <c r="K27" i="3" s="1"/>
  <c r="H25" i="3"/>
  <c r="I25" i="3" s="1"/>
  <c r="J25" i="3" s="1"/>
  <c r="K25" i="3" s="1"/>
  <c r="D19" i="2"/>
  <c r="D21" i="2" s="1"/>
  <c r="D23" i="2" s="1"/>
  <c r="F17" i="2"/>
  <c r="G17" i="3"/>
  <c r="H20" i="3"/>
  <c r="D27" i="2"/>
  <c r="D26" i="2" s="1"/>
  <c r="E27" i="2"/>
  <c r="G12" i="2"/>
  <c r="D4" i="3"/>
  <c r="F4" i="3" s="1"/>
  <c r="C11" i="3"/>
  <c r="C25" i="2" s="1"/>
  <c r="F6" i="2"/>
  <c r="F5" i="2"/>
  <c r="C19" i="2"/>
  <c r="C21" i="2" s="1"/>
  <c r="C23" i="2" s="1"/>
  <c r="E19" i="2"/>
  <c r="E21" i="2" s="1"/>
  <c r="E8" i="2" s="1"/>
  <c r="D8" i="2"/>
  <c r="C26" i="2"/>
  <c r="E11" i="3"/>
  <c r="D5" i="3"/>
  <c r="G31" i="3" l="1"/>
  <c r="G39" i="3"/>
  <c r="G36" i="3"/>
  <c r="G32" i="3"/>
  <c r="G37" i="3"/>
  <c r="G38" i="3"/>
  <c r="G17" i="2"/>
  <c r="H17" i="3"/>
  <c r="H31" i="3" s="1"/>
  <c r="J21" i="3"/>
  <c r="I20" i="3"/>
  <c r="D30" i="2"/>
  <c r="D34" i="2" s="1"/>
  <c r="E26" i="2"/>
  <c r="C5" i="3"/>
  <c r="G4" i="3"/>
  <c r="F10" i="3"/>
  <c r="G6" i="2"/>
  <c r="F16" i="2"/>
  <c r="F18" i="2" s="1"/>
  <c r="C30" i="2"/>
  <c r="C34" i="2" s="1"/>
  <c r="G5" i="2"/>
  <c r="F13" i="2"/>
  <c r="G18" i="3" s="1"/>
  <c r="G35" i="3" s="1"/>
  <c r="G40" i="3" s="1"/>
  <c r="F29" i="2" s="1"/>
  <c r="E23" i="2"/>
  <c r="E30" i="2" s="1"/>
  <c r="E34" i="2" s="1"/>
  <c r="H12" i="2"/>
  <c r="E5" i="3"/>
  <c r="C8" i="2"/>
  <c r="H38" i="3" l="1"/>
  <c r="H32" i="3"/>
  <c r="H33" i="3" s="1"/>
  <c r="G28" i="2" s="1"/>
  <c r="H36" i="3"/>
  <c r="H39" i="3"/>
  <c r="H37" i="3"/>
  <c r="G33" i="3"/>
  <c r="F28" i="2" s="1"/>
  <c r="F27" i="2" s="1"/>
  <c r="F26" i="2" s="1"/>
  <c r="H17" i="2"/>
  <c r="I17" i="3"/>
  <c r="I31" i="3" s="1"/>
  <c r="J20" i="3"/>
  <c r="K21" i="3"/>
  <c r="F20" i="2"/>
  <c r="F24" i="2" s="1"/>
  <c r="F12" i="3"/>
  <c r="G9" i="3" s="1"/>
  <c r="G11" i="3" s="1"/>
  <c r="G25" i="2" s="1"/>
  <c r="H4" i="3"/>
  <c r="H6" i="2"/>
  <c r="G16" i="2"/>
  <c r="G18" i="2" s="1"/>
  <c r="I12" i="2"/>
  <c r="F14" i="2"/>
  <c r="F19" i="2" s="1"/>
  <c r="H5" i="2"/>
  <c r="G13" i="2"/>
  <c r="H18" i="3" s="1"/>
  <c r="H35" i="3" s="1"/>
  <c r="H40" i="3" s="1"/>
  <c r="G29" i="2" s="1"/>
  <c r="G27" i="2" l="1"/>
  <c r="G26" i="2" s="1"/>
  <c r="I38" i="3"/>
  <c r="I32" i="3"/>
  <c r="I36" i="3"/>
  <c r="I39" i="3"/>
  <c r="I37" i="3"/>
  <c r="I33" i="3"/>
  <c r="H28" i="2" s="1"/>
  <c r="I17" i="2"/>
  <c r="J17" i="3"/>
  <c r="J31" i="3" s="1"/>
  <c r="F21" i="2"/>
  <c r="F22" i="2" s="1"/>
  <c r="F23" i="2" s="1"/>
  <c r="F30" i="2" s="1"/>
  <c r="F34" i="2" s="1"/>
  <c r="F37" i="2" s="1"/>
  <c r="G10" i="3"/>
  <c r="G20" i="2" s="1"/>
  <c r="G24" i="2" s="1"/>
  <c r="K20" i="3"/>
  <c r="I4" i="3"/>
  <c r="I6" i="2"/>
  <c r="H16" i="2"/>
  <c r="H18" i="2" s="1"/>
  <c r="G14" i="2"/>
  <c r="G19" i="2" s="1"/>
  <c r="I5" i="2"/>
  <c r="H13" i="2"/>
  <c r="I18" i="3" s="1"/>
  <c r="I35" i="3" s="1"/>
  <c r="I40" i="3" s="1"/>
  <c r="H29" i="2" s="1"/>
  <c r="J12" i="2"/>
  <c r="G12" i="3" l="1"/>
  <c r="H9" i="3" s="1"/>
  <c r="H11" i="3" s="1"/>
  <c r="H25" i="2" s="1"/>
  <c r="J37" i="3"/>
  <c r="J38" i="3"/>
  <c r="J32" i="3"/>
  <c r="J33" i="3" s="1"/>
  <c r="I28" i="2" s="1"/>
  <c r="J36" i="3"/>
  <c r="J39" i="3"/>
  <c r="H27" i="2"/>
  <c r="H26" i="2" s="1"/>
  <c r="J17" i="2"/>
  <c r="K17" i="3"/>
  <c r="K31" i="3" s="1"/>
  <c r="G21" i="2"/>
  <c r="G22" i="2" s="1"/>
  <c r="G23" i="2" s="1"/>
  <c r="G30" i="2" s="1"/>
  <c r="G34" i="2" s="1"/>
  <c r="G37" i="2" s="1"/>
  <c r="J4" i="3"/>
  <c r="J6" i="2"/>
  <c r="J16" i="2" s="1"/>
  <c r="I16" i="2"/>
  <c r="I18" i="2" s="1"/>
  <c r="J5" i="2"/>
  <c r="J13" i="2" s="1"/>
  <c r="K18" i="3" s="1"/>
  <c r="K35" i="3" s="1"/>
  <c r="I13" i="2"/>
  <c r="J18" i="3" s="1"/>
  <c r="J35" i="3" s="1"/>
  <c r="H14" i="2"/>
  <c r="H19" i="2" s="1"/>
  <c r="H10" i="3" l="1"/>
  <c r="H12" i="3" s="1"/>
  <c r="I9" i="3" s="1"/>
  <c r="J40" i="3"/>
  <c r="I29" i="2" s="1"/>
  <c r="I27" i="2" s="1"/>
  <c r="I26" i="2" s="1"/>
  <c r="K37" i="3"/>
  <c r="K38" i="3"/>
  <c r="K32" i="3"/>
  <c r="K36" i="3"/>
  <c r="K39" i="3"/>
  <c r="K40" i="3" s="1"/>
  <c r="J29" i="2" s="1"/>
  <c r="K33" i="3"/>
  <c r="J28" i="2" s="1"/>
  <c r="J18" i="2"/>
  <c r="H20" i="2"/>
  <c r="H24" i="2" s="1"/>
  <c r="I14" i="2"/>
  <c r="I19" i="2" s="1"/>
  <c r="J14" i="2"/>
  <c r="J27" i="2" l="1"/>
  <c r="J26" i="2" s="1"/>
  <c r="J19" i="2"/>
  <c r="I11" i="3"/>
  <c r="I25" i="2" s="1"/>
  <c r="I10" i="3"/>
  <c r="H21" i="2"/>
  <c r="H22" i="2" s="1"/>
  <c r="H23" i="2" s="1"/>
  <c r="H30" i="2" s="1"/>
  <c r="H34" i="2" s="1"/>
  <c r="H37" i="2" s="1"/>
  <c r="I12" i="3" l="1"/>
  <c r="J9" i="3" s="1"/>
  <c r="I20" i="2"/>
  <c r="I24" i="2" l="1"/>
  <c r="I21" i="2"/>
  <c r="I22" i="2" s="1"/>
  <c r="I23" i="2" s="1"/>
  <c r="J11" i="3"/>
  <c r="J25" i="2" s="1"/>
  <c r="J10" i="3"/>
  <c r="J20" i="2" s="1"/>
  <c r="I30" i="2" l="1"/>
  <c r="I34" i="2" s="1"/>
  <c r="I37" i="2" s="1"/>
  <c r="J24" i="2"/>
  <c r="J21" i="2"/>
  <c r="J22" i="2" s="1"/>
  <c r="J23" i="2" s="1"/>
  <c r="J12" i="3"/>
  <c r="J30" i="2" l="1"/>
  <c r="J34" i="2" s="1"/>
  <c r="C43" i="2" l="1"/>
  <c r="C44" i="2" s="1"/>
  <c r="J37" i="2"/>
  <c r="C40" i="2" s="1"/>
  <c r="C45" i="2" l="1"/>
  <c r="C49" i="2" s="1"/>
  <c r="C51" i="2" s="1"/>
  <c r="F42" i="2" s="1"/>
  <c r="C3" i="15" l="1"/>
  <c r="I3" i="15" s="1"/>
</calcChain>
</file>

<file path=xl/sharedStrings.xml><?xml version="1.0" encoding="utf-8"?>
<sst xmlns="http://schemas.openxmlformats.org/spreadsheetml/2006/main" count="300" uniqueCount="244">
  <si>
    <t>Unlevered Free Cash Flow (mm)</t>
  </si>
  <si>
    <t>Fiscal Year</t>
  </si>
  <si>
    <t>Revenue</t>
  </si>
  <si>
    <t>COGS</t>
  </si>
  <si>
    <t>Gross Profit</t>
  </si>
  <si>
    <t>Operating Expenses</t>
  </si>
  <si>
    <t>Total Operating Expenses</t>
  </si>
  <si>
    <t>EBITDA</t>
  </si>
  <si>
    <t>Depreciation &amp; Amortization</t>
  </si>
  <si>
    <t>Operating Profit (EBIT)</t>
  </si>
  <si>
    <t>Operating Taxes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</si>
  <si>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</si>
  <si>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</si>
  <si>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</si>
  <si>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</si>
  <si>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</si>
  <si>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</si>
  <si>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</si>
  <si>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</si>
  <si>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</si>
  <si>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</si>
  <si>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</si>
  <si>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</si>
  <si>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</si>
  <si>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</si>
  <si>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</si>
  <si>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</si>
  <si>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</si>
  <si>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</si>
  <si>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</si>
  <si>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</si>
  <si>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</si>
  <si>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Other Current Assets</t>
  </si>
  <si>
    <t>Accounts Payable</t>
  </si>
  <si>
    <t>Accrued Salaries and Benefits</t>
  </si>
  <si>
    <t>Days Sales Outstanding (DSO)</t>
  </si>
  <si>
    <t>Days Payable Outstanding (DPO)</t>
  </si>
  <si>
    <t>Other Current Assets as a % of Revenue</t>
  </si>
  <si>
    <t>Accrued Salaries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</si>
  <si>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</si>
  <si>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</si>
  <si>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</si>
  <si>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</si>
  <si>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</si>
  <si>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</si>
  <si>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</si>
  <si>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</si>
  <si>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</si>
  <si>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</si>
  <si>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</si>
  <si>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</si>
  <si>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</si>
  <si>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</si>
  <si>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</si>
  <si>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</si>
  <si>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</si>
  <si>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</si>
  <si>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</si>
  <si>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</si>
  <si>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</si>
  <si>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</si>
  <si>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</si>
  <si>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</si>
  <si>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</si>
  <si>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</si>
  <si>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</si>
  <si>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E/(D+E)</t>
  </si>
  <si>
    <t>Cost of Equity</t>
  </si>
  <si>
    <t>Total revenue</t>
  </si>
  <si>
    <t>Cash and cash equivalents</t>
  </si>
  <si>
    <t>Total current assets</t>
  </si>
  <si>
    <t>Operating lease right-of-use assets</t>
  </si>
  <si>
    <t>Accounts payable</t>
  </si>
  <si>
    <t>Total current liabilities</t>
  </si>
  <si>
    <t>Total liabilities</t>
  </si>
  <si>
    <t>Additional paid-in capital</t>
  </si>
  <si>
    <t>Retained earnings</t>
  </si>
  <si>
    <t xml:space="preserve">NOPAT </t>
  </si>
  <si>
    <t>Number</t>
  </si>
  <si>
    <t>Filed</t>
  </si>
  <si>
    <t>Issued</t>
  </si>
  <si>
    <t>Entity</t>
  </si>
  <si>
    <t>Inventors</t>
  </si>
  <si>
    <t>Relevance</t>
  </si>
  <si>
    <t>Title</t>
  </si>
  <si>
    <t>FACEBOOK TECHNOLOGIES, LLC (Menlo Park, CA)</t>
  </si>
  <si>
    <t>Satpathy; Sudhir (Redmond, WA), Powiertowski; Wojciech Stefan (Kirkland, WA), Modadugu; Nagendra Gupta (San Francisco, CA), Upasani; Neeraj (Sammamish, WA)</t>
  </si>
  <si>
    <t>Monitoring circuit including cascaded s-boxes for fault injection attack protection</t>
  </si>
  <si>
    <t>Bond; Lars Anders (San Mateo, CA), Georg; Francesco (Mountain View, CA), Ocampo; Christopher John (Dublin, CA), Slater; Michael (Nottingham, GB), Smet; Stef Marc (London, GB), Verlinde; Hannes (Post-MSX, GB)</t>
  </si>
  <si>
    <t>Virtual reality-based augmented reality development system</t>
  </si>
  <si>
    <t xml:space="preserve">	FACEBOOK TECHNOLOGIES, LLC (Menlo Park, CA)</t>
  </si>
  <si>
    <t>Lu; Lu (Kirkland, WA), Li; Gang (Bothwell, WA), Lee; Seungjae (Redmond, WA), Wang; Mengfi (Seattle, WA)</t>
  </si>
  <si>
    <t>Pancake lens including diffuser</t>
  </si>
  <si>
    <t>Gollier; Jacques (Sammamish, WA), Geng; Ying (Bellevue, WA), Chen; Dong (Foster City, CA)</t>
  </si>
  <si>
    <t>High-resolution liquid crystal displays</t>
  </si>
  <si>
    <t xml:space="preserve">	Facebook Technologies, LLC (Menlo Park, CA)</t>
  </si>
  <si>
    <t>Fluidic valve</t>
  </si>
  <si>
    <t>Facebook Technologies, LLC (Menlo Park, CA)</t>
  </si>
  <si>
    <t xml:space="preserve">	Schied; Christoph Hermann (Seattle, WA), Kaplanyan; Anton S. (Redmond, WA)</t>
  </si>
  <si>
    <t>Systems and methods for graphics rendering based on machine learning</t>
  </si>
  <si>
    <t xml:space="preserve">	Hirsh; Seth Michael (Seattle, WA), Chao; Qing (Redmond, WA), Cavin; Robert Dale (Seattle, WA), Guestrin; Elias Daniel (Redmond, WA), Hall; Michael (Bellevue, WA)</t>
  </si>
  <si>
    <t>Gaze detection pipeline in an artificial reality system</t>
  </si>
  <si>
    <t xml:space="preserve">	Bikumandla; Manoj (Union City, CA), Bardagjy; Andrew Matthew (Seattle, WA), Hazegh; Cina (Walnut Creek, CA)</t>
  </si>
  <si>
    <t>Systems and methods for optical demodulation in a depth-sensing device</t>
  </si>
  <si>
    <t>Ning; Tianxin (Mountain View, CA), Jiang; Haomiao (Sunnyvale, CA), Bastani; Behnam (Palo Alto, CA)</t>
  </si>
  <si>
    <t>Systems and methods for temporal anti-aliasing</t>
  </si>
  <si>
    <t xml:space="preserve">	Facebook Technologies, LLC. (Menlo Park, CA)</t>
  </si>
  <si>
    <t>Buckley; Edward (Redmond, WA)</t>
  </si>
  <si>
    <t>Systems and methods for mask-based spatio-temporal dithering</t>
  </si>
  <si>
    <t>Tamama; Hideo (Kirkland, WA), Mathur; Alok Kumar (Cupertino, CA), Clohset; Steve John (San Francisco, CA)</t>
  </si>
  <si>
    <t>Artificial reality system using a multisurface display protocol to communicate surface data</t>
  </si>
  <si>
    <t>Goodall; Todd (Mill Valley, CA), Kaplanyan; Anton S (Redmond, WA), Patney; Anjul (Kirkland, WA), Sriwasansak; Jamorn (Redmond, WA)</t>
  </si>
  <si>
    <t>Efficient motion-compensated spatiotemporal sampling</t>
  </si>
  <si>
    <t>Selfon; Scott Phillip (Kirkland, WA)</t>
  </si>
  <si>
    <t>Systems and methods for audio adjustment</t>
  </si>
  <si>
    <t>Facebook Technologies, LLC. (Menlo Park, CA)</t>
  </si>
  <si>
    <t>Atlas; Charlene Mary (Redmond, WA), Bachy; Romain (Seattle, WA), MacKenzie; Kevin James (Sammamish, WA), Matsuda; Nathan (Seattle, WA), Murdison; Thomas Scott (Kirkland, WA), Quigley; Ocean (Oakland, CA), Sears; Jasmine Soria (Kirkland, WA)</t>
  </si>
  <si>
    <t>Adaptive rendering in artificial reality environments</t>
  </si>
  <si>
    <t xml:space="preserve">	Simon Kreuz; Tomas (Pittsburgh, PA), Saragih; Jason (Pittsburgh, PA), Lombardi; Stephen Anthony (Pittsburgh, PA), Ma; Shugao (Pittsburgh, PA), Schwartz; Gabriel Bailowitz (Pittsburgh, PA)</t>
  </si>
  <si>
    <t>Systems and methods for rendering avatar with high resolution geometry</t>
  </si>
  <si>
    <t xml:space="preserve">	Golas; Abhinav (Burlingame, CA)</t>
  </si>
  <si>
    <t>Distortion-corrected rasterization</t>
  </si>
  <si>
    <t>Randomized clock cycle lengths for boot sequences</t>
  </si>
  <si>
    <t>Ravasz; Jonathan (London, GB), Stevens; Jasper (London, GB), Varga; Adam Tibor (London, GB), Pinchon; Etienne (London, GB), Tickner; Simon Charles (Canterbury, GB), Spurlock; Jennifer Lynn (Seattle, WA), Sorge-Toomey; Kyle Eric (Seattle, WA), Ellis; Robert (London, GB), Fox; Barrett (Berkeley, CA)</t>
  </si>
  <si>
    <t>Detecting input using a stylus in artificial reality systems based on a stylus movement after a stylus selection action</t>
  </si>
  <si>
    <t xml:space="preserve">	Maimone; Andrew (Duvall, WA), Wang; Junren (Redmond, WA), Silverstein; Barry (Kirkland, WA)</t>
  </si>
  <si>
    <t>Optical assembly with holographic optics for folded optical path</t>
  </si>
  <si>
    <t xml:space="preserve">	Tanner; Christopher Richard (San Carlos, CA), Havilio; Amir Mesguich (San Francisco, CA), Pujals; Michelle (Los Gatos, CA), Noris; Gioacchino (Zurich, CH), Marra; Alessia (Zurich, CH), Wallen; Nicholas (South San Francisco, CA)</t>
  </si>
  <si>
    <t>Mixed reality objects in virtual reality environments</t>
  </si>
  <si>
    <t xml:space="preserve">	Zwiegincew; Arthur (Medina, CA), Mittertreiner; Gwen Erick Eng (Mountain View, CA), Keep; Andrew William (Redmond, WA)</t>
  </si>
  <si>
    <t>System and method of utilizing data binding to propagate data changes</t>
  </si>
  <si>
    <t>Gong; Jun (Redmond, WA), Gupta; Aakar (Redmond, WA), Benko; Hrvoje (Seattle, WA)</t>
  </si>
  <si>
    <t>Wearable device and user input system for computing devices and artificial reality environments</t>
  </si>
  <si>
    <t>Bodolec; Arthur (New York City, NY), Shu; Jing (Sunnyvale, CA), Young; Lindsay (San Francisco, CA), Summers; Melissa Erin (Charlotte, NC), Zeller; Andrea (Bothell, WA), Lee; Seohyun (Mountain View, CA), Gokalp; Ayfer (Kirkland, WA)</t>
  </si>
  <si>
    <t>Suspend mode feature for artificial reality systems</t>
  </si>
  <si>
    <t xml:space="preserve">	Lane; Austin (Redmond, WA), Colburn; Matthew E. (Woodinville, WA), Calafiore; Giuseppe (Redmond, WA), Mohanty; Nihar Ranjan (Redmond, WA)</t>
  </si>
  <si>
    <t>Nanoimprint lithography material with switchable mechanical properties</t>
  </si>
  <si>
    <t xml:space="preserve">	Sharma; Robin (Redmond, WA), Ouderkirk; Andrew John (Redmond, WA), Liao; Christopher Yuan Ting (Seattle, WA), Zhang; Qi (Kirkland, WA), Malhotra; Tanya (Redmond, WA), Hatzillias; Karol Constantine (Kenmore, WA), Scheller; Maik (Redmond, WA), Ye; Sheng (Redmond, WA), Andreev; Gregory Olegovic (Redmond, WA)</t>
  </si>
  <si>
    <t>Illumination device with encapsulated lens</t>
  </si>
  <si>
    <t>D960,160</t>
  </si>
  <si>
    <t xml:space="preserve">	Bristol; Peter Wesley (Seattle, WA), Chen; Yi-yaun (Seattle, WA), Romano; Mauricio (Redmond, WA), Newbury; Peter Allan Chase (Burlington, WA)</t>
  </si>
  <si>
    <t>Controller</t>
  </si>
  <si>
    <t>Lu; Gang (Pleasanton, CA), Doshi; Nihar (Fremont, CA), Han; Jiwon Steve (San Ramon, CA), Wang; Xiaoguang (Sunnyvale, CA), Zheng; Dong (Saratoga, CA), Hu; Chunyu (Saratoga, CA), Qu; Qi (Redmond, WA)</t>
  </si>
  <si>
    <t>Switching between different communication protocols</t>
  </si>
  <si>
    <t>META PLATFORMS, INC.</t>
  </si>
  <si>
    <t>CONDENSED CONSOLIDATED BALANCE SHEETS</t>
  </si>
  <si>
    <t>(In millions)</t>
  </si>
  <si>
    <t>(Unaudited)</t>
  </si>
  <si>
    <t>Sep 30,</t>
  </si>
  <si>
    <t>Assets</t>
  </si>
  <si>
    <t>Current assets:</t>
  </si>
  <si>
    <t>Marketable securities</t>
  </si>
  <si>
    <t>Accounts receivable, net</t>
  </si>
  <si>
    <t>Prepaid expenses and other current assets</t>
  </si>
  <si>
    <t>Non-marketable equity securities</t>
  </si>
  <si>
    <t>Property and equipment, net</t>
  </si>
  <si>
    <t>Intangible assets, net</t>
  </si>
  <si>
    <t>Goodwill</t>
  </si>
  <si>
    <t>Other assets</t>
  </si>
  <si>
    <t>Total assets</t>
  </si>
  <si>
    <t>Liabilities and stockholders' equity</t>
  </si>
  <si>
    <t>Current liabilities:</t>
  </si>
  <si>
    <t>Partners payable</t>
  </si>
  <si>
    <t>Operating lease liabilities, current</t>
  </si>
  <si>
    <t>Accrued expenses and other current liabilities</t>
  </si>
  <si>
    <t>Deferred revenue and deposits</t>
  </si>
  <si>
    <t>Operating lease liabilities, non-current</t>
  </si>
  <si>
    <t>Long-term debt</t>
  </si>
  <si>
    <t>Other liabilities</t>
  </si>
  <si>
    <t>Stockholders' equity:</t>
  </si>
  <si>
    <t>Common stock</t>
  </si>
  <si>
    <t>Accumulated other comprehensive income (loss)</t>
  </si>
  <si>
    <t>Total stockholders' equity</t>
  </si>
  <si>
    <t>Total liabilities and stockholders' equity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</si>
  <si>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</si>
  <si>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</si>
  <si>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</si>
  <si>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</si>
  <si>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</si>
  <si>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</si>
  <si>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from operations</t>
  </si>
  <si>
    <t>Interest and other income (expense), net</t>
  </si>
  <si>
    <t>Income before provision for income taxes</t>
  </si>
  <si>
    <t>Provision for income taxes</t>
  </si>
  <si>
    <t>Net income</t>
  </si>
  <si>
    <t>Earnings per share attributable to Class A and Class B common stockholders:</t>
  </si>
  <si>
    <t>Basic</t>
  </si>
  <si>
    <t>Diluted</t>
  </si>
  <si>
    <t>Weighted-average shares used to compute earnings per share attributable to Class A and Class B common stockholders:</t>
  </si>
  <si>
    <t>Share-based compensation expense included in costs and expenses:</t>
  </si>
  <si>
    <t>Total share-based compensation expense</t>
  </si>
  <si>
    <t>Segment Information:</t>
  </si>
  <si>
    <t>Revenue:</t>
  </si>
  <si>
    <t>Advertising</t>
  </si>
  <si>
    <t>Other revenue</t>
  </si>
  <si>
    <t>Family of Apps</t>
  </si>
  <si>
    <t>Reality Labs</t>
  </si>
  <si>
    <t>Income (loss) from operations:</t>
  </si>
  <si>
    <t>Total income from operations</t>
  </si>
  <si>
    <t>Price per share</t>
  </si>
  <si>
    <t>Shares outstanding</t>
  </si>
  <si>
    <t>(-) Cash</t>
  </si>
  <si>
    <t>(+) Debt</t>
  </si>
  <si>
    <t>Implied price per share</t>
  </si>
  <si>
    <t>Market cap</t>
  </si>
  <si>
    <t>Implied Upside/ (-) Downside</t>
  </si>
  <si>
    <t>IR: Deborah Crawford investor@fb.com</t>
  </si>
  <si>
    <t>BOD: Andreessen, Alford, Houston, Killefer, Kimmitt, Sandberg, Travis, Xu</t>
  </si>
  <si>
    <t>CFO: Dave Wehner</t>
  </si>
  <si>
    <t>CEO: Mark Zuckerburg since 2004</t>
  </si>
  <si>
    <t>IPO: 2012</t>
  </si>
  <si>
    <t>Founded: 2004</t>
  </si>
  <si>
    <t>Melo Park, CA</t>
  </si>
  <si>
    <t>650-543-4800</t>
  </si>
  <si>
    <t>Additional Information</t>
  </si>
  <si>
    <t>Intellectual Properties</t>
  </si>
  <si>
    <t>Q3'22</t>
  </si>
  <si>
    <t>Beta</t>
  </si>
  <si>
    <t>Investment Thesis</t>
  </si>
  <si>
    <t>Sufferred from huge decrease in EPS</t>
  </si>
  <si>
    <t>SG&amp;A (% of rev) 8% in Q3'20 vs 12% in Q3'22</t>
  </si>
  <si>
    <t>Layoffs has been announced</t>
  </si>
  <si>
    <t>R&amp;D (% of rev) 22% in Q3'20 vs 33% in Q3'22</t>
  </si>
  <si>
    <t>Data centers and Metaverse; cuts in the area announced as well</t>
  </si>
  <si>
    <t>problems with the fundalmentals of the company model</t>
  </si>
  <si>
    <t>12 months ended</t>
  </si>
  <si>
    <t>R&amp;D</t>
  </si>
  <si>
    <t>SG&amp;A</t>
  </si>
  <si>
    <t>R&amp;D % of Revenue</t>
  </si>
  <si>
    <t>Depreciation and Ammortization</t>
  </si>
  <si>
    <t>Cost of rev</t>
  </si>
  <si>
    <t>META PLATFORMS</t>
  </si>
  <si>
    <t>Other Current Liabilities and other expenses</t>
  </si>
  <si>
    <t>Deferred Revenue</t>
  </si>
  <si>
    <t>Operating lease</t>
  </si>
  <si>
    <t>Current Op Assets</t>
  </si>
  <si>
    <t>Current Op Liabilities</t>
  </si>
  <si>
    <t>Current Operating Lease as a % of Revenue</t>
  </si>
  <si>
    <t>Deferred Revenue as a % of Revenue</t>
  </si>
  <si>
    <t>COO: Javier Olivian replaces Sheryl Sandberg who resigns 28/5/22</t>
  </si>
  <si>
    <t>- TTM P/E of 11.47; P/E 18.22 vs NASDAQ P/E of 22.98</t>
  </si>
  <si>
    <t xml:space="preserve">- Resilient Daily Active People (DAP) and Average Rev Per Person (ARRP), suggesting that there is no underlying </t>
  </si>
  <si>
    <t>- However, it is due to increase in expenses rather than decrease in revenue. This means the issue is easily fixable</t>
  </si>
  <si>
    <t>- Aggressively buying back shares which is often a good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</si>
</sst>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70" formatCode="#0;&quot;-&quot;#0;#0;_(@_)"/>
    <numFmt numFmtId="171" formatCode="&quot;$&quot;* #,##0_);&quot;$&quot;* \(#,##0\);&quot;$&quot;* &quot;-&quot;_);_(@_)"/>
    <numFmt numFmtId="172" formatCode="* #,##0;* \(#,##0\);* &quot;-&quot;;_(@_)"/>
    <numFmt numFmtId="178" formatCode="_-* #,##0_-;\-* #,##0_-;_-* &quot;-&quot;??_-;_-@_-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color indexed="12"/>
      <name val="Calibri"/>
      <family val="2"/>
    </font>
    <font>
      <sz val="11"/>
      <color indexed="12"/>
      <name val="Calibri"/>
      <family val="2"/>
      <scheme val="minor"/>
    </font>
    <font>
      <sz val="11"/>
      <color indexed="17"/>
      <name val="Calibri"/>
      <family val="2"/>
    </font>
    <font>
      <b/>
      <sz val="11"/>
      <name val="Calibri"/>
      <family val="2"/>
    </font>
    <font>
      <sz val="11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7"/>
      <name val="Calibri"/>
      <family val="2"/>
    </font>
    <font>
      <b/>
      <sz val="28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11"/>
  </cellStyleXfs>
  <cellXfs count="120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166" fontId="2" fillId="0" borderId="0" xfId="0" applyNumberFormat="1" applyFont="1"/>
    <xf numFmtId="0" fontId="2" fillId="5" borderId="1" xfId="0" applyFont="1" applyFill="1" applyBorder="1"/>
    <xf numFmtId="3" fontId="2" fillId="0" borderId="0" xfId="0" applyNumberFormat="1" applyFont="1"/>
    <xf numFmtId="0" fontId="3" fillId="0" borderId="5" xfId="0" applyFont="1" applyBorder="1"/>
    <xf numFmtId="167" fontId="2" fillId="0" borderId="0" xfId="0" applyNumberFormat="1" applyFont="1"/>
    <xf numFmtId="168" fontId="2" fillId="5" borderId="1" xfId="0" applyNumberFormat="1" applyFont="1" applyFill="1" applyBorder="1"/>
    <xf numFmtId="4" fontId="4" fillId="3" borderId="1" xfId="0" applyNumberFormat="1" applyFont="1" applyFill="1" applyBorder="1"/>
    <xf numFmtId="167" fontId="3" fillId="0" borderId="0" xfId="0" applyNumberFormat="1" applyFont="1"/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 textRotation="90"/>
    </xf>
    <xf numFmtId="0" fontId="9" fillId="0" borderId="0" xfId="0" applyFont="1" applyAlignment="1" applyProtection="1">
      <alignment horizontal="center" wrapText="1"/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9" fillId="0" borderId="13" xfId="0" applyFont="1" applyBorder="1" applyAlignment="1" applyProtection="1">
      <alignment horizontal="center" wrapText="1"/>
      <protection locked="0"/>
    </xf>
    <xf numFmtId="0" fontId="9" fillId="0" borderId="13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170" fontId="9" fillId="0" borderId="3" xfId="0" applyNumberFormat="1" applyFont="1" applyBorder="1" applyAlignment="1">
      <alignment horizontal="center" wrapText="1"/>
    </xf>
    <xf numFmtId="170" fontId="9" fillId="0" borderId="3" xfId="0" applyNumberFormat="1" applyFont="1" applyBorder="1" applyAlignment="1" applyProtection="1">
      <alignment horizontal="center" wrapText="1"/>
      <protection locked="0"/>
    </xf>
    <xf numFmtId="0" fontId="11" fillId="0" borderId="13" xfId="0" applyFont="1" applyBorder="1" applyAlignment="1">
      <alignment wrapText="1"/>
    </xf>
    <xf numFmtId="0" fontId="11" fillId="0" borderId="13" xfId="0" applyFont="1" applyBorder="1" applyAlignment="1" applyProtection="1">
      <alignment wrapText="1"/>
      <protection locked="0"/>
    </xf>
    <xf numFmtId="0" fontId="9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horizontal="left" wrapText="1" indent="1"/>
      <protection locked="0"/>
    </xf>
    <xf numFmtId="171" fontId="11" fillId="0" borderId="0" xfId="0" applyNumberFormat="1" applyFont="1" applyAlignment="1">
      <alignment horizontal="right" wrapText="1"/>
    </xf>
    <xf numFmtId="171" fontId="11" fillId="0" borderId="0" xfId="0" applyNumberFormat="1" applyFont="1" applyAlignment="1" applyProtection="1">
      <alignment horizontal="right" wrapText="1"/>
      <protection locked="0"/>
    </xf>
    <xf numFmtId="172" fontId="11" fillId="0" borderId="0" xfId="0" applyNumberFormat="1" applyFont="1" applyAlignment="1">
      <alignment horizontal="right" wrapText="1"/>
    </xf>
    <xf numFmtId="172" fontId="11" fillId="0" borderId="0" xfId="0" applyNumberFormat="1" applyFont="1" applyAlignment="1" applyProtection="1">
      <alignment horizontal="right" wrapText="1"/>
      <protection locked="0"/>
    </xf>
    <xf numFmtId="172" fontId="11" fillId="0" borderId="3" xfId="0" applyNumberFormat="1" applyFont="1" applyBorder="1" applyAlignment="1">
      <alignment horizontal="right" wrapText="1"/>
    </xf>
    <xf numFmtId="172" fontId="11" fillId="0" borderId="3" xfId="0" applyNumberFormat="1" applyFont="1" applyBorder="1" applyAlignment="1" applyProtection="1">
      <alignment horizontal="right" wrapText="1"/>
      <protection locked="0"/>
    </xf>
    <xf numFmtId="0" fontId="11" fillId="0" borderId="0" xfId="0" applyFont="1" applyAlignment="1" applyProtection="1">
      <alignment horizontal="left" wrapText="1" indent="3"/>
      <protection locked="0"/>
    </xf>
    <xf numFmtId="172" fontId="11" fillId="0" borderId="13" xfId="0" applyNumberFormat="1" applyFont="1" applyBorder="1" applyAlignment="1">
      <alignment horizontal="right" wrapText="1"/>
    </xf>
    <xf numFmtId="172" fontId="11" fillId="0" borderId="13" xfId="0" applyNumberFormat="1" applyFont="1" applyBorder="1" applyAlignment="1" applyProtection="1">
      <alignment horizontal="right" wrapText="1"/>
      <protection locked="0"/>
    </xf>
    <xf numFmtId="171" fontId="9" fillId="0" borderId="14" xfId="0" applyNumberFormat="1" applyFont="1" applyBorder="1" applyAlignment="1">
      <alignment horizontal="right" wrapText="1"/>
    </xf>
    <xf numFmtId="171" fontId="9" fillId="0" borderId="14" xfId="0" applyNumberFormat="1" applyFont="1" applyBorder="1" applyAlignment="1" applyProtection="1">
      <alignment horizontal="right" wrapText="1"/>
      <protection locked="0"/>
    </xf>
    <xf numFmtId="0" fontId="11" fillId="0" borderId="15" xfId="0" applyFont="1" applyBorder="1" applyAlignment="1">
      <alignment horizontal="right" wrapText="1"/>
    </xf>
    <xf numFmtId="0" fontId="11" fillId="0" borderId="15" xfId="0" applyFont="1" applyBorder="1" applyAlignment="1" applyProtection="1">
      <alignment horizontal="right" wrapText="1"/>
      <protection locked="0"/>
    </xf>
    <xf numFmtId="172" fontId="11" fillId="0" borderId="5" xfId="0" applyNumberFormat="1" applyFont="1" applyBorder="1" applyAlignment="1">
      <alignment horizontal="right" wrapText="1"/>
    </xf>
    <xf numFmtId="172" fontId="11" fillId="0" borderId="5" xfId="0" applyNumberFormat="1" applyFont="1" applyBorder="1" applyAlignment="1" applyProtection="1">
      <alignment horizontal="right" wrapText="1"/>
      <protection locked="0"/>
    </xf>
    <xf numFmtId="0" fontId="11" fillId="0" borderId="15" xfId="0" applyFont="1" applyBorder="1" applyAlignment="1">
      <alignment wrapText="1"/>
    </xf>
    <xf numFmtId="0" fontId="11" fillId="0" borderId="15" xfId="0" applyFont="1" applyBorder="1" applyAlignment="1" applyProtection="1">
      <alignment wrapText="1"/>
      <protection locked="0"/>
    </xf>
    <xf numFmtId="0" fontId="9" fillId="0" borderId="3" xfId="0" applyFont="1" applyBorder="1" applyAlignment="1">
      <alignment horizontal="center" wrapText="1"/>
    </xf>
    <xf numFmtId="0" fontId="9" fillId="0" borderId="0" xfId="0" applyFont="1" applyAlignment="1" applyProtection="1">
      <alignment horizontal="left" wrapText="1"/>
      <protection locked="0"/>
    </xf>
    <xf numFmtId="0" fontId="11" fillId="0" borderId="0" xfId="0" applyFont="1" applyAlignment="1" applyProtection="1">
      <alignment horizontal="left" wrapText="1" indent="2"/>
      <protection locked="0"/>
    </xf>
    <xf numFmtId="0" fontId="11" fillId="0" borderId="0" xfId="0" applyFont="1" applyAlignment="1" applyProtection="1">
      <alignment horizontal="left" indent="1"/>
      <protection locked="0"/>
    </xf>
    <xf numFmtId="0" fontId="11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" fillId="0" borderId="0" xfId="0" applyFont="1"/>
    <xf numFmtId="0" fontId="8" fillId="0" borderId="0" xfId="0" applyFont="1"/>
    <xf numFmtId="0" fontId="8" fillId="6" borderId="0" xfId="0" applyFont="1" applyFill="1"/>
    <xf numFmtId="0" fontId="0" fillId="0" borderId="11" xfId="0" applyFill="1" applyBorder="1"/>
    <xf numFmtId="9" fontId="2" fillId="0" borderId="0" xfId="3" applyFont="1"/>
    <xf numFmtId="167" fontId="13" fillId="5" borderId="1" xfId="0" applyNumberFormat="1" applyFont="1" applyFill="1" applyBorder="1"/>
    <xf numFmtId="0" fontId="14" fillId="0" borderId="0" xfId="0" applyFont="1"/>
    <xf numFmtId="9" fontId="14" fillId="0" borderId="0" xfId="0" applyNumberFormat="1" applyFont="1"/>
    <xf numFmtId="3" fontId="13" fillId="0" borderId="0" xfId="0" applyNumberFormat="1" applyFont="1"/>
    <xf numFmtId="0" fontId="5" fillId="2" borderId="2" xfId="0" applyFont="1" applyFill="1" applyBorder="1"/>
    <xf numFmtId="164" fontId="5" fillId="2" borderId="2" xfId="0" applyNumberFormat="1" applyFont="1" applyFill="1" applyBorder="1"/>
    <xf numFmtId="165" fontId="5" fillId="2" borderId="2" xfId="0" applyNumberFormat="1" applyFont="1" applyFill="1" applyBorder="1"/>
    <xf numFmtId="167" fontId="5" fillId="5" borderId="1" xfId="0" applyNumberFormat="1" applyFont="1" applyFill="1" applyBorder="1"/>
    <xf numFmtId="167" fontId="5" fillId="5" borderId="11" xfId="0" applyNumberFormat="1" applyFont="1" applyFill="1" applyBorder="1"/>
    <xf numFmtId="166" fontId="15" fillId="0" borderId="0" xfId="0" applyNumberFormat="1" applyFont="1"/>
    <xf numFmtId="166" fontId="5" fillId="0" borderId="0" xfId="0" applyNumberFormat="1" applyFont="1"/>
    <xf numFmtId="166" fontId="15" fillId="0" borderId="3" xfId="0" applyNumberFormat="1" applyFont="1" applyBorder="1"/>
    <xf numFmtId="166" fontId="5" fillId="0" borderId="3" xfId="0" applyNumberFormat="1" applyFont="1" applyBorder="1"/>
    <xf numFmtId="166" fontId="16" fillId="0" borderId="0" xfId="0" applyNumberFormat="1" applyFont="1"/>
    <xf numFmtId="166" fontId="16" fillId="4" borderId="4" xfId="0" applyNumberFormat="1" applyFont="1" applyFill="1" applyBorder="1"/>
    <xf numFmtId="3" fontId="5" fillId="0" borderId="0" xfId="0" applyNumberFormat="1" applyFont="1"/>
    <xf numFmtId="178" fontId="16" fillId="0" borderId="5" xfId="2" applyNumberFormat="1" applyFont="1" applyBorder="1"/>
    <xf numFmtId="4" fontId="5" fillId="0" borderId="0" xfId="0" applyNumberFormat="1" applyFont="1"/>
    <xf numFmtId="10" fontId="5" fillId="2" borderId="1" xfId="0" applyNumberFormat="1" applyFont="1" applyFill="1" applyBorder="1"/>
    <xf numFmtId="4" fontId="5" fillId="2" borderId="1" xfId="0" applyNumberFormat="1" applyFont="1" applyFill="1" applyBorder="1"/>
    <xf numFmtId="3" fontId="15" fillId="0" borderId="0" xfId="0" applyNumberFormat="1" applyFont="1"/>
    <xf numFmtId="3" fontId="5" fillId="0" borderId="5" xfId="0" applyNumberFormat="1" applyFont="1" applyBorder="1"/>
    <xf numFmtId="4" fontId="16" fillId="4" borderId="4" xfId="0" applyNumberFormat="1" applyFont="1" applyFill="1" applyBorder="1"/>
    <xf numFmtId="9" fontId="18" fillId="0" borderId="0" xfId="3" applyFont="1"/>
    <xf numFmtId="178" fontId="18" fillId="0" borderId="0" xfId="2" applyNumberFormat="1" applyFont="1"/>
    <xf numFmtId="178" fontId="18" fillId="0" borderId="16" xfId="2" applyNumberFormat="1" applyFont="1" applyBorder="1"/>
    <xf numFmtId="167" fontId="13" fillId="0" borderId="0" xfId="0" applyNumberFormat="1" applyFont="1"/>
    <xf numFmtId="10" fontId="14" fillId="0" borderId="0" xfId="0" applyNumberFormat="1" applyFont="1"/>
    <xf numFmtId="167" fontId="14" fillId="0" borderId="0" xfId="3" applyNumberFormat="1" applyFont="1"/>
    <xf numFmtId="167" fontId="5" fillId="0" borderId="0" xfId="0" applyNumberFormat="1" applyFont="1"/>
    <xf numFmtId="167" fontId="16" fillId="0" borderId="5" xfId="0" applyNumberFormat="1" applyFont="1" applyBorder="1"/>
    <xf numFmtId="167" fontId="16" fillId="4" borderId="4" xfId="0" applyNumberFormat="1" applyFont="1" applyFill="1" applyBorder="1"/>
    <xf numFmtId="3" fontId="19" fillId="0" borderId="5" xfId="0" applyNumberFormat="1" applyFont="1" applyBorder="1"/>
    <xf numFmtId="3" fontId="16" fillId="0" borderId="5" xfId="0" applyNumberFormat="1" applyFont="1" applyBorder="1"/>
    <xf numFmtId="3" fontId="15" fillId="5" borderId="1" xfId="0" applyNumberFormat="1" applyFont="1" applyFill="1" applyBorder="1"/>
    <xf numFmtId="168" fontId="5" fillId="5" borderId="1" xfId="0" applyNumberFormat="1" applyFont="1" applyFill="1" applyBorder="1"/>
    <xf numFmtId="167" fontId="5" fillId="5" borderId="1" xfId="3" applyNumberFormat="1" applyFont="1" applyFill="1" applyBorder="1"/>
    <xf numFmtId="178" fontId="18" fillId="0" borderId="0" xfId="2" applyNumberFormat="1" applyFont="1" applyProtection="1">
      <protection locked="0"/>
    </xf>
    <xf numFmtId="0" fontId="18" fillId="0" borderId="0" xfId="0" applyFont="1"/>
    <xf numFmtId="0" fontId="20" fillId="0" borderId="0" xfId="0" applyFont="1"/>
    <xf numFmtId="4" fontId="18" fillId="0" borderId="0" xfId="0" applyNumberFormat="1" applyFont="1"/>
    <xf numFmtId="0" fontId="21" fillId="0" borderId="0" xfId="0" applyFont="1"/>
    <xf numFmtId="0" fontId="21" fillId="0" borderId="0" xfId="1" applyFont="1"/>
    <xf numFmtId="14" fontId="18" fillId="0" borderId="0" xfId="0" applyNumberFormat="1" applyFont="1"/>
    <xf numFmtId="0" fontId="18" fillId="0" borderId="0" xfId="0" applyFont="1" applyAlignment="1">
      <alignment horizontal="right"/>
    </xf>
    <xf numFmtId="0" fontId="5" fillId="5" borderId="1" xfId="0" applyFont="1" applyFill="1" applyBorder="1"/>
    <xf numFmtId="0" fontId="5" fillId="5" borderId="11" xfId="0" applyFont="1" applyFill="1" applyBorder="1"/>
    <xf numFmtId="0" fontId="5" fillId="0" borderId="3" xfId="0" applyFont="1" applyBorder="1"/>
    <xf numFmtId="0" fontId="16" fillId="0" borderId="0" xfId="0" applyFont="1"/>
    <xf numFmtId="0" fontId="5" fillId="0" borderId="0" xfId="0" applyFont="1" applyAlignment="1">
      <alignment horizontal="left"/>
    </xf>
    <xf numFmtId="0" fontId="16" fillId="4" borderId="4" xfId="0" applyFont="1" applyFill="1" applyBorder="1"/>
    <xf numFmtId="0" fontId="16" fillId="0" borderId="5" xfId="0" applyFont="1" applyBorder="1"/>
    <xf numFmtId="0" fontId="5" fillId="0" borderId="0" xfId="0" applyFont="1"/>
    <xf numFmtId="0" fontId="5" fillId="0" borderId="5" xfId="0" applyFont="1" applyBorder="1"/>
    <xf numFmtId="0" fontId="18" fillId="0" borderId="0" xfId="0" applyFont="1" applyProtection="1">
      <protection locked="0"/>
    </xf>
    <xf numFmtId="0" fontId="18" fillId="0" borderId="11" xfId="0" applyFont="1" applyBorder="1" applyAlignment="1" applyProtection="1">
      <alignment horizontal="center"/>
      <protection locked="0"/>
    </xf>
    <xf numFmtId="178" fontId="18" fillId="0" borderId="0" xfId="0" applyNumberFormat="1" applyFont="1" applyProtection="1">
      <protection locked="0"/>
    </xf>
    <xf numFmtId="0" fontId="18" fillId="0" borderId="12" xfId="0" applyFont="1" applyBorder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11" xfId="0" applyFont="1" applyFill="1" applyBorder="1"/>
    <xf numFmtId="178" fontId="17" fillId="0" borderId="0" xfId="2" applyNumberFormat="1" applyFont="1" applyAlignment="1">
      <alignment horizontal="right"/>
    </xf>
    <xf numFmtId="10" fontId="15" fillId="0" borderId="0" xfId="0" applyNumberFormat="1" applyFont="1"/>
    <xf numFmtId="0" fontId="18" fillId="0" borderId="0" xfId="0" quotePrefix="1" applyFont="1"/>
  </cellXfs>
  <cellStyles count="5">
    <cellStyle name="Comma" xfId="2" builtinId="3"/>
    <cellStyle name="Hyperlink" xfId="1" builtinId="8"/>
    <cellStyle name="Normal" xfId="0" builtinId="0"/>
    <cellStyle name="Normal 2" xfId="4" xr:uid="{6D7640C0-6A26-46CA-9958-C1922A8248F3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21.q4cdn.com/399680738/files/doc_financials/2022/q3/Q3-2022_Earnings-Presentation.pdf" TargetMode="External"/><Relationship Id="rId1" Type="http://schemas.openxmlformats.org/officeDocument/2006/relationships/hyperlink" Target="https://s21.q4cdn.com/399680738/files/doc_financials/2022/q3/Q3-2022_Earnings-Present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8352-4235-4AC1-9854-09BBC85B5410}">
  <dimension ref="B1:Q53"/>
  <sheetViews>
    <sheetView showGridLines="0" tabSelected="1" workbookViewId="0">
      <selection activeCell="L14" sqref="L14"/>
    </sheetView>
  </sheetViews>
  <sheetFormatPr defaultRowHeight="15" x14ac:dyDescent="0.25"/>
  <cols>
    <col min="1" max="1" width="9.140625" style="91"/>
    <col min="2" max="2" width="67.85546875" style="91" bestFit="1" customWidth="1"/>
    <col min="3" max="3" width="11.5703125" style="91" bestFit="1" customWidth="1"/>
    <col min="4" max="4" width="9.7109375" style="91" bestFit="1" customWidth="1"/>
    <col min="5" max="6" width="9.140625" style="91"/>
    <col min="7" max="7" width="10.140625" style="91" bestFit="1" customWidth="1"/>
    <col min="8" max="16384" width="9.140625" style="91"/>
  </cols>
  <sheetData>
    <row r="1" spans="2:17" ht="36" x14ac:dyDescent="0.55000000000000004">
      <c r="B1" s="92" t="s">
        <v>231</v>
      </c>
    </row>
    <row r="3" spans="2:17" x14ac:dyDescent="0.25">
      <c r="B3" s="91" t="s">
        <v>203</v>
      </c>
      <c r="C3" s="93">
        <f>DCF!C51</f>
        <v>147.51304586456604</v>
      </c>
      <c r="F3" s="91" t="s">
        <v>205</v>
      </c>
      <c r="I3" s="76">
        <f>C3/C5-1</f>
        <v>0.22927538220471688</v>
      </c>
      <c r="L3" s="94" t="s">
        <v>218</v>
      </c>
      <c r="M3" s="94"/>
    </row>
    <row r="4" spans="2:17" x14ac:dyDescent="0.25">
      <c r="L4" s="119" t="s">
        <v>240</v>
      </c>
    </row>
    <row r="5" spans="2:17" x14ac:dyDescent="0.25">
      <c r="B5" s="91" t="s">
        <v>199</v>
      </c>
      <c r="C5" s="77">
        <v>120</v>
      </c>
      <c r="L5" s="119" t="s">
        <v>241</v>
      </c>
    </row>
    <row r="6" spans="2:17" x14ac:dyDescent="0.25">
      <c r="B6" s="91" t="s">
        <v>200</v>
      </c>
      <c r="C6" s="77">
        <v>2652</v>
      </c>
      <c r="D6" s="91" t="s">
        <v>216</v>
      </c>
      <c r="L6" s="91" t="s">
        <v>224</v>
      </c>
    </row>
    <row r="7" spans="2:17" x14ac:dyDescent="0.25">
      <c r="B7" s="91" t="s">
        <v>204</v>
      </c>
      <c r="C7" s="77">
        <f>C6*C5</f>
        <v>318240</v>
      </c>
      <c r="L7" s="91" t="s">
        <v>219</v>
      </c>
    </row>
    <row r="8" spans="2:17" x14ac:dyDescent="0.25">
      <c r="B8" s="91" t="s">
        <v>201</v>
      </c>
      <c r="C8" s="77">
        <v>48304</v>
      </c>
      <c r="L8" s="119" t="s">
        <v>242</v>
      </c>
    </row>
    <row r="9" spans="2:17" x14ac:dyDescent="0.25">
      <c r="B9" s="91" t="s">
        <v>202</v>
      </c>
      <c r="C9" s="77">
        <v>9922</v>
      </c>
      <c r="L9" s="95" t="s">
        <v>220</v>
      </c>
      <c r="Q9" s="91" t="s">
        <v>221</v>
      </c>
    </row>
    <row r="10" spans="2:17" x14ac:dyDescent="0.25">
      <c r="B10" s="91" t="s">
        <v>49</v>
      </c>
      <c r="C10" s="78">
        <f>C7-C8+C9</f>
        <v>279858</v>
      </c>
      <c r="L10" s="95" t="s">
        <v>222</v>
      </c>
      <c r="Q10" s="91" t="s">
        <v>223</v>
      </c>
    </row>
    <row r="11" spans="2:17" x14ac:dyDescent="0.25">
      <c r="L11" s="119" t="s">
        <v>243</v>
      </c>
    </row>
    <row r="12" spans="2:17" s="50" customFormat="1" x14ac:dyDescent="0.25">
      <c r="B12" s="50" t="s">
        <v>215</v>
      </c>
    </row>
    <row r="13" spans="2:17" x14ac:dyDescent="0.25">
      <c r="B13" s="91" t="s">
        <v>78</v>
      </c>
      <c r="C13" s="91" t="s">
        <v>79</v>
      </c>
      <c r="D13" s="91" t="s">
        <v>80</v>
      </c>
      <c r="E13" s="91" t="s">
        <v>81</v>
      </c>
      <c r="F13" s="91" t="s">
        <v>82</v>
      </c>
      <c r="G13" s="91" t="s">
        <v>83</v>
      </c>
      <c r="H13" s="91" t="s">
        <v>84</v>
      </c>
    </row>
    <row r="14" spans="2:17" x14ac:dyDescent="0.25">
      <c r="B14" s="91">
        <v>11449606</v>
      </c>
      <c r="C14" s="96">
        <v>44215</v>
      </c>
      <c r="D14" s="96">
        <v>44824</v>
      </c>
      <c r="E14" s="96" t="s">
        <v>85</v>
      </c>
      <c r="F14" s="96" t="s">
        <v>86</v>
      </c>
      <c r="G14" s="91">
        <v>3</v>
      </c>
      <c r="H14" s="91" t="s">
        <v>87</v>
      </c>
    </row>
    <row r="15" spans="2:17" x14ac:dyDescent="0.25">
      <c r="B15" s="91">
        <v>11449189</v>
      </c>
      <c r="C15" s="96">
        <v>43740</v>
      </c>
      <c r="D15" s="96">
        <v>44824</v>
      </c>
      <c r="E15" s="91" t="s">
        <v>85</v>
      </c>
      <c r="F15" s="91" t="s">
        <v>88</v>
      </c>
      <c r="G15" s="91">
        <v>4</v>
      </c>
      <c r="H15" s="91" t="s">
        <v>89</v>
      </c>
    </row>
    <row r="16" spans="2:17" x14ac:dyDescent="0.25">
      <c r="B16" s="91">
        <v>11448803</v>
      </c>
      <c r="C16" s="96">
        <v>43836</v>
      </c>
      <c r="D16" s="96">
        <v>44824</v>
      </c>
      <c r="E16" s="91" t="s">
        <v>90</v>
      </c>
      <c r="F16" s="91" t="s">
        <v>91</v>
      </c>
      <c r="G16" s="91">
        <v>3</v>
      </c>
      <c r="H16" s="91" t="s">
        <v>92</v>
      </c>
    </row>
    <row r="17" spans="2:8" x14ac:dyDescent="0.25">
      <c r="B17" s="91">
        <v>11442272</v>
      </c>
      <c r="C17" s="96">
        <v>43902</v>
      </c>
      <c r="D17" s="96">
        <v>44817</v>
      </c>
      <c r="E17" s="91" t="s">
        <v>85</v>
      </c>
      <c r="F17" s="91" t="s">
        <v>93</v>
      </c>
      <c r="G17" s="91">
        <v>3</v>
      </c>
      <c r="H17" s="91" t="s">
        <v>94</v>
      </c>
    </row>
    <row r="18" spans="2:8" x14ac:dyDescent="0.25">
      <c r="B18" s="91">
        <v>11441702</v>
      </c>
      <c r="C18" s="96">
        <v>43594</v>
      </c>
      <c r="D18" s="96">
        <v>44817</v>
      </c>
      <c r="E18" s="91" t="s">
        <v>95</v>
      </c>
      <c r="G18" s="91">
        <v>3</v>
      </c>
      <c r="H18" s="91" t="s">
        <v>96</v>
      </c>
    </row>
    <row r="19" spans="2:8" x14ac:dyDescent="0.25">
      <c r="B19" s="91">
        <v>11436793</v>
      </c>
      <c r="C19" s="96">
        <v>44239</v>
      </c>
      <c r="D19" s="96">
        <v>44810</v>
      </c>
      <c r="E19" s="91" t="s">
        <v>97</v>
      </c>
      <c r="F19" s="91" t="s">
        <v>98</v>
      </c>
      <c r="G19" s="91">
        <v>3</v>
      </c>
      <c r="H19" s="91" t="s">
        <v>99</v>
      </c>
    </row>
    <row r="20" spans="2:8" x14ac:dyDescent="0.25">
      <c r="B20" s="91">
        <v>11435820</v>
      </c>
      <c r="C20" s="96">
        <v>43601</v>
      </c>
      <c r="D20" s="96">
        <v>44810</v>
      </c>
      <c r="E20" s="91" t="s">
        <v>85</v>
      </c>
      <c r="F20" s="91" t="s">
        <v>100</v>
      </c>
      <c r="G20" s="91">
        <v>3</v>
      </c>
      <c r="H20" s="91" t="s">
        <v>101</v>
      </c>
    </row>
    <row r="21" spans="2:8" x14ac:dyDescent="0.25">
      <c r="B21" s="91">
        <v>11435448</v>
      </c>
      <c r="C21" s="96">
        <v>44071</v>
      </c>
      <c r="D21" s="96">
        <v>44810</v>
      </c>
      <c r="E21" s="91" t="s">
        <v>97</v>
      </c>
      <c r="F21" s="91" t="s">
        <v>102</v>
      </c>
      <c r="G21" s="91">
        <v>3</v>
      </c>
      <c r="H21" s="91" t="s">
        <v>103</v>
      </c>
    </row>
    <row r="22" spans="2:8" x14ac:dyDescent="0.25">
      <c r="B22" s="91">
        <v>11431955</v>
      </c>
      <c r="C22" s="96">
        <v>43802</v>
      </c>
      <c r="D22" s="96">
        <v>44803</v>
      </c>
      <c r="E22" s="91" t="s">
        <v>95</v>
      </c>
      <c r="F22" s="91" t="s">
        <v>104</v>
      </c>
      <c r="G22" s="91">
        <v>3</v>
      </c>
      <c r="H22" s="91" t="s">
        <v>105</v>
      </c>
    </row>
    <row r="23" spans="2:8" x14ac:dyDescent="0.25">
      <c r="B23" s="91">
        <v>11430398</v>
      </c>
      <c r="C23" s="96">
        <v>44455</v>
      </c>
      <c r="D23" s="96">
        <v>44803</v>
      </c>
      <c r="E23" s="91" t="s">
        <v>106</v>
      </c>
      <c r="F23" s="91" t="s">
        <v>107</v>
      </c>
      <c r="G23" s="91">
        <v>3</v>
      </c>
      <c r="H23" s="91" t="s">
        <v>108</v>
      </c>
    </row>
    <row r="24" spans="2:8" x14ac:dyDescent="0.25">
      <c r="B24" s="91">
        <v>11430141</v>
      </c>
      <c r="C24" s="96">
        <v>43844</v>
      </c>
      <c r="D24" s="96">
        <v>44803</v>
      </c>
      <c r="E24" s="91" t="s">
        <v>85</v>
      </c>
      <c r="F24" s="91" t="s">
        <v>109</v>
      </c>
      <c r="G24" s="91">
        <v>4</v>
      </c>
      <c r="H24" s="91" t="s">
        <v>110</v>
      </c>
    </row>
    <row r="25" spans="2:8" x14ac:dyDescent="0.25">
      <c r="B25" s="91">
        <v>11430085</v>
      </c>
      <c r="C25" s="96">
        <v>44096</v>
      </c>
      <c r="D25" s="96">
        <v>44803</v>
      </c>
      <c r="E25" s="91" t="s">
        <v>95</v>
      </c>
      <c r="F25" s="91" t="s">
        <v>111</v>
      </c>
      <c r="G25" s="91">
        <v>3</v>
      </c>
      <c r="H25" s="91" t="s">
        <v>112</v>
      </c>
    </row>
    <row r="26" spans="2:8" x14ac:dyDescent="0.25">
      <c r="B26" s="91">
        <v>11425523</v>
      </c>
      <c r="C26" s="96">
        <v>43931</v>
      </c>
      <c r="D26" s="96">
        <v>44796</v>
      </c>
      <c r="E26" s="91" t="s">
        <v>90</v>
      </c>
      <c r="F26" s="91" t="s">
        <v>113</v>
      </c>
      <c r="G26" s="91">
        <v>3</v>
      </c>
      <c r="H26" s="91" t="s">
        <v>114</v>
      </c>
    </row>
    <row r="27" spans="2:8" x14ac:dyDescent="0.25">
      <c r="B27" s="91">
        <v>11423621</v>
      </c>
      <c r="C27" s="96">
        <v>43972</v>
      </c>
      <c r="D27" s="96">
        <v>44796</v>
      </c>
      <c r="E27" s="91" t="s">
        <v>115</v>
      </c>
      <c r="F27" s="91" t="s">
        <v>116</v>
      </c>
      <c r="G27" s="91">
        <v>3</v>
      </c>
      <c r="H27" s="91" t="s">
        <v>117</v>
      </c>
    </row>
    <row r="28" spans="2:8" x14ac:dyDescent="0.25">
      <c r="B28" s="91">
        <v>11423616</v>
      </c>
      <c r="C28" s="96">
        <v>43917</v>
      </c>
      <c r="D28" s="96">
        <v>44796</v>
      </c>
      <c r="E28" s="91" t="s">
        <v>106</v>
      </c>
      <c r="F28" s="91" t="s">
        <v>118</v>
      </c>
      <c r="G28" s="91">
        <v>4</v>
      </c>
      <c r="H28" s="91" t="s">
        <v>119</v>
      </c>
    </row>
    <row r="29" spans="2:8" x14ac:dyDescent="0.25">
      <c r="B29" s="91">
        <v>11423520</v>
      </c>
      <c r="C29" s="96">
        <v>44134</v>
      </c>
      <c r="D29" s="96">
        <v>44796</v>
      </c>
      <c r="E29" s="91" t="s">
        <v>115</v>
      </c>
      <c r="F29" s="91" t="s">
        <v>120</v>
      </c>
      <c r="G29" s="91">
        <v>3</v>
      </c>
      <c r="H29" s="91" t="s">
        <v>121</v>
      </c>
    </row>
    <row r="30" spans="2:8" x14ac:dyDescent="0.25">
      <c r="B30" s="91">
        <v>11423152</v>
      </c>
      <c r="C30" s="96">
        <v>43690</v>
      </c>
      <c r="D30" s="96">
        <v>44796</v>
      </c>
      <c r="E30" s="91" t="s">
        <v>97</v>
      </c>
      <c r="G30" s="91">
        <v>3</v>
      </c>
      <c r="H30" s="91" t="s">
        <v>122</v>
      </c>
    </row>
    <row r="31" spans="2:8" x14ac:dyDescent="0.25">
      <c r="B31" s="91">
        <v>11422669</v>
      </c>
      <c r="C31" s="96">
        <v>43623</v>
      </c>
      <c r="D31" s="96">
        <v>44796</v>
      </c>
      <c r="E31" s="91" t="s">
        <v>85</v>
      </c>
      <c r="F31" s="91" t="s">
        <v>123</v>
      </c>
      <c r="G31" s="91">
        <v>4</v>
      </c>
      <c r="H31" s="91" t="s">
        <v>124</v>
      </c>
    </row>
    <row r="32" spans="2:8" x14ac:dyDescent="0.25">
      <c r="B32" s="91">
        <v>11422373</v>
      </c>
      <c r="C32" s="96">
        <v>43868</v>
      </c>
      <c r="D32" s="96">
        <v>44796</v>
      </c>
      <c r="E32" s="91" t="s">
        <v>97</v>
      </c>
      <c r="F32" s="91" t="s">
        <v>125</v>
      </c>
      <c r="G32" s="91">
        <v>3</v>
      </c>
      <c r="H32" s="91" t="s">
        <v>126</v>
      </c>
    </row>
    <row r="33" spans="2:8" x14ac:dyDescent="0.25">
      <c r="B33" s="91">
        <v>11417054</v>
      </c>
      <c r="C33" s="96">
        <v>44272</v>
      </c>
      <c r="D33" s="96">
        <v>44789</v>
      </c>
      <c r="E33" s="91" t="s">
        <v>106</v>
      </c>
      <c r="F33" s="91" t="s">
        <v>127</v>
      </c>
      <c r="G33" s="91">
        <v>3</v>
      </c>
      <c r="H33" s="91" t="s">
        <v>128</v>
      </c>
    </row>
    <row r="34" spans="2:8" x14ac:dyDescent="0.25">
      <c r="B34" s="91">
        <v>11416239</v>
      </c>
      <c r="C34" s="96">
        <v>44195</v>
      </c>
      <c r="D34" s="96">
        <v>44789</v>
      </c>
      <c r="E34" s="91" t="s">
        <v>115</v>
      </c>
      <c r="F34" s="91" t="s">
        <v>129</v>
      </c>
      <c r="G34" s="91">
        <v>3</v>
      </c>
      <c r="H34" s="91" t="s">
        <v>130</v>
      </c>
    </row>
    <row r="35" spans="2:8" x14ac:dyDescent="0.25">
      <c r="B35" s="91">
        <v>11416075</v>
      </c>
      <c r="C35" s="96">
        <v>43915</v>
      </c>
      <c r="D35" s="96">
        <v>44789</v>
      </c>
      <c r="E35" s="91" t="s">
        <v>97</v>
      </c>
      <c r="F35" s="91" t="s">
        <v>131</v>
      </c>
      <c r="G35" s="91">
        <v>5</v>
      </c>
      <c r="H35" s="91" t="s">
        <v>132</v>
      </c>
    </row>
    <row r="36" spans="2:8" x14ac:dyDescent="0.25">
      <c r="B36" s="91">
        <v>11416067</v>
      </c>
      <c r="C36" s="96">
        <v>44452</v>
      </c>
      <c r="D36" s="96">
        <v>44789</v>
      </c>
      <c r="E36" s="91" t="s">
        <v>90</v>
      </c>
      <c r="F36" s="91" t="s">
        <v>133</v>
      </c>
      <c r="G36" s="91">
        <v>3</v>
      </c>
      <c r="H36" s="91" t="s">
        <v>134</v>
      </c>
    </row>
    <row r="37" spans="2:8" x14ac:dyDescent="0.25">
      <c r="B37" s="91">
        <v>11415880</v>
      </c>
      <c r="C37" s="96">
        <v>43483</v>
      </c>
      <c r="D37" s="96">
        <v>44789</v>
      </c>
      <c r="E37" s="91" t="s">
        <v>95</v>
      </c>
      <c r="F37" s="91" t="s">
        <v>135</v>
      </c>
      <c r="G37" s="91">
        <v>3</v>
      </c>
      <c r="H37" s="91" t="s">
        <v>136</v>
      </c>
    </row>
    <row r="38" spans="2:8" x14ac:dyDescent="0.25">
      <c r="B38" s="91">
        <v>11415808</v>
      </c>
      <c r="C38" s="96">
        <v>43818</v>
      </c>
      <c r="D38" s="96">
        <v>44789</v>
      </c>
      <c r="E38" s="91" t="s">
        <v>95</v>
      </c>
      <c r="F38" s="91" t="s">
        <v>137</v>
      </c>
      <c r="G38" s="91">
        <v>3</v>
      </c>
      <c r="H38" s="91" t="s">
        <v>138</v>
      </c>
    </row>
    <row r="39" spans="2:8" x14ac:dyDescent="0.25">
      <c r="B39" s="97" t="s">
        <v>139</v>
      </c>
      <c r="C39" s="96">
        <v>44537</v>
      </c>
      <c r="D39" s="96">
        <v>44782</v>
      </c>
      <c r="E39" s="91" t="s">
        <v>97</v>
      </c>
      <c r="F39" s="91" t="s">
        <v>140</v>
      </c>
      <c r="G39" s="91">
        <v>3</v>
      </c>
      <c r="H39" s="91" t="s">
        <v>141</v>
      </c>
    </row>
    <row r="40" spans="2:8" x14ac:dyDescent="0.25">
      <c r="B40" s="91">
        <v>11412511</v>
      </c>
      <c r="C40" s="96">
        <v>43956</v>
      </c>
      <c r="D40" s="96">
        <v>44782</v>
      </c>
      <c r="E40" s="91" t="s">
        <v>90</v>
      </c>
      <c r="F40" s="91" t="s">
        <v>142</v>
      </c>
      <c r="G40" s="91">
        <v>3</v>
      </c>
      <c r="H40" s="91" t="s">
        <v>143</v>
      </c>
    </row>
    <row r="42" spans="2:8" s="50" customFormat="1" x14ac:dyDescent="0.25">
      <c r="B42" s="50" t="s">
        <v>214</v>
      </c>
    </row>
    <row r="43" spans="2:8" x14ac:dyDescent="0.25">
      <c r="B43" s="91" t="s">
        <v>209</v>
      </c>
    </row>
    <row r="44" spans="2:8" x14ac:dyDescent="0.25">
      <c r="B44" s="91" t="s">
        <v>208</v>
      </c>
    </row>
    <row r="45" spans="2:8" x14ac:dyDescent="0.25">
      <c r="B45" s="91" t="s">
        <v>239</v>
      </c>
    </row>
    <row r="46" spans="2:8" x14ac:dyDescent="0.25">
      <c r="B46" s="91" t="s">
        <v>207</v>
      </c>
    </row>
    <row r="47" spans="2:8" x14ac:dyDescent="0.25">
      <c r="B47" s="91" t="s">
        <v>206</v>
      </c>
    </row>
    <row r="49" spans="2:2" x14ac:dyDescent="0.25">
      <c r="B49" s="91" t="s">
        <v>211</v>
      </c>
    </row>
    <row r="50" spans="2:2" x14ac:dyDescent="0.25">
      <c r="B50" s="91" t="s">
        <v>210</v>
      </c>
    </row>
    <row r="52" spans="2:2" x14ac:dyDescent="0.25">
      <c r="B52" s="91" t="s">
        <v>212</v>
      </c>
    </row>
    <row r="53" spans="2:2" x14ac:dyDescent="0.25">
      <c r="B53" s="91" t="s">
        <v>213</v>
      </c>
    </row>
  </sheetData>
  <hyperlinks>
    <hyperlink ref="L9" r:id="rId1" xr:uid="{017F4174-4384-45F0-AAC6-FCF794EC3298}"/>
    <hyperlink ref="L10" r:id="rId2" xr:uid="{3B29E444-438B-4A53-9A39-53B02E6814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9"/>
  <sheetViews>
    <sheetView showGridLines="0" topLeftCell="A10" workbookViewId="0">
      <selection activeCell="P8" sqref="P8"/>
    </sheetView>
  </sheetViews>
  <sheetFormatPr defaultColWidth="14.42578125" defaultRowHeight="15" customHeight="1" x14ac:dyDescent="0.25"/>
  <cols>
    <col min="1" max="1" width="4.140625" customWidth="1"/>
    <col min="2" max="2" width="45.42578125" customWidth="1"/>
    <col min="3" max="10" width="10.42578125" customWidth="1"/>
    <col min="11" max="26" width="8.85546875" customWidth="1"/>
  </cols>
  <sheetData>
    <row r="1" spans="2:10" s="49" customFormat="1" ht="15" customHeight="1" x14ac:dyDescent="0.25">
      <c r="B1" s="2" t="s">
        <v>18</v>
      </c>
      <c r="C1" s="2"/>
      <c r="D1" s="2"/>
      <c r="E1" s="2"/>
      <c r="F1" s="2"/>
      <c r="G1" s="2"/>
      <c r="H1" s="2"/>
      <c r="I1" s="2"/>
      <c r="J1" s="2"/>
    </row>
    <row r="2" spans="2:10" ht="15" customHeight="1" x14ac:dyDescent="0.25">
      <c r="B2" s="57" t="str">
        <f>B11</f>
        <v>Fiscal Year</v>
      </c>
      <c r="C2" s="58">
        <f>C11</f>
        <v>44196</v>
      </c>
      <c r="D2" s="58">
        <f>D11</f>
        <v>44561</v>
      </c>
      <c r="E2" s="58">
        <f>E11</f>
        <v>44926</v>
      </c>
      <c r="F2" s="59">
        <f>F11</f>
        <v>45291</v>
      </c>
      <c r="G2" s="59">
        <f>G11</f>
        <v>45657</v>
      </c>
      <c r="H2" s="59">
        <f>H11</f>
        <v>46022</v>
      </c>
      <c r="I2" s="59">
        <f>I11</f>
        <v>46387</v>
      </c>
      <c r="J2" s="59">
        <f>J11</f>
        <v>46752</v>
      </c>
    </row>
    <row r="3" spans="2:10" ht="15" customHeight="1" x14ac:dyDescent="0.25">
      <c r="B3" s="98" t="s">
        <v>19</v>
      </c>
      <c r="C3" s="4"/>
      <c r="D3" s="60">
        <f>D12/C12-1</f>
        <v>0.3066945850055256</v>
      </c>
      <c r="E3" s="60">
        <f>E12/D12-1</f>
        <v>5.1500044511706644E-2</v>
      </c>
      <c r="F3" s="53">
        <v>-0.15</v>
      </c>
      <c r="G3" s="53">
        <v>0.03</v>
      </c>
      <c r="H3" s="53">
        <v>0.1</v>
      </c>
      <c r="I3" s="53">
        <v>0.15</v>
      </c>
      <c r="J3" s="53">
        <v>0.2</v>
      </c>
    </row>
    <row r="4" spans="2:10" ht="15" customHeight="1" x14ac:dyDescent="0.25">
      <c r="B4" s="98"/>
      <c r="C4" s="4"/>
      <c r="D4" s="4"/>
      <c r="E4" s="4"/>
      <c r="F4" s="4"/>
      <c r="G4" s="4"/>
      <c r="H4" s="4"/>
      <c r="I4" s="4"/>
      <c r="J4" s="4"/>
    </row>
    <row r="5" spans="2:10" ht="15" customHeight="1" x14ac:dyDescent="0.25">
      <c r="B5" s="98" t="s">
        <v>20</v>
      </c>
      <c r="C5" s="60">
        <f>C13/C12</f>
        <v>0.11434886290932356</v>
      </c>
      <c r="D5" s="60">
        <f>D13/D12</f>
        <v>0.12057331078073533</v>
      </c>
      <c r="E5" s="60">
        <f>E13/E12</f>
        <v>0.12646149938619142</v>
      </c>
      <c r="F5" s="60">
        <f t="shared" ref="F5:F6" si="0">AVERAGE(C5:E5)</f>
        <v>0.1204612243587501</v>
      </c>
      <c r="G5" s="60">
        <f t="shared" ref="G5:J5" si="1">F5</f>
        <v>0.1204612243587501</v>
      </c>
      <c r="H5" s="60">
        <f t="shared" si="1"/>
        <v>0.1204612243587501</v>
      </c>
      <c r="I5" s="60">
        <f t="shared" si="1"/>
        <v>0.1204612243587501</v>
      </c>
      <c r="J5" s="60">
        <f t="shared" si="1"/>
        <v>0.1204612243587501</v>
      </c>
    </row>
    <row r="6" spans="2:10" ht="15" customHeight="1" x14ac:dyDescent="0.25">
      <c r="B6" s="98" t="s">
        <v>21</v>
      </c>
      <c r="C6" s="60">
        <f>C16/C12</f>
        <v>0.21119060082591753</v>
      </c>
      <c r="D6" s="60">
        <f>D16/D12</f>
        <v>0.18747440576871718</v>
      </c>
      <c r="E6" s="60">
        <f>E16/E12</f>
        <v>0.22952207594293697</v>
      </c>
      <c r="F6" s="60">
        <f t="shared" si="0"/>
        <v>0.20939569417919057</v>
      </c>
      <c r="G6" s="60">
        <f t="shared" ref="G6:J7" si="2">F6</f>
        <v>0.20939569417919057</v>
      </c>
      <c r="H6" s="60">
        <f t="shared" si="2"/>
        <v>0.20939569417919057</v>
      </c>
      <c r="I6" s="60">
        <f t="shared" si="2"/>
        <v>0.20939569417919057</v>
      </c>
      <c r="J6" s="60">
        <f t="shared" si="2"/>
        <v>0.20939569417919057</v>
      </c>
    </row>
    <row r="7" spans="2:10" ht="15" customHeight="1" x14ac:dyDescent="0.25">
      <c r="B7" s="99" t="s">
        <v>228</v>
      </c>
      <c r="C7" s="61">
        <f>C17/C12</f>
        <v>0.15819228755889025</v>
      </c>
      <c r="D7" s="61">
        <f>D17/D12</f>
        <v>0.20312472180183389</v>
      </c>
      <c r="E7" s="61">
        <f>E17/E12</f>
        <v>0.27611226347203999</v>
      </c>
      <c r="F7" s="61">
        <f>AVERAGE(C7:E7)</f>
        <v>0.21247642427758806</v>
      </c>
      <c r="G7" s="61">
        <f>F7</f>
        <v>0.21247642427758806</v>
      </c>
      <c r="H7" s="61">
        <f t="shared" si="2"/>
        <v>0.21247642427758806</v>
      </c>
      <c r="I7" s="61">
        <f t="shared" si="2"/>
        <v>0.21247642427758806</v>
      </c>
      <c r="J7" s="61">
        <f t="shared" si="2"/>
        <v>0.21247642427758806</v>
      </c>
    </row>
    <row r="8" spans="2:10" ht="15" customHeight="1" x14ac:dyDescent="0.25">
      <c r="B8" s="98" t="s">
        <v>22</v>
      </c>
      <c r="C8" s="60">
        <f>C22/C21</f>
        <v>0.15883765799110131</v>
      </c>
      <c r="D8" s="60">
        <f>D22/D21</f>
        <v>0.15618942121296039</v>
      </c>
      <c r="E8" s="60">
        <f>E22/E21</f>
        <v>0.18616037118214682</v>
      </c>
      <c r="F8" s="60">
        <v>0.21</v>
      </c>
      <c r="G8" s="60">
        <v>0.21</v>
      </c>
      <c r="H8" s="60">
        <v>0.21</v>
      </c>
      <c r="I8" s="60">
        <v>0.21</v>
      </c>
      <c r="J8" s="60">
        <v>0.21</v>
      </c>
    </row>
    <row r="9" spans="2:10" ht="14.25" customHeight="1" x14ac:dyDescent="0.25">
      <c r="B9" s="91"/>
    </row>
    <row r="10" spans="2:10" s="49" customFormat="1" ht="14.25" customHeight="1" x14ac:dyDescent="0.25">
      <c r="B10" s="2" t="s">
        <v>0</v>
      </c>
      <c r="C10" s="2"/>
      <c r="D10" s="2"/>
      <c r="E10" s="2"/>
      <c r="F10" s="2"/>
      <c r="G10" s="2"/>
      <c r="H10" s="2"/>
      <c r="I10" s="2"/>
      <c r="J10" s="2"/>
    </row>
    <row r="11" spans="2:10" ht="14.25" customHeight="1" x14ac:dyDescent="0.25">
      <c r="B11" s="57" t="s">
        <v>1</v>
      </c>
      <c r="C11" s="58">
        <v>44196</v>
      </c>
      <c r="D11" s="58">
        <v>44561</v>
      </c>
      <c r="E11" s="58">
        <v>44926</v>
      </c>
      <c r="F11" s="59">
        <v>45291</v>
      </c>
      <c r="G11" s="59">
        <v>45657</v>
      </c>
      <c r="H11" s="59">
        <v>46022</v>
      </c>
      <c r="I11" s="59">
        <v>46387</v>
      </c>
      <c r="J11" s="59">
        <v>46752</v>
      </c>
    </row>
    <row r="12" spans="2:10" ht="14.25" customHeight="1" x14ac:dyDescent="0.25">
      <c r="B12" s="91" t="s">
        <v>2</v>
      </c>
      <c r="C12" s="62">
        <f>IS!D10</f>
        <v>85965</v>
      </c>
      <c r="D12" s="62">
        <f>IS!E10</f>
        <v>112330</v>
      </c>
      <c r="E12" s="62">
        <f>IS!F10</f>
        <v>118115</v>
      </c>
      <c r="F12" s="63">
        <f>E12*(1+F3)</f>
        <v>100397.75</v>
      </c>
      <c r="G12" s="63">
        <f>F12*(1+G3)</f>
        <v>103409.68250000001</v>
      </c>
      <c r="H12" s="63">
        <f>G12*(1+H3)</f>
        <v>113750.65075000002</v>
      </c>
      <c r="I12" s="63">
        <f>H12*(1+I3)</f>
        <v>130813.2483625</v>
      </c>
      <c r="J12" s="63">
        <f>I12*(1+J3)</f>
        <v>156975.89803499999</v>
      </c>
    </row>
    <row r="13" spans="2:10" ht="14.25" customHeight="1" x14ac:dyDescent="0.25">
      <c r="B13" s="100" t="s">
        <v>3</v>
      </c>
      <c r="C13" s="64">
        <f>IS!D13</f>
        <v>9830</v>
      </c>
      <c r="D13" s="64">
        <f>IS!E13</f>
        <v>13544</v>
      </c>
      <c r="E13" s="64">
        <f>IS!F13</f>
        <v>14937</v>
      </c>
      <c r="F13" s="65">
        <f>F5*F12</f>
        <v>12094.035887863703</v>
      </c>
      <c r="G13" s="65">
        <f>G5*G12</f>
        <v>12456.856964499615</v>
      </c>
      <c r="H13" s="65">
        <f>H5*H12</f>
        <v>13702.542660949577</v>
      </c>
      <c r="I13" s="65">
        <f>I5*I12</f>
        <v>15757.924060092013</v>
      </c>
      <c r="J13" s="65">
        <f>J5*J12</f>
        <v>18909.508872110415</v>
      </c>
    </row>
    <row r="14" spans="2:10" ht="14.25" customHeight="1" x14ac:dyDescent="0.25">
      <c r="B14" s="101" t="s">
        <v>4</v>
      </c>
      <c r="C14" s="66">
        <f t="shared" ref="C14:J14" si="3">C12-C13</f>
        <v>76135</v>
      </c>
      <c r="D14" s="66">
        <f t="shared" si="3"/>
        <v>98786</v>
      </c>
      <c r="E14" s="66">
        <f t="shared" si="3"/>
        <v>103178</v>
      </c>
      <c r="F14" s="66">
        <f t="shared" si="3"/>
        <v>88303.714112136295</v>
      </c>
      <c r="G14" s="66">
        <f t="shared" si="3"/>
        <v>90952.825535500393</v>
      </c>
      <c r="H14" s="66">
        <f t="shared" si="3"/>
        <v>100048.10808905044</v>
      </c>
      <c r="I14" s="66">
        <f t="shared" si="3"/>
        <v>115055.32430240799</v>
      </c>
      <c r="J14" s="66">
        <f t="shared" si="3"/>
        <v>138066.38916288957</v>
      </c>
    </row>
    <row r="15" spans="2:10" ht="14.25" customHeight="1" x14ac:dyDescent="0.25">
      <c r="B15" s="91" t="s">
        <v>5</v>
      </c>
      <c r="C15" s="3"/>
      <c r="D15" s="3"/>
      <c r="E15" s="3"/>
      <c r="F15" s="3"/>
      <c r="G15" s="3"/>
      <c r="H15" s="3"/>
      <c r="I15" s="3"/>
      <c r="J15" s="3"/>
    </row>
    <row r="16" spans="2:10" ht="14.25" customHeight="1" x14ac:dyDescent="0.25">
      <c r="B16" s="91" t="s">
        <v>227</v>
      </c>
      <c r="C16" s="62">
        <f>IS!D17+IS!D18</f>
        <v>18155</v>
      </c>
      <c r="D16" s="62">
        <f>IS!E17+IS!E18</f>
        <v>21059</v>
      </c>
      <c r="E16" s="62">
        <f>IS!F17+IS!F18</f>
        <v>27110</v>
      </c>
      <c r="F16" s="63">
        <f>F6*F12</f>
        <v>21022.856555278831</v>
      </c>
      <c r="G16" s="63">
        <f>G6*G12</f>
        <v>21653.542251937197</v>
      </c>
      <c r="H16" s="63">
        <f>H6*H12</f>
        <v>23818.896477130918</v>
      </c>
      <c r="I16" s="63">
        <f>I6*I12</f>
        <v>27391.730948700551</v>
      </c>
      <c r="J16" s="63">
        <f>J6*J12</f>
        <v>32870.077138440662</v>
      </c>
    </row>
    <row r="17" spans="2:10" ht="14.25" customHeight="1" x14ac:dyDescent="0.25">
      <c r="B17" s="91" t="s">
        <v>226</v>
      </c>
      <c r="C17" s="62">
        <f>IS!C16</f>
        <v>13599</v>
      </c>
      <c r="D17" s="62">
        <f>IS!E16</f>
        <v>22817</v>
      </c>
      <c r="E17" s="62">
        <f>IS!F16</f>
        <v>32613</v>
      </c>
      <c r="F17" s="63">
        <f>F7*F12</f>
        <v>21332.154925515217</v>
      </c>
      <c r="G17" s="63">
        <f>G7*G12</f>
        <v>21972.119573280674</v>
      </c>
      <c r="H17" s="63">
        <f>H7*H12</f>
        <v>24169.331530608742</v>
      </c>
      <c r="I17" s="63">
        <f>I7*I12</f>
        <v>27794.731260200053</v>
      </c>
      <c r="J17" s="63">
        <f>J7*J12</f>
        <v>33353.677512240058</v>
      </c>
    </row>
    <row r="18" spans="2:10" ht="14.25" customHeight="1" x14ac:dyDescent="0.25">
      <c r="B18" s="100" t="s">
        <v>6</v>
      </c>
      <c r="C18" s="65">
        <f>SUM(D16+D17)</f>
        <v>43876</v>
      </c>
      <c r="D18" s="65">
        <f t="shared" ref="D18:J18" si="4">SUM(D16+D17)</f>
        <v>43876</v>
      </c>
      <c r="E18" s="65">
        <f t="shared" si="4"/>
        <v>59723</v>
      </c>
      <c r="F18" s="65">
        <f t="shared" si="4"/>
        <v>42355.011480794048</v>
      </c>
      <c r="G18" s="65">
        <f t="shared" si="4"/>
        <v>43625.661825217874</v>
      </c>
      <c r="H18" s="65">
        <f t="shared" si="4"/>
        <v>47988.228007739657</v>
      </c>
      <c r="I18" s="65">
        <f t="shared" si="4"/>
        <v>55186.462208900601</v>
      </c>
      <c r="J18" s="65">
        <f t="shared" si="4"/>
        <v>66223.754650680727</v>
      </c>
    </row>
    <row r="19" spans="2:10" ht="14.25" customHeight="1" x14ac:dyDescent="0.25">
      <c r="B19" s="101" t="s">
        <v>7</v>
      </c>
      <c r="C19" s="66">
        <f t="shared" ref="C19:J19" si="5">C14-C18</f>
        <v>32259</v>
      </c>
      <c r="D19" s="66">
        <f t="shared" si="5"/>
        <v>54910</v>
      </c>
      <c r="E19" s="66">
        <f t="shared" si="5"/>
        <v>43455</v>
      </c>
      <c r="F19" s="66">
        <f t="shared" si="5"/>
        <v>45948.702631342247</v>
      </c>
      <c r="G19" s="66">
        <f t="shared" si="5"/>
        <v>47327.163710282519</v>
      </c>
      <c r="H19" s="66">
        <f t="shared" si="5"/>
        <v>52059.880081310781</v>
      </c>
      <c r="I19" s="66">
        <f t="shared" si="5"/>
        <v>59868.862093507385</v>
      </c>
      <c r="J19" s="66">
        <f t="shared" si="5"/>
        <v>71842.634512208839</v>
      </c>
    </row>
    <row r="20" spans="2:10" ht="14.25" customHeight="1" x14ac:dyDescent="0.25">
      <c r="B20" s="100" t="s">
        <v>8</v>
      </c>
      <c r="C20" s="64">
        <f>IS!D15</f>
        <v>6862</v>
      </c>
      <c r="D20" s="64">
        <f>IS!E15</f>
        <v>7967</v>
      </c>
      <c r="E20" s="64">
        <f>IS!F15</f>
        <v>8324</v>
      </c>
      <c r="F20" s="64">
        <f>'Supporting Schedules'!F10</f>
        <v>13140.14693457198</v>
      </c>
      <c r="G20" s="64">
        <f>'Supporting Schedules'!G10</f>
        <v>13266.541175490425</v>
      </c>
      <c r="H20" s="64">
        <f>'Supporting Schedules'!H10</f>
        <v>13924.812841624649</v>
      </c>
      <c r="I20" s="64">
        <f>'Supporting Schedules'!I10</f>
        <v>14615.74724785843</v>
      </c>
      <c r="J20" s="64">
        <f>'Supporting Schedules'!J10</f>
        <v>16802.539809409383</v>
      </c>
    </row>
    <row r="21" spans="2:10" ht="14.25" customHeight="1" x14ac:dyDescent="0.25">
      <c r="B21" s="101" t="s">
        <v>9</v>
      </c>
      <c r="C21" s="66">
        <f>C19-C20</f>
        <v>25397</v>
      </c>
      <c r="D21" s="66">
        <f>D19-D20</f>
        <v>46943</v>
      </c>
      <c r="E21" s="66">
        <f>E19-E20</f>
        <v>35131</v>
      </c>
      <c r="F21" s="66">
        <f>F19-F20</f>
        <v>32808.555696770265</v>
      </c>
      <c r="G21" s="66">
        <f>G19-G20</f>
        <v>34060.622534792092</v>
      </c>
      <c r="H21" s="66">
        <f>H19-H20</f>
        <v>38135.067239686134</v>
      </c>
      <c r="I21" s="66">
        <f>I19-I20</f>
        <v>45253.114845648954</v>
      </c>
      <c r="J21" s="66">
        <f>J19-J20</f>
        <v>55040.094702799455</v>
      </c>
    </row>
    <row r="22" spans="2:10" ht="14.25" customHeight="1" x14ac:dyDescent="0.25">
      <c r="B22" s="100" t="s">
        <v>10</v>
      </c>
      <c r="C22" s="64">
        <f>IS!D25</f>
        <v>4034</v>
      </c>
      <c r="D22" s="64">
        <f>IS!E25</f>
        <v>7332</v>
      </c>
      <c r="E22" s="64">
        <f>IS!F25</f>
        <v>6540</v>
      </c>
      <c r="F22" s="65">
        <f>F8*F21</f>
        <v>6889.796696321755</v>
      </c>
      <c r="G22" s="65">
        <f>G8*G21</f>
        <v>7152.7307323063387</v>
      </c>
      <c r="H22" s="65">
        <f>H8*H21</f>
        <v>8008.3641203340876</v>
      </c>
      <c r="I22" s="65">
        <f>I8*I21</f>
        <v>9503.1541175862803</v>
      </c>
      <c r="J22" s="65">
        <f>J8*J21</f>
        <v>11558.419887587885</v>
      </c>
    </row>
    <row r="23" spans="2:10" ht="14.25" customHeight="1" x14ac:dyDescent="0.25">
      <c r="B23" s="101" t="s">
        <v>77</v>
      </c>
      <c r="C23" s="66">
        <f>C21-C22</f>
        <v>21363</v>
      </c>
      <c r="D23" s="66">
        <f>D21-D22</f>
        <v>39611</v>
      </c>
      <c r="E23" s="66">
        <f>E21-E22</f>
        <v>28591</v>
      </c>
      <c r="F23" s="66">
        <f>F21-F22</f>
        <v>25918.75900044851</v>
      </c>
      <c r="G23" s="66">
        <f t="shared" ref="G23:J23" si="6">G21-G22</f>
        <v>26907.891802485752</v>
      </c>
      <c r="H23" s="66">
        <f t="shared" si="6"/>
        <v>30126.703119352045</v>
      </c>
      <c r="I23" s="66">
        <f t="shared" si="6"/>
        <v>35749.960728062673</v>
      </c>
      <c r="J23" s="66">
        <f t="shared" si="6"/>
        <v>43481.674815211569</v>
      </c>
    </row>
    <row r="24" spans="2:10" ht="14.25" customHeight="1" x14ac:dyDescent="0.25">
      <c r="B24" s="91" t="s">
        <v>11</v>
      </c>
      <c r="C24" s="63">
        <f>C20</f>
        <v>6862</v>
      </c>
      <c r="D24" s="63">
        <f>D20</f>
        <v>7967</v>
      </c>
      <c r="E24" s="63">
        <f>E20</f>
        <v>8324</v>
      </c>
      <c r="F24" s="63">
        <f>F20</f>
        <v>13140.14693457198</v>
      </c>
      <c r="G24" s="63">
        <f>G20</f>
        <v>13266.541175490425</v>
      </c>
      <c r="H24" s="63">
        <f>H20</f>
        <v>13924.812841624649</v>
      </c>
      <c r="I24" s="63">
        <f>I20</f>
        <v>14615.74724785843</v>
      </c>
      <c r="J24" s="63">
        <f>J20</f>
        <v>16802.539809409383</v>
      </c>
    </row>
    <row r="25" spans="2:10" ht="14.25" customHeight="1" x14ac:dyDescent="0.25">
      <c r="B25" s="91" t="s">
        <v>12</v>
      </c>
      <c r="C25" s="62">
        <f>'Supporting Schedules'!C11</f>
        <v>17905</v>
      </c>
      <c r="D25" s="62">
        <f>'Supporting Schedules'!D11</f>
        <v>21026</v>
      </c>
      <c r="E25" s="62">
        <f>'Supporting Schedules'!E11</f>
        <v>30914</v>
      </c>
      <c r="F25" s="62">
        <f>'Supporting Schedules'!F11</f>
        <v>13980.64</v>
      </c>
      <c r="G25" s="62">
        <f>'Supporting Schedules'!G11</f>
        <v>17643.898613085603</v>
      </c>
      <c r="H25" s="62">
        <f>'Supporting Schedules'!H11</f>
        <v>18519.370100604643</v>
      </c>
      <c r="I25" s="62">
        <f>'Supporting Schedules'!I11</f>
        <v>29157.422328600962</v>
      </c>
      <c r="J25" s="62">
        <f>'Supporting Schedules'!J11</f>
        <v>33519.924852823722</v>
      </c>
    </row>
    <row r="26" spans="2:10" ht="14.25" customHeight="1" x14ac:dyDescent="0.25">
      <c r="B26" s="91" t="s">
        <v>13</v>
      </c>
      <c r="C26" s="62">
        <f>C27-('Supporting Schedules'!C33-'Supporting Schedules'!C40)</f>
        <v>1753</v>
      </c>
      <c r="D26" s="63">
        <f t="shared" ref="D26:E26" si="7">D27-C27</f>
        <v>1299</v>
      </c>
      <c r="E26" s="63">
        <f t="shared" ref="E26" si="8">E27-D27</f>
        <v>-5682</v>
      </c>
      <c r="F26" s="63">
        <f t="shared" ref="F26" si="9">F27-E27</f>
        <v>2860.6086682389578</v>
      </c>
      <c r="G26" s="63">
        <f t="shared" ref="G26" si="10">G27-F27</f>
        <v>-98.621739952830467</v>
      </c>
      <c r="H26" s="63">
        <f t="shared" ref="H26" si="11">H27-G27</f>
        <v>-338.60130717138418</v>
      </c>
      <c r="I26" s="63">
        <f t="shared" ref="I26" si="12">I27-H27</f>
        <v>-558.69215683279253</v>
      </c>
      <c r="J26" s="63">
        <f t="shared" ref="J26" si="13">J27-I27</f>
        <v>-856.66130714360406</v>
      </c>
    </row>
    <row r="27" spans="2:10" ht="14.25" customHeight="1" x14ac:dyDescent="0.25">
      <c r="B27" s="102" t="s">
        <v>14</v>
      </c>
      <c r="C27" s="63">
        <f t="shared" ref="C27:J27" si="14">C28-C29</f>
        <v>-1765</v>
      </c>
      <c r="D27" s="63">
        <f t="shared" si="14"/>
        <v>-466</v>
      </c>
      <c r="E27" s="63">
        <f t="shared" si="14"/>
        <v>-6148</v>
      </c>
      <c r="F27" s="63">
        <f t="shared" si="14"/>
        <v>-3287.3913317610422</v>
      </c>
      <c r="G27" s="63">
        <f t="shared" si="14"/>
        <v>-3386.0130717138727</v>
      </c>
      <c r="H27" s="63">
        <f t="shared" si="14"/>
        <v>-3724.6143788852569</v>
      </c>
      <c r="I27" s="63">
        <f t="shared" si="14"/>
        <v>-4283.3065357180494</v>
      </c>
      <c r="J27" s="63">
        <f t="shared" si="14"/>
        <v>-5139.9678428616535</v>
      </c>
    </row>
    <row r="28" spans="2:10" ht="14.25" customHeight="1" x14ac:dyDescent="0.25">
      <c r="B28" s="102" t="s">
        <v>15</v>
      </c>
      <c r="C28" s="62">
        <f>'Supporting Schedules'!D33</f>
        <v>10179</v>
      </c>
      <c r="D28" s="62">
        <f>'Supporting Schedules'!E33</f>
        <v>17346</v>
      </c>
      <c r="E28" s="62">
        <f>'Supporting Schedules'!F33</f>
        <v>16539</v>
      </c>
      <c r="F28" s="62">
        <f>'Supporting Schedules'!G33</f>
        <v>13845.211448584902</v>
      </c>
      <c r="G28" s="62">
        <f>'Supporting Schedules'!H33</f>
        <v>14260.567792042451</v>
      </c>
      <c r="H28" s="62">
        <f>'Supporting Schedules'!I33</f>
        <v>15686.624571246699</v>
      </c>
      <c r="I28" s="62">
        <f>'Supporting Schedules'!J33</f>
        <v>18039.6182569337</v>
      </c>
      <c r="J28" s="62">
        <f>'Supporting Schedules'!K33</f>
        <v>21647.54190832044</v>
      </c>
    </row>
    <row r="29" spans="2:10" ht="14.25" customHeight="1" x14ac:dyDescent="0.25">
      <c r="B29" s="102" t="s">
        <v>16</v>
      </c>
      <c r="C29" s="62">
        <f>'Supporting Schedules'!D40</f>
        <v>11944</v>
      </c>
      <c r="D29" s="62">
        <f>'Supporting Schedules'!E40</f>
        <v>17812</v>
      </c>
      <c r="E29" s="62">
        <f>'Supporting Schedules'!F40</f>
        <v>22687</v>
      </c>
      <c r="F29" s="62">
        <f>'Supporting Schedules'!G40</f>
        <v>17132.602780345944</v>
      </c>
      <c r="G29" s="62">
        <f>'Supporting Schedules'!H40</f>
        <v>17646.580863756324</v>
      </c>
      <c r="H29" s="62">
        <f>'Supporting Schedules'!I40</f>
        <v>19411.238950131956</v>
      </c>
      <c r="I29" s="62">
        <f>'Supporting Schedules'!J40</f>
        <v>22322.924792651749</v>
      </c>
      <c r="J29" s="62">
        <f>'Supporting Schedules'!K40</f>
        <v>26787.509751182093</v>
      </c>
    </row>
    <row r="30" spans="2:10" ht="14.25" customHeight="1" x14ac:dyDescent="0.25">
      <c r="B30" s="103" t="s">
        <v>17</v>
      </c>
      <c r="C30" s="67">
        <f t="shared" ref="C30:J30" si="15">C23+C24-C25-C26</f>
        <v>8567</v>
      </c>
      <c r="D30" s="67">
        <f t="shared" si="15"/>
        <v>25253</v>
      </c>
      <c r="E30" s="67">
        <f t="shared" si="15"/>
        <v>11683</v>
      </c>
      <c r="F30" s="67">
        <f t="shared" si="15"/>
        <v>22217.657266781534</v>
      </c>
      <c r="G30" s="67">
        <f t="shared" si="15"/>
        <v>22629.156104843401</v>
      </c>
      <c r="H30" s="67">
        <f t="shared" si="15"/>
        <v>25870.747167543435</v>
      </c>
      <c r="I30" s="67">
        <f t="shared" si="15"/>
        <v>21766.977804152935</v>
      </c>
      <c r="J30" s="67">
        <f t="shared" si="15"/>
        <v>27620.951078940834</v>
      </c>
    </row>
    <row r="31" spans="2:10" ht="14.25" customHeight="1" x14ac:dyDescent="0.25">
      <c r="B31" s="91"/>
    </row>
    <row r="32" spans="2:10" s="49" customFormat="1" ht="14.25" customHeight="1" x14ac:dyDescent="0.25">
      <c r="B32" s="2" t="s">
        <v>0</v>
      </c>
      <c r="C32" s="2"/>
      <c r="D32" s="2"/>
      <c r="E32" s="2"/>
      <c r="F32" s="2"/>
      <c r="G32" s="2"/>
      <c r="H32" s="2"/>
      <c r="I32" s="2"/>
      <c r="J32" s="2"/>
    </row>
    <row r="33" spans="2:11" ht="14.25" customHeight="1" x14ac:dyDescent="0.25">
      <c r="B33" s="57" t="s">
        <v>1</v>
      </c>
      <c r="C33" s="58">
        <v>44196</v>
      </c>
      <c r="D33" s="58">
        <v>44561</v>
      </c>
      <c r="E33" s="58">
        <v>44926</v>
      </c>
      <c r="F33" s="59">
        <v>45291</v>
      </c>
      <c r="G33" s="59">
        <v>45657</v>
      </c>
      <c r="H33" s="59">
        <v>46022</v>
      </c>
      <c r="I33" s="59">
        <v>46387</v>
      </c>
      <c r="J33" s="59">
        <v>46752</v>
      </c>
    </row>
    <row r="34" spans="2:11" ht="14.25" customHeight="1" x14ac:dyDescent="0.25">
      <c r="B34" s="91" t="s">
        <v>17</v>
      </c>
      <c r="C34" s="68">
        <f>C30</f>
        <v>8567</v>
      </c>
      <c r="D34" s="68">
        <f t="shared" ref="D34:J34" si="16">D30</f>
        <v>25253</v>
      </c>
      <c r="E34" s="68">
        <f t="shared" si="16"/>
        <v>11683</v>
      </c>
      <c r="F34" s="68">
        <f t="shared" si="16"/>
        <v>22217.657266781534</v>
      </c>
      <c r="G34" s="68">
        <f t="shared" si="16"/>
        <v>22629.156104843401</v>
      </c>
      <c r="H34" s="68">
        <f t="shared" si="16"/>
        <v>25870.747167543435</v>
      </c>
      <c r="I34" s="68">
        <f t="shared" si="16"/>
        <v>21766.977804152935</v>
      </c>
      <c r="J34" s="68">
        <f t="shared" si="16"/>
        <v>27620.951078940834</v>
      </c>
    </row>
    <row r="35" spans="2:11" ht="14.25" customHeight="1" x14ac:dyDescent="0.25">
      <c r="B35" s="91"/>
    </row>
    <row r="36" spans="2:11" ht="14.25" customHeight="1" x14ac:dyDescent="0.25">
      <c r="B36" s="91" t="s">
        <v>40</v>
      </c>
      <c r="F36" s="54">
        <v>1</v>
      </c>
      <c r="G36" s="54">
        <v>2</v>
      </c>
      <c r="H36" s="54">
        <v>3</v>
      </c>
      <c r="I36" s="54">
        <v>4</v>
      </c>
      <c r="J36" s="54">
        <v>5</v>
      </c>
    </row>
    <row r="37" spans="2:11" ht="14.25" customHeight="1" x14ac:dyDescent="0.25">
      <c r="B37" s="104" t="s">
        <v>41</v>
      </c>
      <c r="C37" s="6"/>
      <c r="D37" s="6"/>
      <c r="E37" s="6"/>
      <c r="F37" s="69">
        <f>F34/(1+$C$42)^F36</f>
        <v>20256.481902204963</v>
      </c>
      <c r="G37" s="69">
        <f t="shared" ref="G37:J37" si="17">G34/(1+$C$42)^G36</f>
        <v>18810.479791927111</v>
      </c>
      <c r="H37" s="69">
        <f t="shared" si="17"/>
        <v>19606.778550634303</v>
      </c>
      <c r="I37" s="69">
        <f t="shared" si="17"/>
        <v>15040.461552006864</v>
      </c>
      <c r="J37" s="69">
        <f t="shared" si="17"/>
        <v>17400.727881072158</v>
      </c>
    </row>
    <row r="38" spans="2:11" ht="14.25" customHeight="1" x14ac:dyDescent="0.25"/>
    <row r="39" spans="2:11" s="49" customFormat="1" ht="14.25" customHeight="1" x14ac:dyDescent="0.25">
      <c r="B39" s="11" t="s">
        <v>42</v>
      </c>
      <c r="C39" s="112"/>
      <c r="E39" s="11" t="s">
        <v>43</v>
      </c>
      <c r="F39" s="113"/>
      <c r="G39" s="113"/>
      <c r="H39" s="113"/>
      <c r="I39" s="113"/>
      <c r="J39" s="113"/>
      <c r="K39" s="112"/>
    </row>
    <row r="40" spans="2:11" ht="14.25" customHeight="1" x14ac:dyDescent="0.25">
      <c r="B40" s="105" t="s">
        <v>44</v>
      </c>
      <c r="C40" s="68">
        <f>SUM(F37:J37)</f>
        <v>91114.929677845401</v>
      </c>
    </row>
    <row r="41" spans="2:11" ht="14.25" customHeight="1" x14ac:dyDescent="0.25">
      <c r="B41" s="105" t="s">
        <v>45</v>
      </c>
      <c r="C41" s="55">
        <v>0.03</v>
      </c>
      <c r="E41" s="1"/>
      <c r="F41" s="1"/>
      <c r="G41" s="11" t="s">
        <v>45</v>
      </c>
      <c r="H41" s="113"/>
      <c r="I41" s="113"/>
      <c r="J41" s="113"/>
      <c r="K41" s="112"/>
    </row>
    <row r="42" spans="2:11" ht="14.25" customHeight="1" x14ac:dyDescent="0.25">
      <c r="B42" s="105" t="s">
        <v>46</v>
      </c>
      <c r="C42" s="118">
        <f>WACC!C18</f>
        <v>9.6817175561127025E-2</v>
      </c>
      <c r="E42" s="1"/>
      <c r="F42" s="70">
        <f>C51</f>
        <v>147.51304586456604</v>
      </c>
      <c r="G42" s="71">
        <f>H42-0.5%</f>
        <v>1.9999999999999997E-2</v>
      </c>
      <c r="H42" s="71">
        <f>I42-0.5%</f>
        <v>2.4999999999999998E-2</v>
      </c>
      <c r="I42" s="71">
        <v>0.03</v>
      </c>
      <c r="J42" s="71">
        <f>I42+0.5%</f>
        <v>3.4999999999999996E-2</v>
      </c>
      <c r="K42" s="71">
        <f>J42+0.5%</f>
        <v>3.9999999999999994E-2</v>
      </c>
    </row>
    <row r="43" spans="2:11" ht="14.25" customHeight="1" x14ac:dyDescent="0.25">
      <c r="B43" s="105" t="s">
        <v>47</v>
      </c>
      <c r="C43" s="68">
        <f>J34*(1+C41)/(C42-C41)</f>
        <v>425782.43351939117</v>
      </c>
      <c r="E43" s="12" t="s">
        <v>46</v>
      </c>
      <c r="F43" s="71">
        <f>F44-0.5%</f>
        <v>8.6817175561127016E-2</v>
      </c>
      <c r="G43" s="70">
        <f t="dataTable" ref="G43:K47" dt2D="1" dtr="1" r1="C41" r2="C42"/>
        <v>152.15118531229865</v>
      </c>
      <c r="H43" s="70">
        <v>161.18792700977951</v>
      </c>
      <c r="I43" s="70">
        <v>171.81516341387584</v>
      </c>
      <c r="J43" s="70">
        <v>184.49330982783164</v>
      </c>
      <c r="K43" s="70">
        <v>199.87946804771164</v>
      </c>
    </row>
    <row r="44" spans="2:11" ht="14.25" customHeight="1" x14ac:dyDescent="0.25">
      <c r="B44" s="105" t="s">
        <v>48</v>
      </c>
      <c r="C44" s="68">
        <f>C43/(1+C42)^J36</f>
        <v>268235.66795498371</v>
      </c>
      <c r="D44" s="5"/>
      <c r="E44" s="114"/>
      <c r="F44" s="71">
        <f>F45-0.5%</f>
        <v>9.1817175561127021E-2</v>
      </c>
      <c r="G44" s="70">
        <v>142.16941005815556</v>
      </c>
      <c r="H44" s="72">
        <v>149.80634323704058</v>
      </c>
      <c r="I44" s="72">
        <v>158.67868277501003</v>
      </c>
      <c r="J44" s="72">
        <v>169.11258172707318</v>
      </c>
      <c r="K44" s="70">
        <v>181.56007922808749</v>
      </c>
    </row>
    <row r="45" spans="2:11" ht="14.25" customHeight="1" x14ac:dyDescent="0.25">
      <c r="B45" s="105" t="s">
        <v>49</v>
      </c>
      <c r="C45" s="68">
        <f>C44+C40</f>
        <v>359350.5976328291</v>
      </c>
      <c r="E45" s="114"/>
      <c r="F45" s="71">
        <v>9.6817175561127025E-2</v>
      </c>
      <c r="G45" s="70">
        <v>133.4919586759747</v>
      </c>
      <c r="H45" s="72">
        <v>140.01441961180319</v>
      </c>
      <c r="I45" s="9">
        <v>147.51304586456604</v>
      </c>
      <c r="J45" s="72">
        <v>156.22470493299804</v>
      </c>
      <c r="K45" s="70">
        <v>166.4696431520382</v>
      </c>
    </row>
    <row r="46" spans="2:11" ht="14.25" customHeight="1" x14ac:dyDescent="0.25">
      <c r="B46" s="102" t="s">
        <v>50</v>
      </c>
      <c r="C46" s="73">
        <f>BS!E10+BS!E11</f>
        <v>41776</v>
      </c>
      <c r="E46" s="114"/>
      <c r="F46" s="71">
        <f>F45+0.5%</f>
        <v>0.10181717556112703</v>
      </c>
      <c r="G46" s="70">
        <v>125.87957135531896</v>
      </c>
      <c r="H46" s="72">
        <v>131.50161410018373</v>
      </c>
      <c r="I46" s="72">
        <v>137.90648389177352</v>
      </c>
      <c r="J46" s="72">
        <v>145.26992006061619</v>
      </c>
      <c r="K46" s="70">
        <v>153.82451970498212</v>
      </c>
    </row>
    <row r="47" spans="2:11" ht="14.25" customHeight="1" x14ac:dyDescent="0.25">
      <c r="B47" s="102" t="s">
        <v>51</v>
      </c>
      <c r="C47" s="73">
        <f>BS!E32</f>
        <v>9922</v>
      </c>
      <c r="E47" s="115"/>
      <c r="F47" s="71">
        <f>F46+0.5%</f>
        <v>0.10681717556112703</v>
      </c>
      <c r="G47" s="70">
        <v>119.14811042371609</v>
      </c>
      <c r="H47" s="70">
        <v>124.03329995727962</v>
      </c>
      <c r="I47" s="70">
        <v>129.55443965405587</v>
      </c>
      <c r="J47" s="70">
        <v>135.84435640919421</v>
      </c>
      <c r="K47" s="70">
        <v>143.07563542670238</v>
      </c>
    </row>
    <row r="48" spans="2:11" ht="14.25" customHeight="1" x14ac:dyDescent="0.25">
      <c r="B48" s="102" t="s">
        <v>52</v>
      </c>
      <c r="C48" s="56">
        <v>0</v>
      </c>
    </row>
    <row r="49" spans="2:3" ht="14.25" customHeight="1" x14ac:dyDescent="0.25">
      <c r="B49" s="106" t="s">
        <v>53</v>
      </c>
      <c r="C49" s="74">
        <f>C45+C46-C47-C48</f>
        <v>391204.5976328291</v>
      </c>
    </row>
    <row r="50" spans="2:3" ht="14.25" customHeight="1" x14ac:dyDescent="0.25">
      <c r="B50" s="105" t="s">
        <v>54</v>
      </c>
      <c r="C50" s="54">
        <v>2652</v>
      </c>
    </row>
    <row r="51" spans="2:3" ht="14.25" customHeight="1" x14ac:dyDescent="0.25">
      <c r="B51" s="103" t="s">
        <v>55</v>
      </c>
      <c r="C51" s="75">
        <f>C49/C50</f>
        <v>147.51304586456604</v>
      </c>
    </row>
    <row r="52" spans="2:3" ht="14.25" customHeight="1" x14ac:dyDescent="0.25"/>
    <row r="53" spans="2:3" ht="14.25" customHeight="1" x14ac:dyDescent="0.25"/>
    <row r="54" spans="2:3" ht="14.25" customHeight="1" x14ac:dyDescent="0.25"/>
    <row r="55" spans="2:3" ht="14.25" customHeight="1" x14ac:dyDescent="0.25"/>
    <row r="56" spans="2:3" ht="14.25" customHeight="1" x14ac:dyDescent="0.25"/>
    <row r="57" spans="2:3" ht="14.25" customHeight="1" x14ac:dyDescent="0.25"/>
    <row r="58" spans="2:3" ht="14.25" customHeight="1" x14ac:dyDescent="0.25"/>
    <row r="59" spans="2:3" ht="14.25" customHeight="1" x14ac:dyDescent="0.25"/>
    <row r="60" spans="2:3" ht="14.25" customHeight="1" x14ac:dyDescent="0.25"/>
    <row r="61" spans="2:3" ht="14.25" customHeight="1" x14ac:dyDescent="0.25"/>
    <row r="62" spans="2:3" ht="14.25" customHeight="1" x14ac:dyDescent="0.25"/>
    <row r="63" spans="2:3" ht="14.25" customHeight="1" x14ac:dyDescent="0.25"/>
    <row r="64" spans="2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</sheetData>
  <mergeCells count="4">
    <mergeCell ref="B39:C39"/>
    <mergeCell ref="E39:K39"/>
    <mergeCell ref="G41:K41"/>
    <mergeCell ref="E43:E4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C11" sqref="C11"/>
    </sheetView>
  </sheetViews>
  <sheetFormatPr defaultColWidth="14.42578125" defaultRowHeight="15" customHeight="1" x14ac:dyDescent="0.25"/>
  <cols>
    <col min="1" max="1" width="8.85546875" customWidth="1"/>
    <col min="2" max="2" width="37.140625" customWidth="1"/>
    <col min="3" max="26" width="8.85546875" customWidth="1"/>
  </cols>
  <sheetData>
    <row r="1" spans="2:3" ht="14.25" customHeight="1" x14ac:dyDescent="0.25"/>
    <row r="2" spans="2:3" ht="14.25" customHeight="1" x14ac:dyDescent="0.25">
      <c r="B2" s="11" t="s">
        <v>56</v>
      </c>
      <c r="C2" s="112"/>
    </row>
    <row r="3" spans="2:3" ht="14.25" customHeight="1" x14ac:dyDescent="0.25">
      <c r="B3" s="105" t="s">
        <v>57</v>
      </c>
      <c r="C3" s="117">
        <f>BS!E41</f>
        <v>124094</v>
      </c>
    </row>
    <row r="4" spans="2:3" ht="14.25" customHeight="1" x14ac:dyDescent="0.25">
      <c r="B4" s="105" t="s">
        <v>58</v>
      </c>
      <c r="C4" s="73">
        <f>BS!E32</f>
        <v>9922</v>
      </c>
    </row>
    <row r="5" spans="2:3" ht="14.25" customHeight="1" x14ac:dyDescent="0.25">
      <c r="B5" s="105"/>
      <c r="C5" s="1"/>
    </row>
    <row r="6" spans="2:3" ht="14.25" customHeight="1" x14ac:dyDescent="0.25">
      <c r="B6" s="105" t="s">
        <v>59</v>
      </c>
      <c r="C6" s="79">
        <v>0.05</v>
      </c>
    </row>
    <row r="7" spans="2:3" ht="14.25" customHeight="1" x14ac:dyDescent="0.25">
      <c r="B7" s="105" t="s">
        <v>60</v>
      </c>
      <c r="C7" s="55">
        <v>0.21</v>
      </c>
    </row>
    <row r="8" spans="2:3" ht="14.25" customHeight="1" x14ac:dyDescent="0.25">
      <c r="B8" s="105" t="s">
        <v>61</v>
      </c>
      <c r="C8" s="82">
        <f>C4/(C4+C3)</f>
        <v>7.4035936007640885E-2</v>
      </c>
    </row>
    <row r="9" spans="2:3" ht="14.25" customHeight="1" x14ac:dyDescent="0.25">
      <c r="B9" s="104" t="s">
        <v>62</v>
      </c>
      <c r="C9" s="83">
        <f>C6*(1-C7)</f>
        <v>3.9500000000000007E-2</v>
      </c>
    </row>
    <row r="10" spans="2:3" ht="14.25" customHeight="1" x14ac:dyDescent="0.25">
      <c r="B10" s="101"/>
      <c r="C10" s="10"/>
    </row>
    <row r="11" spans="2:3" ht="14.25" customHeight="1" x14ac:dyDescent="0.25">
      <c r="B11" s="105" t="s">
        <v>63</v>
      </c>
      <c r="C11" s="80">
        <v>3.9E-2</v>
      </c>
    </row>
    <row r="12" spans="2:3" ht="14.25" customHeight="1" x14ac:dyDescent="0.25">
      <c r="B12" s="105" t="s">
        <v>64</v>
      </c>
      <c r="C12" s="81">
        <v>9.0999999999999998E-2</v>
      </c>
    </row>
    <row r="13" spans="2:3" ht="14.25" customHeight="1" x14ac:dyDescent="0.25">
      <c r="B13" s="105" t="s">
        <v>65</v>
      </c>
      <c r="C13" s="82">
        <f>C12-C11</f>
        <v>5.1999999999999998E-2</v>
      </c>
    </row>
    <row r="14" spans="2:3" ht="14.25" customHeight="1" x14ac:dyDescent="0.25">
      <c r="B14" s="105" t="s">
        <v>217</v>
      </c>
      <c r="C14" s="54">
        <v>1.2</v>
      </c>
    </row>
    <row r="15" spans="2:3" ht="14.25" customHeight="1" x14ac:dyDescent="0.25">
      <c r="B15" s="105" t="s">
        <v>66</v>
      </c>
      <c r="C15" s="82">
        <f>C3/(C4+C3)</f>
        <v>0.92596406399235909</v>
      </c>
    </row>
    <row r="16" spans="2:3" ht="14.25" customHeight="1" x14ac:dyDescent="0.25">
      <c r="B16" s="104" t="s">
        <v>67</v>
      </c>
      <c r="C16" s="83">
        <f>C11+C14*(C13)</f>
        <v>0.10139999999999999</v>
      </c>
    </row>
    <row r="17" spans="2:3" ht="14.25" customHeight="1" x14ac:dyDescent="0.25">
      <c r="B17" s="105"/>
      <c r="C17" s="1"/>
    </row>
    <row r="18" spans="2:3" ht="14.25" customHeight="1" x14ac:dyDescent="0.25">
      <c r="B18" s="103" t="s">
        <v>46</v>
      </c>
      <c r="C18" s="84">
        <f>C16*C15+C9*C8</f>
        <v>9.6817175561127025E-2</v>
      </c>
    </row>
    <row r="19" spans="2:3" ht="14.25" customHeight="1" x14ac:dyDescent="0.25"/>
    <row r="20" spans="2:3" ht="14.25" customHeight="1" x14ac:dyDescent="0.25"/>
    <row r="21" spans="2:3" ht="14.25" customHeight="1" x14ac:dyDescent="0.25"/>
    <row r="22" spans="2:3" ht="14.25" customHeight="1" x14ac:dyDescent="0.25"/>
    <row r="23" spans="2:3" ht="14.25" customHeight="1" x14ac:dyDescent="0.25"/>
    <row r="24" spans="2:3" ht="14.25" customHeight="1" x14ac:dyDescent="0.25"/>
    <row r="25" spans="2:3" ht="14.25" customHeight="1" x14ac:dyDescent="0.25"/>
    <row r="26" spans="2:3" ht="14.25" customHeight="1" x14ac:dyDescent="0.25"/>
    <row r="27" spans="2:3" ht="14.25" customHeight="1" x14ac:dyDescent="0.25"/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991"/>
  <sheetViews>
    <sheetView showGridLines="0" workbookViewId="0">
      <selection activeCell="N32" sqref="N32"/>
    </sheetView>
  </sheetViews>
  <sheetFormatPr defaultColWidth="14.42578125" defaultRowHeight="15" customHeight="1" x14ac:dyDescent="0.25"/>
  <cols>
    <col min="1" max="1" width="8.85546875" customWidth="1"/>
    <col min="2" max="2" width="42.7109375" bestFit="1" customWidth="1"/>
    <col min="3" max="10" width="8.42578125" customWidth="1"/>
    <col min="11" max="11" width="8.85546875" style="51" customWidth="1"/>
    <col min="12" max="26" width="8.85546875" customWidth="1"/>
  </cols>
  <sheetData>
    <row r="1" spans="2:11" ht="15" customHeight="1" x14ac:dyDescent="0.25">
      <c r="B1" s="91"/>
    </row>
    <row r="2" spans="2:11" s="49" customFormat="1" ht="14.25" customHeight="1" x14ac:dyDescent="0.25">
      <c r="B2" s="2" t="s">
        <v>18</v>
      </c>
      <c r="C2" s="2"/>
      <c r="D2" s="2"/>
      <c r="E2" s="2"/>
      <c r="F2" s="2"/>
      <c r="G2" s="2"/>
      <c r="H2" s="2"/>
      <c r="I2" s="2"/>
      <c r="J2" s="2"/>
      <c r="K2" s="116"/>
    </row>
    <row r="3" spans="2:11" ht="14.25" customHeight="1" x14ac:dyDescent="0.25">
      <c r="B3" s="57" t="s">
        <v>1</v>
      </c>
      <c r="C3" s="58">
        <v>44196</v>
      </c>
      <c r="D3" s="58">
        <v>44561</v>
      </c>
      <c r="E3" s="58">
        <v>44926</v>
      </c>
      <c r="F3" s="59">
        <v>45291</v>
      </c>
      <c r="G3" s="59">
        <v>45657</v>
      </c>
      <c r="H3" s="59">
        <v>46022</v>
      </c>
      <c r="I3" s="59">
        <v>46387</v>
      </c>
      <c r="J3" s="59">
        <v>46752</v>
      </c>
    </row>
    <row r="4" spans="2:11" ht="14.25" customHeight="1" x14ac:dyDescent="0.25">
      <c r="B4" s="98" t="s">
        <v>28</v>
      </c>
      <c r="C4" s="60">
        <f>C10/C9</f>
        <v>0.16865337822891832</v>
      </c>
      <c r="D4" s="60">
        <f>D10/D9</f>
        <v>0.15401121206263291</v>
      </c>
      <c r="E4" s="60">
        <f>E10/E9</f>
        <v>0.12847859976230533</v>
      </c>
      <c r="F4" s="60">
        <f>AVERAGE(C4:E4)</f>
        <v>0.15038106335128554</v>
      </c>
      <c r="G4" s="60">
        <f t="shared" ref="G4:J4" si="0">F4</f>
        <v>0.15038106335128554</v>
      </c>
      <c r="H4" s="60">
        <f t="shared" si="0"/>
        <v>0.15038106335128554</v>
      </c>
      <c r="I4" s="60">
        <f t="shared" si="0"/>
        <v>0.15038106335128554</v>
      </c>
      <c r="J4" s="60">
        <f t="shared" si="0"/>
        <v>0.15038106335128554</v>
      </c>
    </row>
    <row r="5" spans="2:11" ht="14.25" customHeight="1" x14ac:dyDescent="0.25">
      <c r="B5" s="98" t="s">
        <v>29</v>
      </c>
      <c r="C5" s="60">
        <f>C11/C9</f>
        <v>0.44006685181999167</v>
      </c>
      <c r="D5" s="60">
        <f>D11/D9</f>
        <v>0.40645660158515368</v>
      </c>
      <c r="E5" s="60">
        <f>E11/E9</f>
        <v>0.47714889873280958</v>
      </c>
      <c r="F5" s="53">
        <v>0.16</v>
      </c>
      <c r="G5" s="53">
        <v>0.2</v>
      </c>
      <c r="H5" s="53">
        <v>0.2</v>
      </c>
      <c r="I5" s="53">
        <v>0.3</v>
      </c>
      <c r="J5" s="53">
        <v>0.3</v>
      </c>
    </row>
    <row r="6" spans="2:11" ht="14.25" customHeight="1" x14ac:dyDescent="0.25">
      <c r="B6" s="91"/>
      <c r="C6" s="7"/>
      <c r="D6" s="7"/>
      <c r="E6" s="7"/>
      <c r="F6" s="7"/>
      <c r="G6" s="7"/>
      <c r="H6" s="7"/>
      <c r="I6" s="7"/>
      <c r="J6" s="7"/>
    </row>
    <row r="7" spans="2:11" s="49" customFormat="1" ht="14.25" customHeight="1" x14ac:dyDescent="0.25">
      <c r="B7" s="2" t="s">
        <v>23</v>
      </c>
      <c r="C7" s="2"/>
      <c r="D7" s="2"/>
      <c r="E7" s="2"/>
      <c r="F7" s="2"/>
      <c r="G7" s="2"/>
      <c r="H7" s="2"/>
      <c r="I7" s="2"/>
      <c r="J7" s="2"/>
      <c r="K7" s="116"/>
    </row>
    <row r="8" spans="2:11" ht="14.25" customHeight="1" x14ac:dyDescent="0.25">
      <c r="B8" s="57" t="s">
        <v>1</v>
      </c>
      <c r="C8" s="58">
        <v>44196</v>
      </c>
      <c r="D8" s="58">
        <v>44561</v>
      </c>
      <c r="E8" s="58">
        <v>44926</v>
      </c>
      <c r="F8" s="59">
        <v>45291</v>
      </c>
      <c r="G8" s="59">
        <v>45657</v>
      </c>
      <c r="H8" s="59">
        <v>46022</v>
      </c>
      <c r="I8" s="59">
        <v>46387</v>
      </c>
      <c r="J8" s="59">
        <v>46752</v>
      </c>
    </row>
    <row r="9" spans="2:11" ht="14.25" customHeight="1" x14ac:dyDescent="0.25">
      <c r="B9" s="91" t="s">
        <v>24</v>
      </c>
      <c r="C9" s="73">
        <f>SUM(BS!B16:B17)</f>
        <v>40687</v>
      </c>
      <c r="D9" s="73">
        <f>SUM(BS!C16:C17)</f>
        <v>51730</v>
      </c>
      <c r="E9" s="73">
        <f>SUM(BS!D16:D17)</f>
        <v>64789</v>
      </c>
      <c r="F9" s="68">
        <f>E12</f>
        <v>87379</v>
      </c>
      <c r="G9" s="68">
        <f t="shared" ref="G9:J9" si="1">F12</f>
        <v>88219.493065428018</v>
      </c>
      <c r="H9" s="68">
        <f t="shared" si="1"/>
        <v>92596.850503023205</v>
      </c>
      <c r="I9" s="68">
        <f t="shared" si="1"/>
        <v>97191.407762003204</v>
      </c>
      <c r="J9" s="68">
        <f t="shared" si="1"/>
        <v>111733.08284274575</v>
      </c>
    </row>
    <row r="10" spans="2:11" ht="14.25" customHeight="1" x14ac:dyDescent="0.25">
      <c r="B10" s="91" t="s">
        <v>25</v>
      </c>
      <c r="C10" s="73">
        <f>DCF!C20</f>
        <v>6862</v>
      </c>
      <c r="D10" s="73">
        <f>DCF!D20</f>
        <v>7967</v>
      </c>
      <c r="E10" s="73">
        <f>DCF!E20</f>
        <v>8324</v>
      </c>
      <c r="F10" s="68">
        <f>F4*F9</f>
        <v>13140.14693457198</v>
      </c>
      <c r="G10" s="68">
        <f t="shared" ref="G10:J10" si="2">G4*G9</f>
        <v>13266.541175490425</v>
      </c>
      <c r="H10" s="68">
        <f t="shared" si="2"/>
        <v>13924.812841624649</v>
      </c>
      <c r="I10" s="68">
        <f t="shared" si="2"/>
        <v>14615.74724785843</v>
      </c>
      <c r="J10" s="68">
        <f t="shared" si="2"/>
        <v>16802.539809409383</v>
      </c>
    </row>
    <row r="11" spans="2:11" ht="14.25" customHeight="1" x14ac:dyDescent="0.25">
      <c r="B11" s="91" t="s">
        <v>26</v>
      </c>
      <c r="C11" s="68">
        <f>C12-C9+C10</f>
        <v>17905</v>
      </c>
      <c r="D11" s="68">
        <f>D12-D9+D10</f>
        <v>21026</v>
      </c>
      <c r="E11" s="68">
        <f>E12-E9+E10</f>
        <v>30914</v>
      </c>
      <c r="F11" s="68">
        <f>F5*F9</f>
        <v>13980.64</v>
      </c>
      <c r="G11" s="68">
        <f t="shared" ref="G11:J11" si="3">G5*G9</f>
        <v>17643.898613085603</v>
      </c>
      <c r="H11" s="68">
        <f t="shared" si="3"/>
        <v>18519.370100604643</v>
      </c>
      <c r="I11" s="68">
        <f t="shared" si="3"/>
        <v>29157.422328600962</v>
      </c>
      <c r="J11" s="68">
        <f t="shared" si="3"/>
        <v>33519.924852823722</v>
      </c>
    </row>
    <row r="12" spans="2:11" ht="14.25" customHeight="1" x14ac:dyDescent="0.25">
      <c r="B12" s="104" t="s">
        <v>27</v>
      </c>
      <c r="C12" s="85">
        <f>SUM(BS!C16:C17)</f>
        <v>51730</v>
      </c>
      <c r="D12" s="85">
        <f>SUM(BS!D16:D17)</f>
        <v>64789</v>
      </c>
      <c r="E12" s="85">
        <f>SUM(BS!E16:E17)</f>
        <v>87379</v>
      </c>
      <c r="F12" s="86">
        <f>F9-F10+F11</f>
        <v>88219.493065428018</v>
      </c>
      <c r="G12" s="86">
        <f t="shared" ref="G12:J12" si="4">G9-G10+G11</f>
        <v>92596.850503023205</v>
      </c>
      <c r="H12" s="86">
        <f t="shared" si="4"/>
        <v>97191.407762003204</v>
      </c>
      <c r="I12" s="86">
        <f t="shared" si="4"/>
        <v>111733.08284274575</v>
      </c>
      <c r="J12" s="86">
        <f t="shared" si="4"/>
        <v>128450.46788616008</v>
      </c>
    </row>
    <row r="13" spans="2:11" ht="14.25" customHeight="1" x14ac:dyDescent="0.25">
      <c r="B13" s="91"/>
    </row>
    <row r="14" spans="2:11" ht="14.25" customHeight="1" x14ac:dyDescent="0.25">
      <c r="B14" s="91"/>
    </row>
    <row r="15" spans="2:11" s="49" customFormat="1" ht="14.25" customHeight="1" x14ac:dyDescent="0.25"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57" t="s">
        <v>1</v>
      </c>
      <c r="C16" s="58">
        <v>43830</v>
      </c>
      <c r="D16" s="58">
        <v>44196</v>
      </c>
      <c r="E16" s="58">
        <v>44561</v>
      </c>
      <c r="F16" s="58">
        <v>44926</v>
      </c>
      <c r="G16" s="59">
        <v>45291</v>
      </c>
      <c r="H16" s="59">
        <v>45657</v>
      </c>
      <c r="I16" s="59">
        <v>46022</v>
      </c>
      <c r="J16" s="59">
        <v>46387</v>
      </c>
      <c r="K16" s="59">
        <v>46752</v>
      </c>
    </row>
    <row r="17" spans="2:12" ht="14.25" customHeight="1" x14ac:dyDescent="0.25">
      <c r="B17" s="98" t="s">
        <v>2</v>
      </c>
      <c r="C17" s="87">
        <f>IS!C10</f>
        <v>70697</v>
      </c>
      <c r="D17" s="87">
        <f>DCF!C12</f>
        <v>85965</v>
      </c>
      <c r="E17" s="87">
        <f>DCF!D12</f>
        <v>112330</v>
      </c>
      <c r="F17" s="87">
        <f>DCF!E12</f>
        <v>118115</v>
      </c>
      <c r="G17" s="87">
        <f>DCF!F12</f>
        <v>100397.75</v>
      </c>
      <c r="H17" s="87">
        <f>DCF!G12</f>
        <v>103409.68250000001</v>
      </c>
      <c r="I17" s="87">
        <f>DCF!H12</f>
        <v>113750.65075000002</v>
      </c>
      <c r="J17" s="87">
        <f>DCF!I12</f>
        <v>130813.2483625</v>
      </c>
      <c r="K17" s="87">
        <f>DCF!J12</f>
        <v>156975.89803499999</v>
      </c>
    </row>
    <row r="18" spans="2:12" ht="14.25" customHeight="1" x14ac:dyDescent="0.25">
      <c r="B18" s="98" t="s">
        <v>3</v>
      </c>
      <c r="C18" s="87">
        <f>IS!C13</f>
        <v>5909</v>
      </c>
      <c r="D18" s="87">
        <f>DCF!C13</f>
        <v>9830</v>
      </c>
      <c r="E18" s="87">
        <f>DCF!D13</f>
        <v>13544</v>
      </c>
      <c r="F18" s="87">
        <f>DCF!E13</f>
        <v>14937</v>
      </c>
      <c r="G18" s="87">
        <f>DCF!F13</f>
        <v>12094.035887863703</v>
      </c>
      <c r="H18" s="87">
        <f>DCF!G13</f>
        <v>12456.856964499615</v>
      </c>
      <c r="I18" s="87">
        <f>DCF!H13</f>
        <v>13702.542660949577</v>
      </c>
      <c r="J18" s="87">
        <f>DCF!I13</f>
        <v>15757.924060092013</v>
      </c>
      <c r="K18" s="87">
        <f>DCF!J13</f>
        <v>18909.508872110415</v>
      </c>
    </row>
    <row r="19" spans="2:12" ht="14.25" customHeight="1" x14ac:dyDescent="0.25">
      <c r="B19" s="98"/>
      <c r="C19" s="4"/>
      <c r="D19" s="4"/>
      <c r="E19" s="4"/>
      <c r="F19" s="4"/>
      <c r="G19" s="4"/>
      <c r="H19" s="4"/>
      <c r="I19" s="4"/>
      <c r="J19" s="4"/>
      <c r="K19" s="4"/>
    </row>
    <row r="20" spans="2:12" ht="14.25" customHeight="1" x14ac:dyDescent="0.25">
      <c r="B20" s="98" t="s">
        <v>35</v>
      </c>
      <c r="C20" s="88">
        <f>C31/C17*360</f>
        <v>39.072096411446033</v>
      </c>
      <c r="D20" s="88">
        <f>D31/D17*360</f>
        <v>33.602512650497296</v>
      </c>
      <c r="E20" s="88">
        <f>E31/E17*360</f>
        <v>38.740140656992793</v>
      </c>
      <c r="F20" s="88">
        <f>F31/F17*360</f>
        <v>34.218515853193921</v>
      </c>
      <c r="G20" s="88">
        <f>AVERAGE(C20:F20)</f>
        <v>36.408316393032507</v>
      </c>
      <c r="H20" s="88">
        <f>G20</f>
        <v>36.408316393032507</v>
      </c>
      <c r="I20" s="88">
        <f t="shared" ref="I20:K20" si="5">H20</f>
        <v>36.408316393032507</v>
      </c>
      <c r="J20" s="88">
        <f t="shared" si="5"/>
        <v>36.408316393032507</v>
      </c>
      <c r="K20" s="88">
        <f t="shared" si="5"/>
        <v>36.408316393032507</v>
      </c>
    </row>
    <row r="21" spans="2:12" ht="14.25" customHeight="1" x14ac:dyDescent="0.25">
      <c r="B21" s="98" t="s">
        <v>36</v>
      </c>
      <c r="C21" s="88">
        <f>C35/C18*360</f>
        <v>52.394652225418852</v>
      </c>
      <c r="D21" s="88">
        <f>D35/D18*360</f>
        <v>40.504577822990839</v>
      </c>
      <c r="E21" s="88">
        <f>E35/E18*360</f>
        <v>58.343177790903724</v>
      </c>
      <c r="F21" s="88">
        <f>F35/F18*360</f>
        <v>93.295842538662384</v>
      </c>
      <c r="G21" s="88">
        <f>AVERAGE(C21:F21)</f>
        <v>61.13456259449395</v>
      </c>
      <c r="H21" s="88">
        <f>G21</f>
        <v>61.13456259449395</v>
      </c>
      <c r="I21" s="88">
        <f t="shared" ref="I21:K21" si="6">H21</f>
        <v>61.13456259449395</v>
      </c>
      <c r="J21" s="88">
        <f t="shared" si="6"/>
        <v>61.13456259449395</v>
      </c>
      <c r="K21" s="88">
        <f t="shared" si="6"/>
        <v>61.13456259449395</v>
      </c>
    </row>
    <row r="22" spans="2:12" ht="14.25" customHeight="1" x14ac:dyDescent="0.25">
      <c r="B22" s="98"/>
      <c r="C22" s="4"/>
      <c r="D22" s="4"/>
      <c r="E22" s="4"/>
      <c r="F22" s="4"/>
      <c r="G22" s="8"/>
      <c r="H22" s="4"/>
      <c r="I22" s="4"/>
      <c r="J22" s="4"/>
      <c r="K22" s="4"/>
    </row>
    <row r="23" spans="2:12" ht="14.25" customHeight="1" x14ac:dyDescent="0.25">
      <c r="B23" s="98" t="s">
        <v>37</v>
      </c>
      <c r="C23" s="60">
        <f>C32/C$17</f>
        <v>3.0227590986887702E-2</v>
      </c>
      <c r="D23" s="60">
        <f>D32/D$17</f>
        <v>2.5068341766998199E-2</v>
      </c>
      <c r="E23" s="60">
        <f>E32/E$17</f>
        <v>4.6808510638297871E-2</v>
      </c>
      <c r="F23" s="60">
        <f>F32/F$17</f>
        <v>4.4973119417516826E-2</v>
      </c>
      <c r="G23" s="89">
        <f t="shared" ref="G22:G27" si="7">AVERAGE(C23:F23)</f>
        <v>3.6769390702425152E-2</v>
      </c>
      <c r="H23" s="60">
        <f>G23</f>
        <v>3.6769390702425152E-2</v>
      </c>
      <c r="I23" s="60">
        <f t="shared" ref="I23:K23" si="8">H23</f>
        <v>3.6769390702425152E-2</v>
      </c>
      <c r="J23" s="60">
        <f t="shared" si="8"/>
        <v>3.6769390702425152E-2</v>
      </c>
      <c r="K23" s="60">
        <f t="shared" si="8"/>
        <v>3.6769390702425152E-2</v>
      </c>
    </row>
    <row r="24" spans="2:12" ht="14.25" customHeight="1" x14ac:dyDescent="0.25">
      <c r="B24" s="98" t="s">
        <v>38</v>
      </c>
      <c r="C24" s="60">
        <f>C36/C$17</f>
        <v>8.3454743482750324E-3</v>
      </c>
      <c r="D24" s="60">
        <f>D36/D$17</f>
        <v>9.306112952945967E-3</v>
      </c>
      <c r="E24" s="60">
        <f>E36/E$17</f>
        <v>8.0922282560313367E-3</v>
      </c>
      <c r="F24" s="60">
        <f>F36/F$17</f>
        <v>8.2546670617618424E-3</v>
      </c>
      <c r="G24" s="89">
        <f t="shared" si="7"/>
        <v>8.4996206547535459E-3</v>
      </c>
      <c r="H24" s="60">
        <f t="shared" ref="H24:K27" si="9">G24</f>
        <v>8.4996206547535459E-3</v>
      </c>
      <c r="I24" s="60">
        <f t="shared" si="9"/>
        <v>8.4996206547535459E-3</v>
      </c>
      <c r="J24" s="60">
        <f t="shared" si="9"/>
        <v>8.4996206547535459E-3</v>
      </c>
      <c r="K24" s="60">
        <f t="shared" si="9"/>
        <v>8.4996206547535459E-3</v>
      </c>
    </row>
    <row r="25" spans="2:12" ht="14.25" customHeight="1" x14ac:dyDescent="0.25">
      <c r="B25" s="98" t="s">
        <v>237</v>
      </c>
      <c r="C25" s="60">
        <f>C37/C$17</f>
        <v>1.0976420498748179E-2</v>
      </c>
      <c r="D25" s="60">
        <f>D37/D$17</f>
        <v>1.1341825161402896E-2</v>
      </c>
      <c r="E25" s="60">
        <f>E37/E$17</f>
        <v>9.6679426689219271E-3</v>
      </c>
      <c r="F25" s="60">
        <f>F37/F$17</f>
        <v>1.0930025822291835E-2</v>
      </c>
      <c r="G25" s="89">
        <f t="shared" si="7"/>
        <v>1.072905353784121E-2</v>
      </c>
      <c r="H25" s="60">
        <f t="shared" si="9"/>
        <v>1.072905353784121E-2</v>
      </c>
      <c r="I25" s="60">
        <f t="shared" si="9"/>
        <v>1.072905353784121E-2</v>
      </c>
      <c r="J25" s="60">
        <f t="shared" si="9"/>
        <v>1.072905353784121E-2</v>
      </c>
      <c r="K25" s="60">
        <f t="shared" si="9"/>
        <v>1.072905353784121E-2</v>
      </c>
    </row>
    <row r="26" spans="2:12" ht="14.25" customHeight="1" x14ac:dyDescent="0.25">
      <c r="B26" s="98" t="s">
        <v>238</v>
      </c>
      <c r="C26" s="60">
        <f>C38/C$17</f>
        <v>3.1825961497659026E-3</v>
      </c>
      <c r="D26" s="60">
        <f>D38/D$17</f>
        <v>4.4087710114581518E-3</v>
      </c>
      <c r="E26" s="60">
        <f>E38/E$17</f>
        <v>4.1306863705154453E-3</v>
      </c>
      <c r="F26" s="60">
        <f>F38/F$17</f>
        <v>4.3516911484570119E-3</v>
      </c>
      <c r="G26" s="89">
        <f t="shared" si="7"/>
        <v>4.0184361700491278E-3</v>
      </c>
      <c r="H26" s="60">
        <f t="shared" si="9"/>
        <v>4.0184361700491278E-3</v>
      </c>
      <c r="I26" s="60">
        <f t="shared" si="9"/>
        <v>4.0184361700491278E-3</v>
      </c>
      <c r="J26" s="60">
        <f t="shared" si="9"/>
        <v>4.0184361700491278E-3</v>
      </c>
      <c r="K26" s="60">
        <f t="shared" si="9"/>
        <v>4.0184361700491278E-3</v>
      </c>
    </row>
    <row r="27" spans="2:12" ht="14.25" customHeight="1" x14ac:dyDescent="0.25">
      <c r="B27" s="98" t="s">
        <v>39</v>
      </c>
      <c r="C27" s="60">
        <f>C39/C$17</f>
        <v>0.1538537703155721</v>
      </c>
      <c r="D27" s="60">
        <f>D39/D$17</f>
        <v>0.10101785610422846</v>
      </c>
      <c r="E27" s="60">
        <f>E39/E$17</f>
        <v>0.11713700703284964</v>
      </c>
      <c r="F27" s="60">
        <f>F39/F$17</f>
        <v>0.13576599077170554</v>
      </c>
      <c r="G27" s="89">
        <f t="shared" si="7"/>
        <v>0.12694365605608893</v>
      </c>
      <c r="H27" s="60">
        <f t="shared" si="9"/>
        <v>0.12694365605608893</v>
      </c>
      <c r="I27" s="60">
        <f t="shared" si="9"/>
        <v>0.12694365605608893</v>
      </c>
      <c r="J27" s="60">
        <f t="shared" si="9"/>
        <v>0.12694365605608893</v>
      </c>
      <c r="K27" s="60">
        <f t="shared" si="9"/>
        <v>0.12694365605608893</v>
      </c>
    </row>
    <row r="28" spans="2:12" ht="14.25" customHeight="1" x14ac:dyDescent="0.25">
      <c r="B28" s="91"/>
      <c r="K28"/>
    </row>
    <row r="29" spans="2:12" s="49" customFormat="1" ht="14.25" customHeight="1" x14ac:dyDescent="0.25">
      <c r="B29" s="2" t="s">
        <v>30</v>
      </c>
      <c r="C29" s="2"/>
      <c r="D29" s="2"/>
      <c r="E29" s="2"/>
      <c r="F29" s="2"/>
      <c r="G29" s="2"/>
      <c r="H29" s="2"/>
      <c r="I29" s="2"/>
      <c r="J29" s="2"/>
      <c r="K29" s="2"/>
    </row>
    <row r="30" spans="2:12" ht="14.25" customHeight="1" x14ac:dyDescent="0.25">
      <c r="B30" s="57" t="s">
        <v>1</v>
      </c>
      <c r="C30" s="58">
        <v>43830</v>
      </c>
      <c r="D30" s="58">
        <v>44196</v>
      </c>
      <c r="E30" s="58">
        <v>44561</v>
      </c>
      <c r="F30" s="58">
        <v>44926</v>
      </c>
      <c r="G30" s="59">
        <v>45291</v>
      </c>
      <c r="H30" s="59">
        <v>45657</v>
      </c>
      <c r="I30" s="59">
        <v>46022</v>
      </c>
      <c r="J30" s="59">
        <v>46387</v>
      </c>
      <c r="K30" s="59">
        <v>46752</v>
      </c>
    </row>
    <row r="31" spans="2:12" ht="14.25" customHeight="1" x14ac:dyDescent="0.25">
      <c r="B31" s="91" t="s">
        <v>31</v>
      </c>
      <c r="C31" s="73">
        <f>BS!B12</f>
        <v>7673</v>
      </c>
      <c r="D31" s="73">
        <f>BS!C12</f>
        <v>8024</v>
      </c>
      <c r="E31" s="73">
        <f>BS!D12</f>
        <v>12088</v>
      </c>
      <c r="F31" s="73">
        <f>BS!E12</f>
        <v>11227</v>
      </c>
      <c r="G31" s="68">
        <f>G20*G17/360</f>
        <v>10153.647353190498</v>
      </c>
      <c r="H31" s="68">
        <f>H20*H17/360</f>
        <v>10458.256773786214</v>
      </c>
      <c r="I31" s="68">
        <f>I20*I17/360</f>
        <v>11504.082451164837</v>
      </c>
      <c r="J31" s="68">
        <f>J20*J17/360</f>
        <v>13229.69481883956</v>
      </c>
      <c r="K31" s="68">
        <f>K20*K17/360</f>
        <v>15875.63378260747</v>
      </c>
      <c r="L31" s="52"/>
    </row>
    <row r="32" spans="2:12" ht="14.25" customHeight="1" x14ac:dyDescent="0.25">
      <c r="B32" s="91" t="s">
        <v>32</v>
      </c>
      <c r="C32" s="73">
        <f>BS!B13</f>
        <v>2137</v>
      </c>
      <c r="D32" s="73">
        <f>BS!C13</f>
        <v>2155</v>
      </c>
      <c r="E32" s="73">
        <f>BS!D13</f>
        <v>5258</v>
      </c>
      <c r="F32" s="73">
        <f>BS!E13</f>
        <v>5312</v>
      </c>
      <c r="G32" s="68">
        <f>G23*G17</f>
        <v>3691.5640953944048</v>
      </c>
      <c r="H32" s="68">
        <f t="shared" ref="H32:K32" si="10">H23*H17</f>
        <v>3802.3110182562373</v>
      </c>
      <c r="I32" s="68">
        <f t="shared" si="10"/>
        <v>4182.542120081861</v>
      </c>
      <c r="J32" s="68">
        <f t="shared" si="10"/>
        <v>4809.9234380941398</v>
      </c>
      <c r="K32" s="68">
        <f t="shared" si="10"/>
        <v>5771.9081257129674</v>
      </c>
    </row>
    <row r="33" spans="2:18" ht="14.25" customHeight="1" x14ac:dyDescent="0.25">
      <c r="B33" s="104" t="s">
        <v>235</v>
      </c>
      <c r="C33" s="86">
        <f>SUM(C31:C32)</f>
        <v>9810</v>
      </c>
      <c r="D33" s="86">
        <f>SUM(D31:D32)</f>
        <v>10179</v>
      </c>
      <c r="E33" s="86">
        <f>SUM(E31:E32)</f>
        <v>17346</v>
      </c>
      <c r="F33" s="86">
        <f>SUM(F31:F32)</f>
        <v>16539</v>
      </c>
      <c r="G33" s="86">
        <f t="shared" ref="G33:K33" si="11">SUM(G31:G32)</f>
        <v>13845.211448584902</v>
      </c>
      <c r="H33" s="86">
        <f t="shared" si="11"/>
        <v>14260.567792042451</v>
      </c>
      <c r="I33" s="86">
        <f t="shared" si="11"/>
        <v>15686.624571246699</v>
      </c>
      <c r="J33" s="86">
        <f t="shared" si="11"/>
        <v>18039.6182569337</v>
      </c>
      <c r="K33" s="86">
        <f t="shared" si="11"/>
        <v>21647.54190832044</v>
      </c>
    </row>
    <row r="34" spans="2:18" ht="14.25" customHeight="1" x14ac:dyDescent="0.25">
      <c r="B34" s="91"/>
      <c r="K34"/>
    </row>
    <row r="35" spans="2:18" ht="14.25" customHeight="1" x14ac:dyDescent="0.25">
      <c r="B35" s="91" t="s">
        <v>33</v>
      </c>
      <c r="C35" s="73">
        <f>BS!B25</f>
        <v>860</v>
      </c>
      <c r="D35" s="73">
        <f>BS!C25</f>
        <v>1106</v>
      </c>
      <c r="E35" s="73">
        <f>BS!D25</f>
        <v>2195</v>
      </c>
      <c r="F35" s="73">
        <f>BS!E25</f>
        <v>3871</v>
      </c>
      <c r="G35" s="68">
        <f>G21*G18/360</f>
        <v>2053.7877611296108</v>
      </c>
      <c r="H35" s="68">
        <f>H21*H18/360</f>
        <v>2115.4013939634992</v>
      </c>
      <c r="I35" s="68">
        <f>I21*I18/360</f>
        <v>2326.941533359849</v>
      </c>
      <c r="J35" s="68">
        <f>J21*J18/360</f>
        <v>2675.9827633638261</v>
      </c>
      <c r="K35" s="68">
        <f>K21*K18/360</f>
        <v>3211.1793160365914</v>
      </c>
    </row>
    <row r="36" spans="2:18" ht="14.25" customHeight="1" x14ac:dyDescent="0.25">
      <c r="B36" s="91" t="s">
        <v>34</v>
      </c>
      <c r="C36" s="73">
        <f>BS!B26</f>
        <v>590</v>
      </c>
      <c r="D36" s="73">
        <f>BS!C26</f>
        <v>800</v>
      </c>
      <c r="E36" s="73">
        <f>BS!D26</f>
        <v>909</v>
      </c>
      <c r="F36" s="73">
        <f>BS!E26</f>
        <v>975</v>
      </c>
      <c r="G36" s="68">
        <f>G24*G$17</f>
        <v>853.34278959078279</v>
      </c>
      <c r="H36" s="68">
        <f t="shared" ref="H36:K36" si="12">H24*H$17</f>
        <v>878.9430732785064</v>
      </c>
      <c r="I36" s="68">
        <f t="shared" si="12"/>
        <v>966.8373806063571</v>
      </c>
      <c r="J36" s="68">
        <f t="shared" si="12"/>
        <v>1111.8629876973105</v>
      </c>
      <c r="K36" s="68">
        <f t="shared" si="12"/>
        <v>1334.2355852367725</v>
      </c>
    </row>
    <row r="37" spans="2:18" ht="14.25" customHeight="1" x14ac:dyDescent="0.25">
      <c r="B37" s="91" t="s">
        <v>234</v>
      </c>
      <c r="C37" s="73">
        <f>BS!B27</f>
        <v>776</v>
      </c>
      <c r="D37" s="73">
        <f>BS!C27</f>
        <v>975</v>
      </c>
      <c r="E37" s="73">
        <f>BS!D27</f>
        <v>1086</v>
      </c>
      <c r="F37" s="73">
        <f>BS!E27</f>
        <v>1291</v>
      </c>
      <c r="G37" s="68">
        <f t="shared" ref="G37:K39" si="13">G25*G$17</f>
        <v>1077.1728348287972</v>
      </c>
      <c r="H37" s="68">
        <f t="shared" si="13"/>
        <v>1109.4880198736614</v>
      </c>
      <c r="I37" s="68">
        <f t="shared" si="13"/>
        <v>1220.4368218610275</v>
      </c>
      <c r="J37" s="68">
        <f t="shared" si="13"/>
        <v>1403.5023451401814</v>
      </c>
      <c r="K37" s="68">
        <f t="shared" si="13"/>
        <v>1684.2028141682176</v>
      </c>
    </row>
    <row r="38" spans="2:18" ht="14.25" customHeight="1" x14ac:dyDescent="0.25">
      <c r="B38" s="91" t="s">
        <v>233</v>
      </c>
      <c r="C38" s="73">
        <f>BS!B29</f>
        <v>225</v>
      </c>
      <c r="D38" s="73">
        <f>BS!C29</f>
        <v>379</v>
      </c>
      <c r="E38" s="73">
        <f>BS!D29</f>
        <v>464</v>
      </c>
      <c r="F38" s="73">
        <f>BS!E29</f>
        <v>514</v>
      </c>
      <c r="G38" s="68">
        <f t="shared" si="13"/>
        <v>403.44194999154979</v>
      </c>
      <c r="H38" s="68">
        <f t="shared" si="13"/>
        <v>415.54520849129636</v>
      </c>
      <c r="I38" s="68">
        <f t="shared" si="13"/>
        <v>457.09972934042599</v>
      </c>
      <c r="J38" s="68">
        <f t="shared" si="13"/>
        <v>525.66468874148984</v>
      </c>
      <c r="K38" s="68">
        <f t="shared" si="13"/>
        <v>630.79762648978772</v>
      </c>
    </row>
    <row r="39" spans="2:18" ht="14.25" customHeight="1" x14ac:dyDescent="0.25">
      <c r="B39" s="91" t="s">
        <v>232</v>
      </c>
      <c r="C39" s="73">
        <f>BS!B28</f>
        <v>10877</v>
      </c>
      <c r="D39" s="73">
        <f>BS!C28</f>
        <v>8684</v>
      </c>
      <c r="E39" s="73">
        <f>BS!D28</f>
        <v>13158</v>
      </c>
      <c r="F39" s="73">
        <f>BS!E28</f>
        <v>16036</v>
      </c>
      <c r="G39" s="68">
        <f t="shared" si="13"/>
        <v>12744.857444805202</v>
      </c>
      <c r="H39" s="68">
        <f t="shared" si="13"/>
        <v>13127.203168149359</v>
      </c>
      <c r="I39" s="68">
        <f t="shared" si="13"/>
        <v>14439.923484964296</v>
      </c>
      <c r="J39" s="68">
        <f t="shared" si="13"/>
        <v>16605.912007708939</v>
      </c>
      <c r="K39" s="68">
        <f t="shared" si="13"/>
        <v>19927.094409250723</v>
      </c>
      <c r="R39" s="48"/>
    </row>
    <row r="40" spans="2:18" ht="14.25" customHeight="1" x14ac:dyDescent="0.25">
      <c r="B40" s="104" t="s">
        <v>236</v>
      </c>
      <c r="C40" s="86">
        <f>SUM(C35:C39)</f>
        <v>13328</v>
      </c>
      <c r="D40" s="86">
        <f>SUM(D35:D39)</f>
        <v>11944</v>
      </c>
      <c r="E40" s="86">
        <f>SUM(E35:E39)</f>
        <v>17812</v>
      </c>
      <c r="F40" s="86">
        <f>SUM(F35:F39)</f>
        <v>22687</v>
      </c>
      <c r="G40" s="86">
        <f t="shared" ref="G40:K40" si="14">SUM(G35:G39)</f>
        <v>17132.602780345944</v>
      </c>
      <c r="H40" s="86">
        <f t="shared" si="14"/>
        <v>17646.580863756324</v>
      </c>
      <c r="I40" s="86">
        <f t="shared" si="14"/>
        <v>19411.238950131956</v>
      </c>
      <c r="J40" s="86">
        <f t="shared" si="14"/>
        <v>22322.924792651749</v>
      </c>
      <c r="K40" s="86">
        <f t="shared" si="14"/>
        <v>26787.509751182093</v>
      </c>
    </row>
    <row r="41" spans="2:18" ht="14.25" customHeight="1" x14ac:dyDescent="0.25"/>
    <row r="42" spans="2:18" ht="14.25" customHeight="1" x14ac:dyDescent="0.25"/>
    <row r="43" spans="2:18" ht="14.25" customHeight="1" x14ac:dyDescent="0.25"/>
    <row r="44" spans="2:18" ht="14.25" customHeight="1" x14ac:dyDescent="0.25"/>
    <row r="45" spans="2:18" ht="14.25" customHeight="1" x14ac:dyDescent="0.25"/>
    <row r="46" spans="2:18" ht="14.25" customHeight="1" x14ac:dyDescent="0.25"/>
    <row r="47" spans="2:18" ht="14.25" customHeight="1" x14ac:dyDescent="0.25"/>
    <row r="48" spans="2:1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C23D-CE59-4626-8442-2E7DD2CF4059}">
  <dimension ref="A1:H54"/>
  <sheetViews>
    <sheetView workbookViewId="0">
      <selection activeCell="C34" sqref="C34"/>
    </sheetView>
  </sheetViews>
  <sheetFormatPr defaultColWidth="12.7109375" defaultRowHeight="15" x14ac:dyDescent="0.25"/>
  <cols>
    <col min="1" max="1" width="56.5703125" style="107" customWidth="1"/>
    <col min="2" max="2" width="0.28515625" style="107" customWidth="1"/>
    <col min="3" max="3" width="19.5703125" style="107" bestFit="1" customWidth="1"/>
    <col min="4" max="4" width="19.5703125" style="107" customWidth="1"/>
    <col min="5" max="6" width="15.7109375" style="107" customWidth="1"/>
    <col min="7" max="7" width="0.28515625" style="107" customWidth="1"/>
    <col min="8" max="8" width="15.7109375" style="107" customWidth="1"/>
    <col min="9" max="9" width="0.28515625" style="107" customWidth="1"/>
    <col min="10" max="10" width="15.7109375" style="107" customWidth="1"/>
    <col min="11" max="11" width="0.28515625" style="107" customWidth="1"/>
    <col min="12" max="12" width="15.7109375" style="107" customWidth="1"/>
    <col min="13" max="13" width="0.28515625" style="107" customWidth="1"/>
    <col min="14" max="14" width="15.7109375" style="107" customWidth="1"/>
    <col min="15" max="15" width="0.28515625" style="107" customWidth="1"/>
    <col min="16" max="16" width="15.7109375" style="107" customWidth="1"/>
    <col min="17" max="17" width="0.28515625" style="107" customWidth="1"/>
    <col min="18" max="18" width="15.7109375" style="107" customWidth="1"/>
    <col min="19" max="16384" width="12.7109375" style="107"/>
  </cols>
  <sheetData>
    <row r="1" spans="1:6" x14ac:dyDescent="0.25">
      <c r="A1" s="13" t="s">
        <v>144</v>
      </c>
    </row>
    <row r="2" spans="1:6" x14ac:dyDescent="0.25">
      <c r="A2" s="13" t="s">
        <v>145</v>
      </c>
    </row>
    <row r="3" spans="1:6" x14ac:dyDescent="0.25">
      <c r="A3" s="14" t="s">
        <v>146</v>
      </c>
    </row>
    <row r="4" spans="1:6" x14ac:dyDescent="0.25">
      <c r="A4" s="14" t="s">
        <v>147</v>
      </c>
    </row>
    <row r="6" spans="1:6" x14ac:dyDescent="0.25">
      <c r="C6" s="108" t="s">
        <v>225</v>
      </c>
      <c r="D6" s="108"/>
      <c r="E6" s="108"/>
      <c r="F6" s="108"/>
    </row>
    <row r="7" spans="1:6" x14ac:dyDescent="0.25">
      <c r="C7" s="16" t="s">
        <v>148</v>
      </c>
      <c r="D7" s="16" t="s">
        <v>148</v>
      </c>
      <c r="E7" s="16" t="s">
        <v>148</v>
      </c>
      <c r="F7" s="15" t="s">
        <v>148</v>
      </c>
    </row>
    <row r="8" spans="1:6" x14ac:dyDescent="0.25">
      <c r="C8" s="42">
        <v>2019</v>
      </c>
      <c r="D8" s="18">
        <v>2020</v>
      </c>
      <c r="E8" s="18">
        <v>2021</v>
      </c>
      <c r="F8" s="19">
        <v>2022</v>
      </c>
    </row>
    <row r="10" spans="1:6" x14ac:dyDescent="0.25">
      <c r="A10" s="43" t="s">
        <v>2</v>
      </c>
      <c r="C10" s="90">
        <v>70697</v>
      </c>
      <c r="D10" s="90">
        <v>85965</v>
      </c>
      <c r="E10" s="90">
        <v>112330</v>
      </c>
      <c r="F10" s="90">
        <v>118115</v>
      </c>
    </row>
    <row r="11" spans="1:6" x14ac:dyDescent="0.25">
      <c r="A11" s="23"/>
      <c r="C11" s="90"/>
      <c r="D11" s="90"/>
      <c r="E11" s="90"/>
      <c r="F11" s="90"/>
    </row>
    <row r="12" spans="1:6" x14ac:dyDescent="0.25">
      <c r="A12" s="43" t="s">
        <v>174</v>
      </c>
      <c r="C12" s="90"/>
      <c r="D12" s="90"/>
      <c r="E12" s="90"/>
      <c r="F12" s="90"/>
    </row>
    <row r="13" spans="1:6" x14ac:dyDescent="0.25">
      <c r="A13" s="43" t="s">
        <v>230</v>
      </c>
      <c r="C13" s="90">
        <f>C14-C15</f>
        <v>5909</v>
      </c>
      <c r="D13" s="90">
        <f>D14-D15</f>
        <v>9830</v>
      </c>
      <c r="E13" s="90">
        <f t="shared" ref="E13:F13" si="0">E14-E15</f>
        <v>13544</v>
      </c>
      <c r="F13" s="90">
        <f t="shared" si="0"/>
        <v>14937</v>
      </c>
    </row>
    <row r="14" spans="1:6" x14ac:dyDescent="0.25">
      <c r="A14" s="24" t="s">
        <v>175</v>
      </c>
      <c r="C14" s="90">
        <v>12771</v>
      </c>
      <c r="D14" s="90">
        <v>16692</v>
      </c>
      <c r="E14" s="90">
        <v>21511</v>
      </c>
      <c r="F14" s="90">
        <v>23261</v>
      </c>
    </row>
    <row r="15" spans="1:6" x14ac:dyDescent="0.25">
      <c r="A15" s="24" t="s">
        <v>229</v>
      </c>
      <c r="C15" s="90">
        <v>6862</v>
      </c>
      <c r="D15" s="107">
        <v>6862</v>
      </c>
      <c r="E15" s="90">
        <v>7967</v>
      </c>
      <c r="F15" s="90">
        <f>2175+1979+2156+2014</f>
        <v>8324</v>
      </c>
    </row>
    <row r="16" spans="1:6" x14ac:dyDescent="0.25">
      <c r="A16" s="24" t="s">
        <v>176</v>
      </c>
      <c r="C16" s="90">
        <v>13599</v>
      </c>
      <c r="D16" s="90">
        <v>18447</v>
      </c>
      <c r="E16" s="90">
        <v>22817</v>
      </c>
      <c r="F16" s="90">
        <v>32613</v>
      </c>
    </row>
    <row r="17" spans="1:8" x14ac:dyDescent="0.25">
      <c r="A17" s="24" t="s">
        <v>177</v>
      </c>
      <c r="C17" s="90">
        <v>9876</v>
      </c>
      <c r="D17" s="90">
        <v>11591</v>
      </c>
      <c r="E17" s="90">
        <v>12936</v>
      </c>
      <c r="F17" s="90">
        <v>15074</v>
      </c>
    </row>
    <row r="18" spans="1:8" x14ac:dyDescent="0.25">
      <c r="A18" s="24" t="s">
        <v>178</v>
      </c>
      <c r="C18" s="90">
        <v>10465</v>
      </c>
      <c r="D18" s="90">
        <v>6564</v>
      </c>
      <c r="E18" s="90">
        <v>8123</v>
      </c>
      <c r="F18" s="90">
        <v>12036</v>
      </c>
    </row>
    <row r="19" spans="1:8" x14ac:dyDescent="0.25">
      <c r="A19" s="31" t="s">
        <v>179</v>
      </c>
      <c r="C19" s="90">
        <v>46711</v>
      </c>
      <c r="D19" s="90">
        <v>53294</v>
      </c>
      <c r="E19" s="90">
        <v>65387</v>
      </c>
      <c r="F19" s="90">
        <v>82984</v>
      </c>
    </row>
    <row r="20" spans="1:8" x14ac:dyDescent="0.25">
      <c r="A20" s="23"/>
      <c r="C20" s="90"/>
      <c r="D20" s="90"/>
      <c r="E20" s="90"/>
      <c r="F20" s="90"/>
    </row>
    <row r="21" spans="1:8" x14ac:dyDescent="0.25">
      <c r="A21" s="43" t="s">
        <v>180</v>
      </c>
      <c r="C21" s="90">
        <v>23986</v>
      </c>
      <c r="D21" s="90">
        <v>32671</v>
      </c>
      <c r="E21" s="90">
        <v>46943</v>
      </c>
      <c r="F21" s="90">
        <v>35131</v>
      </c>
    </row>
    <row r="22" spans="1:8" x14ac:dyDescent="0.25">
      <c r="A22" s="23"/>
      <c r="C22" s="90"/>
      <c r="D22" s="90"/>
      <c r="E22" s="90"/>
      <c r="F22" s="90"/>
    </row>
    <row r="23" spans="1:8" x14ac:dyDescent="0.25">
      <c r="A23" s="23" t="s">
        <v>181</v>
      </c>
      <c r="C23" s="90">
        <v>826</v>
      </c>
      <c r="D23" s="90">
        <v>509</v>
      </c>
      <c r="E23" s="90">
        <v>693</v>
      </c>
      <c r="F23" s="90">
        <v>241</v>
      </c>
    </row>
    <row r="24" spans="1:8" x14ac:dyDescent="0.25">
      <c r="A24" s="23" t="s">
        <v>182</v>
      </c>
      <c r="C24" s="90">
        <v>24812</v>
      </c>
      <c r="D24" s="90">
        <v>33180</v>
      </c>
      <c r="E24" s="90">
        <v>47636</v>
      </c>
      <c r="F24" s="90">
        <v>35372</v>
      </c>
    </row>
    <row r="25" spans="1:8" x14ac:dyDescent="0.25">
      <c r="A25" s="23" t="s">
        <v>183</v>
      </c>
      <c r="C25" s="90">
        <v>6327</v>
      </c>
      <c r="D25" s="90">
        <v>4034</v>
      </c>
      <c r="E25" s="90">
        <v>7332</v>
      </c>
      <c r="F25" s="90">
        <v>6540</v>
      </c>
    </row>
    <row r="26" spans="1:8" x14ac:dyDescent="0.25">
      <c r="A26" s="43" t="s">
        <v>184</v>
      </c>
      <c r="C26" s="90">
        <v>18485</v>
      </c>
      <c r="D26" s="90">
        <v>29146</v>
      </c>
      <c r="E26" s="90">
        <v>40304</v>
      </c>
      <c r="F26" s="90">
        <v>28832</v>
      </c>
      <c r="H26" s="109"/>
    </row>
    <row r="27" spans="1:8" x14ac:dyDescent="0.25">
      <c r="A27" s="23"/>
      <c r="C27" s="90"/>
      <c r="D27" s="90"/>
      <c r="E27" s="90"/>
      <c r="F27" s="90"/>
    </row>
    <row r="28" spans="1:8" ht="26.25" x14ac:dyDescent="0.25">
      <c r="A28" s="43" t="s">
        <v>185</v>
      </c>
      <c r="C28" s="90"/>
      <c r="D28" s="90"/>
      <c r="E28" s="90"/>
      <c r="F28" s="90"/>
    </row>
    <row r="29" spans="1:8" x14ac:dyDescent="0.25">
      <c r="A29" s="24" t="s">
        <v>186</v>
      </c>
      <c r="C29" s="90"/>
      <c r="D29" s="90"/>
      <c r="E29" s="90">
        <v>14.210634935865398</v>
      </c>
      <c r="F29" s="90">
        <v>10.569160210362162</v>
      </c>
    </row>
    <row r="30" spans="1:8" x14ac:dyDescent="0.25">
      <c r="A30" s="24" t="s">
        <v>187</v>
      </c>
      <c r="C30" s="90"/>
      <c r="D30" s="90"/>
      <c r="E30" s="90">
        <v>14.001044510102641</v>
      </c>
      <c r="F30" s="90">
        <v>10.49699197040518</v>
      </c>
    </row>
    <row r="31" spans="1:8" x14ac:dyDescent="0.25">
      <c r="A31" s="23"/>
      <c r="C31" s="90"/>
      <c r="D31" s="90"/>
      <c r="E31" s="90"/>
      <c r="F31" s="90"/>
    </row>
    <row r="32" spans="1:8" ht="26.25" x14ac:dyDescent="0.25">
      <c r="A32" s="22" t="s">
        <v>188</v>
      </c>
      <c r="C32" s="90"/>
      <c r="D32" s="90"/>
      <c r="E32" s="90"/>
      <c r="F32" s="90"/>
    </row>
    <row r="33" spans="1:6" x14ac:dyDescent="0.25">
      <c r="A33" s="24" t="s">
        <v>186</v>
      </c>
      <c r="C33" s="90"/>
      <c r="D33" s="90"/>
      <c r="E33" s="90">
        <v>11345</v>
      </c>
      <c r="F33" s="90">
        <v>10876</v>
      </c>
    </row>
    <row r="34" spans="1:6" x14ac:dyDescent="0.25">
      <c r="A34" s="24" t="s">
        <v>187</v>
      </c>
      <c r="C34" s="90"/>
      <c r="D34" s="90"/>
      <c r="E34" s="90">
        <v>11508</v>
      </c>
      <c r="F34" s="90">
        <v>10941</v>
      </c>
    </row>
    <row r="35" spans="1:6" x14ac:dyDescent="0.25">
      <c r="A35" s="23"/>
      <c r="C35" s="90"/>
      <c r="D35" s="90"/>
      <c r="E35" s="90"/>
      <c r="F35" s="90"/>
    </row>
    <row r="36" spans="1:6" x14ac:dyDescent="0.25">
      <c r="A36" s="22" t="s">
        <v>189</v>
      </c>
      <c r="C36" s="90"/>
      <c r="D36" s="90"/>
      <c r="E36" s="90"/>
      <c r="F36" s="90"/>
    </row>
    <row r="37" spans="1:6" x14ac:dyDescent="0.25">
      <c r="A37" s="24" t="s">
        <v>175</v>
      </c>
      <c r="C37" s="90"/>
      <c r="D37" s="90"/>
      <c r="E37" s="90">
        <v>548</v>
      </c>
      <c r="F37" s="90">
        <v>731</v>
      </c>
    </row>
    <row r="38" spans="1:6" x14ac:dyDescent="0.25">
      <c r="A38" s="24" t="s">
        <v>176</v>
      </c>
      <c r="C38" s="90"/>
      <c r="D38" s="90"/>
      <c r="E38" s="90">
        <v>6585</v>
      </c>
      <c r="F38" s="90">
        <v>8876</v>
      </c>
    </row>
    <row r="39" spans="1:6" x14ac:dyDescent="0.25">
      <c r="A39" s="24" t="s">
        <v>177</v>
      </c>
      <c r="C39" s="90"/>
      <c r="D39" s="90"/>
      <c r="E39" s="90">
        <v>806</v>
      </c>
      <c r="F39" s="90">
        <v>971</v>
      </c>
    </row>
    <row r="40" spans="1:6" x14ac:dyDescent="0.25">
      <c r="A40" s="24" t="s">
        <v>178</v>
      </c>
      <c r="C40" s="90"/>
      <c r="D40" s="90"/>
      <c r="E40" s="90">
        <v>602</v>
      </c>
      <c r="F40" s="90">
        <v>811</v>
      </c>
    </row>
    <row r="41" spans="1:6" x14ac:dyDescent="0.25">
      <c r="A41" s="31" t="s">
        <v>190</v>
      </c>
      <c r="C41" s="90"/>
      <c r="D41" s="90"/>
      <c r="E41" s="90">
        <v>8541</v>
      </c>
      <c r="F41" s="90">
        <v>11389</v>
      </c>
    </row>
    <row r="42" spans="1:6" x14ac:dyDescent="0.25">
      <c r="C42" s="90"/>
      <c r="D42" s="90"/>
      <c r="E42" s="90"/>
      <c r="F42" s="90"/>
    </row>
    <row r="43" spans="1:6" x14ac:dyDescent="0.25">
      <c r="A43" s="43" t="s">
        <v>191</v>
      </c>
      <c r="C43" s="90"/>
      <c r="D43" s="90"/>
      <c r="E43" s="90"/>
      <c r="F43" s="90"/>
    </row>
    <row r="44" spans="1:6" x14ac:dyDescent="0.25">
      <c r="A44" s="22" t="s">
        <v>192</v>
      </c>
      <c r="C44" s="90"/>
      <c r="D44" s="90"/>
      <c r="E44" s="90"/>
      <c r="F44" s="90"/>
    </row>
    <row r="45" spans="1:6" x14ac:dyDescent="0.25">
      <c r="A45" s="44" t="s">
        <v>193</v>
      </c>
      <c r="C45" s="90"/>
      <c r="D45" s="90"/>
      <c r="E45" s="90">
        <v>109482</v>
      </c>
      <c r="F45" s="90">
        <v>115026</v>
      </c>
    </row>
    <row r="46" spans="1:6" x14ac:dyDescent="0.25">
      <c r="A46" s="44" t="s">
        <v>194</v>
      </c>
      <c r="C46" s="90"/>
      <c r="D46" s="90"/>
      <c r="E46" s="90">
        <v>734</v>
      </c>
      <c r="F46" s="90">
        <v>780</v>
      </c>
    </row>
    <row r="47" spans="1:6" x14ac:dyDescent="0.25">
      <c r="A47" s="24" t="s">
        <v>195</v>
      </c>
      <c r="C47" s="90"/>
      <c r="D47" s="90"/>
      <c r="E47" s="90">
        <v>110216</v>
      </c>
      <c r="F47" s="90">
        <v>115806</v>
      </c>
    </row>
    <row r="48" spans="1:6" x14ac:dyDescent="0.25">
      <c r="A48" s="45" t="s">
        <v>196</v>
      </c>
      <c r="C48" s="90"/>
      <c r="D48" s="90"/>
      <c r="E48" s="90">
        <v>2114</v>
      </c>
      <c r="F48" s="90">
        <v>2309</v>
      </c>
    </row>
    <row r="49" spans="1:6" x14ac:dyDescent="0.25">
      <c r="A49" s="31" t="s">
        <v>68</v>
      </c>
      <c r="C49" s="90"/>
      <c r="D49" s="90"/>
      <c r="E49" s="90">
        <v>112330</v>
      </c>
      <c r="F49" s="90">
        <v>118115</v>
      </c>
    </row>
    <row r="50" spans="1:6" x14ac:dyDescent="0.25">
      <c r="A50" s="46"/>
      <c r="C50" s="90"/>
      <c r="D50" s="90"/>
      <c r="E50" s="90"/>
      <c r="F50" s="90"/>
    </row>
    <row r="51" spans="1:6" x14ac:dyDescent="0.25">
      <c r="A51" s="47" t="s">
        <v>197</v>
      </c>
      <c r="C51" s="90"/>
      <c r="D51" s="90"/>
      <c r="E51" s="90"/>
      <c r="F51" s="90"/>
    </row>
    <row r="52" spans="1:6" x14ac:dyDescent="0.25">
      <c r="A52" s="24" t="s">
        <v>195</v>
      </c>
      <c r="C52" s="90"/>
      <c r="D52" s="90"/>
      <c r="E52" s="90">
        <v>55932</v>
      </c>
      <c r="F52" s="90">
        <v>47873</v>
      </c>
    </row>
    <row r="53" spans="1:6" x14ac:dyDescent="0.25">
      <c r="A53" s="24" t="s">
        <v>196</v>
      </c>
      <c r="C53" s="90"/>
      <c r="D53" s="90"/>
      <c r="E53" s="90">
        <v>-8989</v>
      </c>
      <c r="F53" s="90">
        <v>-12742</v>
      </c>
    </row>
    <row r="54" spans="1:6" x14ac:dyDescent="0.25">
      <c r="A54" s="31" t="s">
        <v>198</v>
      </c>
      <c r="C54" s="90"/>
      <c r="D54" s="90"/>
      <c r="E54" s="90">
        <v>46943</v>
      </c>
      <c r="F54" s="90">
        <v>35131</v>
      </c>
    </row>
  </sheetData>
  <mergeCells count="1">
    <mergeCell ref="C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25F0-ADAF-403E-88B7-2D6B88091B2D}">
  <dimension ref="A1:E43"/>
  <sheetViews>
    <sheetView workbookViewId="0">
      <selection activeCell="E16" sqref="E16"/>
    </sheetView>
  </sheetViews>
  <sheetFormatPr defaultColWidth="12.7109375" defaultRowHeight="15" x14ac:dyDescent="0.25"/>
  <cols>
    <col min="1" max="1" width="56.5703125" style="107" customWidth="1"/>
    <col min="2" max="5" width="15.7109375" style="107" customWidth="1"/>
    <col min="6" max="16384" width="12.7109375" style="107"/>
  </cols>
  <sheetData>
    <row r="1" spans="1:5" x14ac:dyDescent="0.25">
      <c r="A1" s="13" t="s">
        <v>144</v>
      </c>
    </row>
    <row r="2" spans="1:5" x14ac:dyDescent="0.25">
      <c r="A2" s="13" t="s">
        <v>145</v>
      </c>
    </row>
    <row r="3" spans="1:5" x14ac:dyDescent="0.25">
      <c r="A3" s="14" t="s">
        <v>146</v>
      </c>
    </row>
    <row r="4" spans="1:5" x14ac:dyDescent="0.25">
      <c r="A4" s="14" t="s">
        <v>147</v>
      </c>
      <c r="D4" s="110"/>
      <c r="E4" s="110"/>
    </row>
    <row r="5" spans="1:5" ht="16.149999999999999" customHeight="1" x14ac:dyDescent="0.25">
      <c r="B5" s="16" t="s">
        <v>148</v>
      </c>
      <c r="C5" s="16" t="s">
        <v>148</v>
      </c>
      <c r="D5" s="17" t="s">
        <v>148</v>
      </c>
      <c r="E5" s="17" t="s">
        <v>148</v>
      </c>
    </row>
    <row r="6" spans="1:5" ht="16.149999999999999" customHeight="1" x14ac:dyDescent="0.25">
      <c r="B6" s="18">
        <v>2019</v>
      </c>
      <c r="C6" s="18">
        <v>2020</v>
      </c>
      <c r="D6" s="18">
        <v>2021</v>
      </c>
      <c r="E6" s="19">
        <v>2022</v>
      </c>
    </row>
    <row r="7" spans="1:5" ht="17.25" customHeight="1" x14ac:dyDescent="0.25">
      <c r="B7" s="20"/>
      <c r="C7" s="20"/>
      <c r="D7" s="20"/>
      <c r="E7" s="21"/>
    </row>
    <row r="8" spans="1:5" ht="16.149999999999999" customHeight="1" x14ac:dyDescent="0.25">
      <c r="A8" s="22" t="s">
        <v>149</v>
      </c>
      <c r="B8" s="91"/>
      <c r="C8" s="91"/>
      <c r="D8" s="91"/>
    </row>
    <row r="9" spans="1:5" x14ac:dyDescent="0.25">
      <c r="A9" s="23" t="s">
        <v>150</v>
      </c>
      <c r="B9" s="91"/>
      <c r="C9" s="91"/>
      <c r="D9" s="91"/>
    </row>
    <row r="10" spans="1:5" x14ac:dyDescent="0.25">
      <c r="A10" s="24" t="s">
        <v>69</v>
      </c>
      <c r="B10" s="25">
        <v>15979</v>
      </c>
      <c r="C10" s="25">
        <v>11617</v>
      </c>
      <c r="D10" s="25">
        <v>14496</v>
      </c>
      <c r="E10" s="26">
        <v>14308</v>
      </c>
    </row>
    <row r="11" spans="1:5" x14ac:dyDescent="0.25">
      <c r="A11" s="24" t="s">
        <v>151</v>
      </c>
      <c r="B11" s="27">
        <v>36290</v>
      </c>
      <c r="C11" s="27">
        <v>44003</v>
      </c>
      <c r="D11" s="27">
        <v>43579</v>
      </c>
      <c r="E11" s="28">
        <v>27468</v>
      </c>
    </row>
    <row r="12" spans="1:5" x14ac:dyDescent="0.25">
      <c r="A12" s="24" t="s">
        <v>152</v>
      </c>
      <c r="B12" s="27">
        <v>7673</v>
      </c>
      <c r="C12" s="27">
        <v>8024</v>
      </c>
      <c r="D12" s="27">
        <v>12088</v>
      </c>
      <c r="E12" s="28">
        <v>11227</v>
      </c>
    </row>
    <row r="13" spans="1:5" x14ac:dyDescent="0.25">
      <c r="A13" s="24" t="s">
        <v>153</v>
      </c>
      <c r="B13" s="29">
        <v>2137</v>
      </c>
      <c r="C13" s="29">
        <v>2155</v>
      </c>
      <c r="D13" s="29">
        <v>5258</v>
      </c>
      <c r="E13" s="30">
        <v>5312</v>
      </c>
    </row>
    <row r="14" spans="1:5" x14ac:dyDescent="0.25">
      <c r="A14" s="31" t="s">
        <v>70</v>
      </c>
      <c r="B14" s="32">
        <f>SUM(B10:B13)</f>
        <v>62079</v>
      </c>
      <c r="C14" s="32">
        <v>65799</v>
      </c>
      <c r="D14" s="32">
        <v>75421</v>
      </c>
      <c r="E14" s="33">
        <v>58315</v>
      </c>
    </row>
    <row r="15" spans="1:5" x14ac:dyDescent="0.25">
      <c r="A15" s="23" t="s">
        <v>154</v>
      </c>
      <c r="B15" s="27">
        <v>0</v>
      </c>
      <c r="C15" s="27">
        <v>6164</v>
      </c>
      <c r="D15" s="27">
        <v>6758</v>
      </c>
      <c r="E15" s="28">
        <v>6528</v>
      </c>
    </row>
    <row r="16" spans="1:5" x14ac:dyDescent="0.25">
      <c r="A16" s="23" t="s">
        <v>155</v>
      </c>
      <c r="B16" s="27">
        <v>32284</v>
      </c>
      <c r="C16" s="27">
        <v>42291</v>
      </c>
      <c r="D16" s="27">
        <v>53726</v>
      </c>
      <c r="E16" s="28">
        <v>73738</v>
      </c>
    </row>
    <row r="17" spans="1:5" x14ac:dyDescent="0.25">
      <c r="A17" s="23" t="s">
        <v>71</v>
      </c>
      <c r="B17" s="27">
        <v>8403</v>
      </c>
      <c r="C17" s="27">
        <v>9439</v>
      </c>
      <c r="D17" s="27">
        <v>11063</v>
      </c>
      <c r="E17" s="28">
        <v>13641</v>
      </c>
    </row>
    <row r="18" spans="1:5" x14ac:dyDescent="0.25">
      <c r="A18" s="23" t="s">
        <v>156</v>
      </c>
      <c r="B18" s="27">
        <v>853</v>
      </c>
      <c r="C18" s="27">
        <v>744</v>
      </c>
      <c r="D18" s="27">
        <v>365</v>
      </c>
      <c r="E18" s="28">
        <v>875</v>
      </c>
    </row>
    <row r="19" spans="1:5" ht="17.25" customHeight="1" x14ac:dyDescent="0.25">
      <c r="A19" s="23" t="s">
        <v>157</v>
      </c>
      <c r="B19" s="27">
        <v>18338</v>
      </c>
      <c r="C19" s="27">
        <v>19031</v>
      </c>
      <c r="D19" s="27">
        <v>19065</v>
      </c>
      <c r="E19" s="28">
        <v>20268</v>
      </c>
    </row>
    <row r="20" spans="1:5" x14ac:dyDescent="0.25">
      <c r="A20" s="23" t="s">
        <v>158</v>
      </c>
      <c r="B20" s="29">
        <v>2461</v>
      </c>
      <c r="C20" s="29">
        <v>2969</v>
      </c>
      <c r="D20" s="29">
        <v>3187</v>
      </c>
      <c r="E20" s="30">
        <v>5529</v>
      </c>
    </row>
    <row r="21" spans="1:5" ht="15.75" thickBot="1" x14ac:dyDescent="0.3">
      <c r="A21" s="22" t="s">
        <v>159</v>
      </c>
      <c r="B21" s="34">
        <f>SUM(B15:B20,B14)</f>
        <v>124418</v>
      </c>
      <c r="C21" s="34">
        <v>146437</v>
      </c>
      <c r="D21" s="34">
        <v>169585</v>
      </c>
      <c r="E21" s="35">
        <v>178894</v>
      </c>
    </row>
    <row r="22" spans="1:5" ht="17.25" customHeight="1" thickTop="1" x14ac:dyDescent="0.25">
      <c r="B22" s="36"/>
      <c r="C22" s="36"/>
      <c r="D22" s="36"/>
      <c r="E22" s="37"/>
    </row>
    <row r="23" spans="1:5" x14ac:dyDescent="0.25">
      <c r="A23" s="22" t="s">
        <v>160</v>
      </c>
      <c r="B23" s="97"/>
      <c r="C23" s="97"/>
      <c r="D23" s="97"/>
      <c r="E23" s="111"/>
    </row>
    <row r="24" spans="1:5" x14ac:dyDescent="0.25">
      <c r="A24" s="23" t="s">
        <v>161</v>
      </c>
      <c r="B24" s="97"/>
      <c r="C24" s="97"/>
      <c r="D24" s="97"/>
      <c r="E24" s="111"/>
    </row>
    <row r="25" spans="1:5" x14ac:dyDescent="0.25">
      <c r="A25" s="24" t="s">
        <v>72</v>
      </c>
      <c r="B25" s="25">
        <v>860</v>
      </c>
      <c r="C25" s="25">
        <v>1106</v>
      </c>
      <c r="D25" s="25">
        <v>2195</v>
      </c>
      <c r="E25" s="26">
        <v>3871</v>
      </c>
    </row>
    <row r="26" spans="1:5" x14ac:dyDescent="0.25">
      <c r="A26" s="24" t="s">
        <v>162</v>
      </c>
      <c r="B26" s="27">
        <v>590</v>
      </c>
      <c r="C26" s="27">
        <v>800</v>
      </c>
      <c r="D26" s="27">
        <v>909</v>
      </c>
      <c r="E26" s="28">
        <v>975</v>
      </c>
    </row>
    <row r="27" spans="1:5" x14ac:dyDescent="0.25">
      <c r="A27" s="24" t="s">
        <v>163</v>
      </c>
      <c r="B27" s="27">
        <v>776</v>
      </c>
      <c r="C27" s="27">
        <v>975</v>
      </c>
      <c r="D27" s="27">
        <v>1086</v>
      </c>
      <c r="E27" s="28">
        <v>1291</v>
      </c>
    </row>
    <row r="28" spans="1:5" x14ac:dyDescent="0.25">
      <c r="A28" s="24" t="s">
        <v>164</v>
      </c>
      <c r="B28" s="27">
        <v>10877</v>
      </c>
      <c r="C28" s="27">
        <v>8684</v>
      </c>
      <c r="D28" s="27">
        <v>13158</v>
      </c>
      <c r="E28" s="28">
        <v>16036</v>
      </c>
    </row>
    <row r="29" spans="1:5" x14ac:dyDescent="0.25">
      <c r="A29" s="24" t="s">
        <v>165</v>
      </c>
      <c r="B29" s="29">
        <v>225</v>
      </c>
      <c r="C29" s="29">
        <v>379</v>
      </c>
      <c r="D29" s="29">
        <v>464</v>
      </c>
      <c r="E29" s="30">
        <v>514</v>
      </c>
    </row>
    <row r="30" spans="1:5" x14ac:dyDescent="0.25">
      <c r="A30" s="31" t="s">
        <v>73</v>
      </c>
      <c r="B30" s="32">
        <f>SUM(B25:B29)</f>
        <v>13328</v>
      </c>
      <c r="C30" s="32">
        <v>11944</v>
      </c>
      <c r="D30" s="32">
        <v>17812</v>
      </c>
      <c r="E30" s="33">
        <v>22687</v>
      </c>
    </row>
    <row r="31" spans="1:5" x14ac:dyDescent="0.25">
      <c r="A31" s="23" t="s">
        <v>166</v>
      </c>
      <c r="B31" s="27">
        <v>8356</v>
      </c>
      <c r="C31" s="27">
        <v>9641</v>
      </c>
      <c r="D31" s="27">
        <v>11554</v>
      </c>
      <c r="E31" s="28">
        <v>14687</v>
      </c>
    </row>
    <row r="32" spans="1:5" x14ac:dyDescent="0.25">
      <c r="A32" s="23" t="s">
        <v>167</v>
      </c>
      <c r="B32" s="27">
        <v>0</v>
      </c>
      <c r="C32" s="27">
        <v>0</v>
      </c>
      <c r="D32" s="27">
        <v>0</v>
      </c>
      <c r="E32" s="28">
        <v>9922</v>
      </c>
    </row>
    <row r="33" spans="1:5" x14ac:dyDescent="0.25">
      <c r="A33" s="23" t="s">
        <v>168</v>
      </c>
      <c r="B33" s="29">
        <v>8735</v>
      </c>
      <c r="C33" s="29">
        <v>7121</v>
      </c>
      <c r="D33" s="29">
        <v>6859</v>
      </c>
      <c r="E33" s="30">
        <v>7504</v>
      </c>
    </row>
    <row r="34" spans="1:5" x14ac:dyDescent="0.25">
      <c r="A34" s="31" t="s">
        <v>74</v>
      </c>
      <c r="B34" s="32">
        <f>SUM(B31:B33,B30)</f>
        <v>30419</v>
      </c>
      <c r="C34" s="32">
        <v>28706</v>
      </c>
      <c r="D34" s="32">
        <v>36225</v>
      </c>
      <c r="E34" s="33">
        <v>54800</v>
      </c>
    </row>
    <row r="35" spans="1:5" ht="17.25" customHeight="1" x14ac:dyDescent="0.25">
      <c r="B35" s="97"/>
      <c r="C35" s="97"/>
      <c r="D35" s="97"/>
      <c r="E35" s="111"/>
    </row>
    <row r="36" spans="1:5" x14ac:dyDescent="0.25">
      <c r="A36" s="23" t="s">
        <v>169</v>
      </c>
      <c r="B36" s="97"/>
      <c r="C36" s="97"/>
      <c r="D36" s="97"/>
      <c r="E36" s="111"/>
    </row>
    <row r="37" spans="1:5" x14ac:dyDescent="0.25">
      <c r="A37" s="24" t="s">
        <v>170</v>
      </c>
      <c r="B37" s="27">
        <v>0</v>
      </c>
      <c r="C37" s="27">
        <v>0</v>
      </c>
      <c r="D37" s="27">
        <v>0</v>
      </c>
      <c r="E37" s="28">
        <v>0</v>
      </c>
    </row>
    <row r="38" spans="1:5" x14ac:dyDescent="0.25">
      <c r="A38" s="24" t="s">
        <v>75</v>
      </c>
      <c r="B38" s="27">
        <v>45059</v>
      </c>
      <c r="C38" s="27">
        <v>48910</v>
      </c>
      <c r="D38" s="27">
        <v>54334</v>
      </c>
      <c r="E38" s="28">
        <v>62092</v>
      </c>
    </row>
    <row r="39" spans="1:5" x14ac:dyDescent="0.25">
      <c r="A39" s="24" t="s">
        <v>171</v>
      </c>
      <c r="B39" s="27">
        <v>-849</v>
      </c>
      <c r="C39" s="27">
        <v>308</v>
      </c>
      <c r="D39" s="27">
        <v>-207</v>
      </c>
      <c r="E39" s="28">
        <v>-5054</v>
      </c>
    </row>
    <row r="40" spans="1:5" x14ac:dyDescent="0.25">
      <c r="A40" s="24" t="s">
        <v>76</v>
      </c>
      <c r="B40" s="29">
        <v>49789</v>
      </c>
      <c r="C40" s="29">
        <v>68513</v>
      </c>
      <c r="D40" s="29">
        <v>79233</v>
      </c>
      <c r="E40" s="30">
        <v>67056</v>
      </c>
    </row>
    <row r="41" spans="1:5" x14ac:dyDescent="0.25">
      <c r="A41" s="31" t="s">
        <v>172</v>
      </c>
      <c r="B41" s="38">
        <f>SUM(B37:B40)</f>
        <v>93999</v>
      </c>
      <c r="C41" s="38">
        <v>117731</v>
      </c>
      <c r="D41" s="38">
        <v>133360</v>
      </c>
      <c r="E41" s="39">
        <v>124094</v>
      </c>
    </row>
    <row r="42" spans="1:5" ht="15.75" thickBot="1" x14ac:dyDescent="0.3">
      <c r="A42" s="22" t="s">
        <v>173</v>
      </c>
      <c r="B42" s="34">
        <f>B34+B41</f>
        <v>124418</v>
      </c>
      <c r="C42" s="34">
        <v>146437</v>
      </c>
      <c r="D42" s="34">
        <v>169585</v>
      </c>
      <c r="E42" s="35">
        <v>178894</v>
      </c>
    </row>
    <row r="43" spans="1:5" ht="15.75" thickTop="1" x14ac:dyDescent="0.25">
      <c r="B43" s="40"/>
      <c r="C43" s="40"/>
      <c r="D43" s="40"/>
      <c r="E4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DCF</vt:lpstr>
      <vt:lpstr>WACC</vt:lpstr>
      <vt:lpstr>Supporting Schedules</vt:lpstr>
      <vt:lpstr>IS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Mingyang Wen</cp:lastModifiedBy>
  <dcterms:created xsi:type="dcterms:W3CDTF">2022-06-25T16:24:49Z</dcterms:created>
  <dcterms:modified xsi:type="dcterms:W3CDTF">2023-01-03T11:46:01Z</dcterms:modified>
</cp:coreProperties>
</file>