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C:\Users\Vayne\Desktop\"/>
    </mc:Choice>
  </mc:AlternateContent>
  <xr:revisionPtr revIDLastSave="0" documentId="13_ncr:1_{D2549936-B94E-49F5-BBA2-E761D79D53E8}" xr6:coauthVersionLast="47" xr6:coauthVersionMax="47" xr10:uidLastSave="{00000000-0000-0000-0000-000000000000}"/>
  <bookViews>
    <workbookView xWindow="-110" yWindow="-110" windowWidth="19420" windowHeight="10420" tabRatio="730" firstSheet="18" activeTab="21" xr2:uid="{00000000-000D-0000-FFFF-FFFF00000000}"/>
  </bookViews>
  <sheets>
    <sheet name="HCW" sheetId="3" r:id="rId1"/>
    <sheet name="law enforcement" sheetId="14" r:id="rId2"/>
    <sheet name="community workers" sheetId="4" r:id="rId3"/>
    <sheet name="energy, food, transport" sheetId="1" r:id="rId4"/>
    <sheet name="social welfare" sheetId="7" r:id="rId5"/>
    <sheet name="occupation age by province" sheetId="15" r:id="rId6"/>
    <sheet name="t_occupation age profile" sheetId="16" r:id="rId7"/>
    <sheet name="abroad_province" sheetId="22" r:id="rId8"/>
    <sheet name="abroad age profile" sheetId="23" r:id="rId9"/>
    <sheet name="age profile_2010" sheetId="6" r:id="rId10"/>
    <sheet name="age profile_2019" sheetId="19" r:id="rId11"/>
    <sheet name="age5-9" sheetId="21" r:id="rId12"/>
    <sheet name="underlying conditions" sheetId="9" r:id="rId13"/>
    <sheet name="contraindications" sheetId="25" r:id="rId14"/>
    <sheet name="pregnant women" sheetId="11" r:id="rId15"/>
    <sheet name="school-aged" sheetId="10" r:id="rId16"/>
    <sheet name="population by province" sheetId="5" r:id="rId17"/>
    <sheet name="Population size in China" sheetId="17" r:id="rId18"/>
    <sheet name="population by age (1 year)" sheetId="20" r:id="rId19"/>
    <sheet name="Childbearing age profile_2018" sheetId="12" r:id="rId20"/>
    <sheet name="occupation age profile_2010" sheetId="8" r:id="rId21"/>
    <sheet name="translation" sheetId="2" r:id="rId22"/>
  </sheets>
  <calcPr calcId="191029"/>
</workbook>
</file>

<file path=xl/calcChain.xml><?xml version="1.0" encoding="utf-8"?>
<calcChain xmlns="http://schemas.openxmlformats.org/spreadsheetml/2006/main">
  <c r="U11" i="25" l="1"/>
  <c r="E11" i="25"/>
  <c r="U10" i="25"/>
  <c r="E10" i="25"/>
  <c r="F10" i="25"/>
  <c r="G10" i="25"/>
  <c r="H10" i="25"/>
  <c r="I10" i="25"/>
  <c r="J10" i="25"/>
  <c r="K10" i="25"/>
  <c r="L10" i="25"/>
  <c r="M10" i="25"/>
  <c r="N10" i="25"/>
  <c r="O10" i="25"/>
  <c r="P10" i="25"/>
  <c r="Q10" i="25"/>
  <c r="R10" i="25"/>
  <c r="S10" i="25"/>
  <c r="T10" i="25"/>
  <c r="F11" i="25"/>
  <c r="G11" i="25"/>
  <c r="H11" i="25"/>
  <c r="I11" i="25"/>
  <c r="J11" i="25"/>
  <c r="K11" i="25"/>
  <c r="L11" i="25"/>
  <c r="M11" i="25"/>
  <c r="N11" i="25"/>
  <c r="O11" i="25"/>
  <c r="P11" i="25"/>
  <c r="Q11" i="25"/>
  <c r="R11" i="25"/>
  <c r="S11" i="25"/>
  <c r="T11" i="25"/>
  <c r="E94" i="9"/>
  <c r="D10" i="25"/>
  <c r="D11" i="25"/>
  <c r="F95" i="9"/>
  <c r="G95" i="9"/>
  <c r="H95" i="9"/>
  <c r="I95" i="9"/>
  <c r="J95" i="9"/>
  <c r="K95" i="9"/>
  <c r="L95" i="9"/>
  <c r="M95" i="9"/>
  <c r="N95" i="9"/>
  <c r="O95" i="9"/>
  <c r="P95" i="9"/>
  <c r="Q95" i="9"/>
  <c r="R95" i="9"/>
  <c r="S95" i="9"/>
  <c r="T95" i="9"/>
  <c r="U95" i="9"/>
  <c r="E95" i="9"/>
  <c r="D95" i="9"/>
  <c r="H94" i="9"/>
  <c r="I94" i="9"/>
  <c r="J94" i="9"/>
  <c r="K94" i="9"/>
  <c r="L94" i="9"/>
  <c r="M94" i="9"/>
  <c r="N94" i="9"/>
  <c r="O94" i="9"/>
  <c r="P94" i="9"/>
  <c r="Q94" i="9"/>
  <c r="R94" i="9"/>
  <c r="S94" i="9"/>
  <c r="T94" i="9"/>
  <c r="U94" i="9"/>
  <c r="F94" i="9"/>
  <c r="G94" i="9"/>
  <c r="D94" i="9" l="1"/>
  <c r="D7" i="25" l="1"/>
  <c r="D8" i="25"/>
  <c r="D9" i="25"/>
  <c r="F9" i="25"/>
  <c r="G9" i="25"/>
  <c r="H9" i="25"/>
  <c r="I9" i="25"/>
  <c r="J9" i="25"/>
  <c r="K9" i="25"/>
  <c r="L9" i="25"/>
  <c r="M9" i="25"/>
  <c r="N9" i="25"/>
  <c r="O9" i="25"/>
  <c r="P9" i="25"/>
  <c r="Q9" i="25"/>
  <c r="R9" i="25"/>
  <c r="S9" i="25"/>
  <c r="T9" i="25"/>
  <c r="U9" i="25"/>
  <c r="E9" i="25"/>
  <c r="F8" i="25"/>
  <c r="G8" i="25"/>
  <c r="G2" i="25" s="1"/>
  <c r="H8" i="25"/>
  <c r="I8" i="25"/>
  <c r="I2" i="25" s="1"/>
  <c r="J8" i="25"/>
  <c r="J2" i="25" s="1"/>
  <c r="K8" i="25"/>
  <c r="L8" i="25"/>
  <c r="L2" i="25" s="1"/>
  <c r="M8" i="25"/>
  <c r="M2" i="25" s="1"/>
  <c r="N8" i="25"/>
  <c r="O8" i="25"/>
  <c r="O2" i="25" s="1"/>
  <c r="P8" i="25"/>
  <c r="Q8" i="25"/>
  <c r="Q2" i="25" s="1"/>
  <c r="R8" i="25"/>
  <c r="R2" i="25" s="1"/>
  <c r="S8" i="25"/>
  <c r="S2" i="25" s="1"/>
  <c r="T8" i="25"/>
  <c r="T2" i="25" s="1"/>
  <c r="U8" i="25"/>
  <c r="U2" i="25" s="1"/>
  <c r="E8" i="25"/>
  <c r="D4" i="25"/>
  <c r="D3" i="25"/>
  <c r="F93" i="9"/>
  <c r="G93" i="9"/>
  <c r="H93" i="9"/>
  <c r="I93" i="9"/>
  <c r="J93" i="9"/>
  <c r="K93" i="9"/>
  <c r="L93" i="9"/>
  <c r="M93" i="9"/>
  <c r="N93" i="9"/>
  <c r="O93" i="9"/>
  <c r="P93" i="9"/>
  <c r="Q93" i="9"/>
  <c r="R93" i="9"/>
  <c r="S93" i="9"/>
  <c r="T93" i="9"/>
  <c r="U93" i="9"/>
  <c r="E93" i="9"/>
  <c r="F92" i="9"/>
  <c r="F2" i="9" s="1"/>
  <c r="G92" i="9"/>
  <c r="G2" i="9" s="1"/>
  <c r="H92" i="9"/>
  <c r="H2" i="9" s="1"/>
  <c r="I92" i="9"/>
  <c r="I2" i="9" s="1"/>
  <c r="J92" i="9"/>
  <c r="K92" i="9"/>
  <c r="K2" i="9" s="1"/>
  <c r="L92" i="9"/>
  <c r="M92" i="9"/>
  <c r="M2" i="9" s="1"/>
  <c r="N92" i="9"/>
  <c r="N2" i="9" s="1"/>
  <c r="O92" i="9"/>
  <c r="O2" i="9" s="1"/>
  <c r="P92" i="9"/>
  <c r="P2" i="9" s="1"/>
  <c r="Q92" i="9"/>
  <c r="Q2" i="9" s="1"/>
  <c r="R92" i="9"/>
  <c r="S92" i="9"/>
  <c r="S2" i="9" s="1"/>
  <c r="T92" i="9"/>
  <c r="U92" i="9"/>
  <c r="U2" i="9" s="1"/>
  <c r="E92" i="9"/>
  <c r="E2" i="9" s="1"/>
  <c r="T2" i="9" l="1"/>
  <c r="L2" i="9"/>
  <c r="P2" i="25"/>
  <c r="H2" i="25"/>
  <c r="R2" i="9"/>
  <c r="J2" i="9"/>
  <c r="E2" i="25"/>
  <c r="N2" i="25"/>
  <c r="F2" i="25"/>
  <c r="K2" i="25"/>
  <c r="V32" i="19" l="1"/>
  <c r="V31" i="19"/>
  <c r="AG32" i="19"/>
  <c r="AF32" i="19"/>
  <c r="AE32" i="19"/>
  <c r="AC32" i="19"/>
  <c r="AA32" i="19"/>
  <c r="Y32" i="19"/>
  <c r="X32" i="19"/>
  <c r="W32" i="19"/>
  <c r="U32" i="19"/>
  <c r="T32" i="19"/>
  <c r="S32" i="19"/>
  <c r="R32" i="19"/>
  <c r="Q32" i="19"/>
  <c r="P32" i="19"/>
  <c r="O32" i="19"/>
  <c r="N32" i="19"/>
  <c r="M32" i="19"/>
  <c r="L32" i="19"/>
  <c r="K32" i="19"/>
  <c r="E32" i="19"/>
  <c r="D32" i="19"/>
  <c r="AG31" i="19"/>
  <c r="AF31" i="19"/>
  <c r="AE31" i="19"/>
  <c r="AC31" i="19"/>
  <c r="AA31" i="19"/>
  <c r="Y31" i="19"/>
  <c r="X31" i="19"/>
  <c r="W31" i="19"/>
  <c r="U31" i="19"/>
  <c r="T31" i="19"/>
  <c r="S31" i="19"/>
  <c r="R31" i="19"/>
  <c r="Q31" i="19"/>
  <c r="P31" i="19"/>
  <c r="O31" i="19"/>
  <c r="N31" i="19"/>
  <c r="M31" i="19"/>
  <c r="L31" i="19"/>
  <c r="K31" i="19"/>
  <c r="E31" i="19"/>
  <c r="D31" i="19"/>
  <c r="V30" i="19"/>
  <c r="M30" i="19"/>
  <c r="N30" i="19"/>
  <c r="O30" i="19"/>
  <c r="P30" i="19"/>
  <c r="Q30" i="19"/>
  <c r="R30" i="19"/>
  <c r="S30" i="19"/>
  <c r="T30" i="19"/>
  <c r="U30" i="19"/>
  <c r="V29" i="19"/>
  <c r="M29" i="19"/>
  <c r="N29" i="19"/>
  <c r="O29" i="19"/>
  <c r="P29" i="19"/>
  <c r="Q29" i="19"/>
  <c r="R29" i="19"/>
  <c r="S29" i="19"/>
  <c r="T29" i="19"/>
  <c r="U29" i="19"/>
  <c r="V28" i="19"/>
  <c r="M28" i="19"/>
  <c r="N28" i="19"/>
  <c r="O28" i="19"/>
  <c r="P28" i="19"/>
  <c r="Q28" i="19"/>
  <c r="R28" i="19"/>
  <c r="S28" i="19"/>
  <c r="T28" i="19"/>
  <c r="U28" i="19"/>
  <c r="V27" i="19"/>
  <c r="AG27" i="19"/>
  <c r="AF27" i="19"/>
  <c r="AE27" i="19"/>
  <c r="AC27" i="19"/>
  <c r="AA27" i="19"/>
  <c r="Y27" i="19"/>
  <c r="X27" i="19"/>
  <c r="W27" i="19"/>
  <c r="U27" i="19"/>
  <c r="T27" i="19"/>
  <c r="S27" i="19"/>
  <c r="R27" i="19"/>
  <c r="Q27" i="19"/>
  <c r="P27" i="19"/>
  <c r="O27" i="19"/>
  <c r="N27" i="19"/>
  <c r="M27" i="19"/>
  <c r="L27" i="19"/>
  <c r="K27" i="19"/>
  <c r="E27" i="19"/>
  <c r="D27" i="19"/>
  <c r="V26" i="19"/>
  <c r="AG26" i="19"/>
  <c r="AF26" i="19"/>
  <c r="AE26" i="19"/>
  <c r="AC26" i="19"/>
  <c r="AA26" i="19"/>
  <c r="Y26" i="19"/>
  <c r="X26" i="19"/>
  <c r="W26" i="19"/>
  <c r="U26" i="19"/>
  <c r="T26" i="19"/>
  <c r="S26" i="19"/>
  <c r="R26" i="19"/>
  <c r="Q26" i="19"/>
  <c r="P26" i="19"/>
  <c r="O26" i="19"/>
  <c r="N26" i="19"/>
  <c r="M26" i="19"/>
  <c r="L26" i="19"/>
  <c r="K26" i="19"/>
  <c r="E26" i="19"/>
  <c r="D26" i="19"/>
  <c r="M25" i="19"/>
  <c r="N25" i="19"/>
  <c r="O25" i="19"/>
  <c r="P25" i="19"/>
  <c r="Q25" i="19"/>
  <c r="R25" i="19"/>
  <c r="S25" i="19"/>
  <c r="T25" i="19"/>
  <c r="U25" i="19"/>
  <c r="V25" i="19"/>
  <c r="V24" i="19"/>
  <c r="AG24" i="19"/>
  <c r="AF24" i="19"/>
  <c r="AE24" i="19"/>
  <c r="AC24" i="19"/>
  <c r="AA24" i="19"/>
  <c r="Y24" i="19"/>
  <c r="X24" i="19"/>
  <c r="W24" i="19"/>
  <c r="U24" i="19"/>
  <c r="T24" i="19"/>
  <c r="S24" i="19"/>
  <c r="R24" i="19"/>
  <c r="Q24" i="19"/>
  <c r="P24" i="19"/>
  <c r="O24" i="19"/>
  <c r="N24" i="19"/>
  <c r="M24" i="19"/>
  <c r="L24" i="19"/>
  <c r="K24" i="19"/>
  <c r="E24" i="19"/>
  <c r="D24" i="19"/>
  <c r="U23" i="19"/>
  <c r="T23" i="19"/>
  <c r="S23" i="19"/>
  <c r="R23" i="19"/>
  <c r="Q23" i="19"/>
  <c r="P23" i="19"/>
  <c r="O23" i="19"/>
  <c r="N23" i="19"/>
  <c r="M23" i="19"/>
  <c r="L23" i="19"/>
  <c r="V23" i="19"/>
  <c r="V22" i="19"/>
  <c r="U22" i="19"/>
  <c r="T22" i="19"/>
  <c r="S22" i="19"/>
  <c r="R22" i="19"/>
  <c r="Q22" i="19"/>
  <c r="P22" i="19"/>
  <c r="O22" i="19"/>
  <c r="N22" i="19"/>
  <c r="M22" i="19"/>
  <c r="Y23" i="19"/>
  <c r="K23" i="19"/>
  <c r="X23" i="19"/>
  <c r="E23" i="19"/>
  <c r="D23" i="19"/>
  <c r="V21" i="19"/>
  <c r="U21" i="19"/>
  <c r="T21" i="19"/>
  <c r="S21" i="19"/>
  <c r="R21" i="19"/>
  <c r="Q21" i="19"/>
  <c r="P21" i="19"/>
  <c r="O21" i="19"/>
  <c r="N21" i="19"/>
  <c r="M21" i="19"/>
  <c r="U20" i="19"/>
  <c r="T20" i="19"/>
  <c r="S20" i="19"/>
  <c r="R20" i="19"/>
  <c r="Q20" i="19"/>
  <c r="P20" i="19"/>
  <c r="O20" i="19"/>
  <c r="N20" i="19"/>
  <c r="M20" i="19"/>
  <c r="V20" i="19"/>
  <c r="V19" i="19"/>
  <c r="AG19" i="19"/>
  <c r="AF19" i="19"/>
  <c r="AE19" i="19"/>
  <c r="AC19" i="19"/>
  <c r="AA19" i="19"/>
  <c r="Y19" i="19"/>
  <c r="X19" i="19"/>
  <c r="W19" i="19"/>
  <c r="U19" i="19"/>
  <c r="T19" i="19"/>
  <c r="S19" i="19"/>
  <c r="R19" i="19"/>
  <c r="Q19" i="19"/>
  <c r="P19" i="19"/>
  <c r="O19" i="19"/>
  <c r="N19" i="19"/>
  <c r="M19" i="19"/>
  <c r="L19" i="19"/>
  <c r="K19" i="19"/>
  <c r="E19" i="19"/>
  <c r="D19" i="19"/>
  <c r="V16" i="19"/>
  <c r="AG16" i="19"/>
  <c r="AF16" i="19"/>
  <c r="AE16" i="19"/>
  <c r="AC16" i="19"/>
  <c r="AA16" i="19"/>
  <c r="Y16" i="19"/>
  <c r="X16" i="19"/>
  <c r="W16" i="19"/>
  <c r="U16" i="19"/>
  <c r="T16" i="19"/>
  <c r="S16" i="19"/>
  <c r="R16" i="19"/>
  <c r="Q16" i="19"/>
  <c r="P16" i="19"/>
  <c r="O16" i="19"/>
  <c r="N16" i="19"/>
  <c r="M16" i="19"/>
  <c r="L16" i="19"/>
  <c r="K16" i="19"/>
  <c r="E16" i="19"/>
  <c r="D16" i="19"/>
  <c r="V18" i="19"/>
  <c r="D18" i="19"/>
  <c r="AG18" i="19"/>
  <c r="AF18" i="19"/>
  <c r="AE18" i="19"/>
  <c r="AC18" i="19"/>
  <c r="AA18" i="19"/>
  <c r="Y18" i="19"/>
  <c r="X18" i="19"/>
  <c r="W18" i="19"/>
  <c r="U18" i="19"/>
  <c r="T18" i="19"/>
  <c r="S18" i="19"/>
  <c r="R18" i="19"/>
  <c r="Q18" i="19"/>
  <c r="P18" i="19"/>
  <c r="O18" i="19"/>
  <c r="N18" i="19"/>
  <c r="M18" i="19"/>
  <c r="L18" i="19"/>
  <c r="K18" i="19"/>
  <c r="E18" i="19"/>
  <c r="V12" i="19"/>
  <c r="AG12" i="19"/>
  <c r="AF12" i="19"/>
  <c r="AE12" i="19"/>
  <c r="AC12" i="19"/>
  <c r="AA12" i="19"/>
  <c r="Y12" i="19"/>
  <c r="X12" i="19"/>
  <c r="W12" i="19"/>
  <c r="U12" i="19"/>
  <c r="T12" i="19"/>
  <c r="S12" i="19"/>
  <c r="R12" i="19"/>
  <c r="Q12" i="19"/>
  <c r="P12" i="19"/>
  <c r="O12" i="19"/>
  <c r="N12" i="19"/>
  <c r="M12" i="19"/>
  <c r="L12" i="19"/>
  <c r="K12" i="19"/>
  <c r="E12" i="19"/>
  <c r="D12" i="19"/>
  <c r="AG10" i="19"/>
  <c r="AF10" i="19"/>
  <c r="AE10" i="19"/>
  <c r="AC10" i="19"/>
  <c r="AA10" i="19"/>
  <c r="Y10" i="19"/>
  <c r="X10" i="19"/>
  <c r="W10" i="19"/>
  <c r="U10" i="19"/>
  <c r="T10" i="19"/>
  <c r="S10" i="19"/>
  <c r="R10" i="19"/>
  <c r="Q10" i="19"/>
  <c r="P10" i="19"/>
  <c r="O10" i="19"/>
  <c r="N10" i="19"/>
  <c r="M10" i="19"/>
  <c r="L10" i="19"/>
  <c r="K10" i="19"/>
  <c r="E10" i="19"/>
  <c r="D10" i="19"/>
  <c r="V10" i="19"/>
  <c r="M8" i="19"/>
  <c r="N8" i="19"/>
  <c r="O8" i="19"/>
  <c r="P8" i="19"/>
  <c r="Q8" i="19"/>
  <c r="R8" i="19"/>
  <c r="S8" i="19"/>
  <c r="T8" i="19"/>
  <c r="U8" i="19"/>
  <c r="V7" i="19"/>
  <c r="M7" i="19"/>
  <c r="N7" i="19"/>
  <c r="O7" i="19"/>
  <c r="P7" i="19"/>
  <c r="Q7" i="19"/>
  <c r="R7" i="19"/>
  <c r="S7" i="19"/>
  <c r="T7" i="19"/>
  <c r="U7" i="19"/>
  <c r="V6" i="19"/>
  <c r="M6" i="19"/>
  <c r="N6" i="19"/>
  <c r="O6" i="19"/>
  <c r="P6" i="19"/>
  <c r="Q6" i="19"/>
  <c r="R6" i="19"/>
  <c r="S6" i="19"/>
  <c r="T6" i="19"/>
  <c r="U6" i="19"/>
  <c r="V5" i="19"/>
  <c r="M5" i="19"/>
  <c r="N5" i="19"/>
  <c r="O5" i="19"/>
  <c r="P5" i="19"/>
  <c r="Q5" i="19"/>
  <c r="R5" i="19"/>
  <c r="S5" i="19"/>
  <c r="T5" i="19"/>
  <c r="U5" i="19"/>
  <c r="M4" i="19"/>
  <c r="N4" i="19"/>
  <c r="O4" i="19"/>
  <c r="P4" i="19"/>
  <c r="Q4" i="19"/>
  <c r="R4" i="19"/>
  <c r="S4" i="19"/>
  <c r="T4" i="19"/>
  <c r="U4" i="19"/>
  <c r="P3" i="19"/>
  <c r="Q3" i="19"/>
  <c r="R3" i="19"/>
  <c r="S3" i="19"/>
  <c r="T3" i="19"/>
  <c r="U3" i="19"/>
  <c r="N3" i="19"/>
  <c r="O3" i="19"/>
  <c r="M3" i="19"/>
  <c r="V8" i="19"/>
  <c r="V4" i="19"/>
  <c r="V3" i="19"/>
  <c r="Z24" i="19" l="1"/>
  <c r="Z31" i="19"/>
  <c r="Z32" i="19"/>
  <c r="Z27" i="19"/>
  <c r="Z26" i="19"/>
  <c r="Z19" i="19"/>
  <c r="Z18" i="19"/>
  <c r="AC23" i="19"/>
  <c r="AE23" i="19"/>
  <c r="AF23" i="19"/>
  <c r="W23" i="19"/>
  <c r="AG23" i="19"/>
  <c r="AA23" i="19"/>
  <c r="Z16" i="19"/>
  <c r="Z12" i="19"/>
  <c r="Z10" i="19"/>
  <c r="AG8" i="19"/>
  <c r="AF8" i="19"/>
  <c r="AE8" i="19"/>
  <c r="AC8" i="19"/>
  <c r="AA8" i="19"/>
  <c r="Y8" i="19"/>
  <c r="X8" i="19"/>
  <c r="W8" i="19"/>
  <c r="L8" i="19"/>
  <c r="K8" i="19"/>
  <c r="E8" i="19"/>
  <c r="D8" i="19"/>
  <c r="AC17" i="19"/>
  <c r="AA17" i="19"/>
  <c r="Y17" i="19"/>
  <c r="X17" i="19"/>
  <c r="W17" i="19"/>
  <c r="V17" i="19"/>
  <c r="U17" i="19"/>
  <c r="T17" i="19"/>
  <c r="S17" i="19"/>
  <c r="R17" i="19"/>
  <c r="Q17" i="19"/>
  <c r="P17" i="19"/>
  <c r="O17" i="19"/>
  <c r="N17" i="19"/>
  <c r="M17" i="19"/>
  <c r="L17" i="19"/>
  <c r="K17" i="19"/>
  <c r="J17" i="19"/>
  <c r="AF17" i="19"/>
  <c r="AE17" i="19"/>
  <c r="Z8" i="19" l="1"/>
  <c r="Z23" i="19"/>
  <c r="Z9" i="19"/>
  <c r="B3" i="20" l="1"/>
  <c r="C3" i="20" s="1"/>
  <c r="B2" i="20"/>
  <c r="C2" i="20" s="1"/>
  <c r="AH27" i="19" l="1"/>
  <c r="AH18" i="19"/>
  <c r="AH24" i="19"/>
  <c r="AH23" i="19"/>
  <c r="AH12" i="19"/>
  <c r="AH19" i="19"/>
  <c r="AH16" i="19"/>
  <c r="AH31" i="19"/>
  <c r="AH8" i="19"/>
  <c r="AH10" i="19"/>
  <c r="AH26" i="19"/>
  <c r="AH32" i="19"/>
  <c r="I2" i="14"/>
  <c r="C39" i="16"/>
  <c r="AD15" i="19" l="1"/>
  <c r="AC15" i="19"/>
  <c r="AA15" i="19"/>
  <c r="Y15" i="19"/>
  <c r="X15" i="19"/>
  <c r="W15" i="19"/>
  <c r="V15" i="19"/>
  <c r="U15" i="19"/>
  <c r="T15" i="19"/>
  <c r="S15" i="19"/>
  <c r="R15" i="19"/>
  <c r="Q15" i="19"/>
  <c r="P15" i="19"/>
  <c r="O15" i="19"/>
  <c r="N15" i="19"/>
  <c r="M15" i="19"/>
  <c r="L15" i="19"/>
  <c r="K15" i="19"/>
  <c r="J15" i="19"/>
  <c r="E32" i="22" l="1"/>
  <c r="D3" i="23" l="1"/>
  <c r="D2" i="23"/>
  <c r="D25" i="17" l="1"/>
  <c r="D24" i="17"/>
  <c r="D23" i="17"/>
  <c r="D22" i="17"/>
  <c r="D21" i="17"/>
  <c r="AK2" i="25" s="1"/>
  <c r="D20" i="17"/>
  <c r="AJ2" i="25" s="1"/>
  <c r="D19" i="17"/>
  <c r="AI2" i="25" s="1"/>
  <c r="D18" i="17"/>
  <c r="AH2" i="25" s="1"/>
  <c r="D17" i="17"/>
  <c r="AG2" i="25" s="1"/>
  <c r="D16" i="17"/>
  <c r="AF2" i="25" s="1"/>
  <c r="D15" i="17"/>
  <c r="AE2" i="25" s="1"/>
  <c r="D14" i="17"/>
  <c r="AD2" i="25" s="1"/>
  <c r="D13" i="17"/>
  <c r="AC2" i="25" s="1"/>
  <c r="D12" i="17"/>
  <c r="AB2" i="25" s="1"/>
  <c r="D11" i="17"/>
  <c r="AA2" i="25" s="1"/>
  <c r="D10" i="17"/>
  <c r="Z2" i="25" s="1"/>
  <c r="D9" i="17"/>
  <c r="Y2" i="25" s="1"/>
  <c r="D8" i="17"/>
  <c r="X2" i="25" s="1"/>
  <c r="D7" i="17"/>
  <c r="W2" i="25" s="1"/>
  <c r="D6" i="17"/>
  <c r="D2" i="17" l="1"/>
  <c r="V2" i="25"/>
  <c r="D30" i="19"/>
  <c r="E30" i="19"/>
  <c r="K30" i="19"/>
  <c r="L30" i="19"/>
  <c r="AH30" i="19"/>
  <c r="W30" i="19"/>
  <c r="X30" i="19"/>
  <c r="Y30" i="19"/>
  <c r="AA30" i="19"/>
  <c r="AC30" i="19"/>
  <c r="AE30" i="19"/>
  <c r="AF30" i="19"/>
  <c r="AG30" i="19"/>
  <c r="Z14" i="19"/>
  <c r="X14" i="19"/>
  <c r="W14" i="19"/>
  <c r="V14" i="19"/>
  <c r="U14" i="19"/>
  <c r="T14" i="19"/>
  <c r="S14" i="19"/>
  <c r="R14" i="19"/>
  <c r="Q14" i="19"/>
  <c r="P14" i="19"/>
  <c r="O14" i="19"/>
  <c r="N14" i="19"/>
  <c r="M14" i="19"/>
  <c r="L14" i="19"/>
  <c r="K14" i="19"/>
  <c r="J14" i="19"/>
  <c r="Y14" i="19"/>
  <c r="Z2" i="19"/>
  <c r="Z30" i="19" l="1"/>
  <c r="D3" i="9" l="1"/>
  <c r="D91" i="9"/>
  <c r="D90" i="9"/>
  <c r="D89" i="9"/>
  <c r="D88" i="9"/>
  <c r="D87" i="9"/>
  <c r="D86" i="9"/>
  <c r="D85" i="9"/>
  <c r="D84" i="9"/>
  <c r="D83" i="9"/>
  <c r="D82" i="9"/>
  <c r="D81" i="9"/>
  <c r="D80" i="9"/>
  <c r="D79" i="9"/>
  <c r="D78" i="9"/>
  <c r="D77" i="9"/>
  <c r="D76" i="9"/>
  <c r="D75" i="9"/>
  <c r="D74" i="9"/>
  <c r="D73" i="9"/>
  <c r="D72" i="9"/>
  <c r="D71" i="9"/>
  <c r="D70" i="9"/>
  <c r="D69" i="9"/>
  <c r="D68" i="9"/>
  <c r="D67" i="9"/>
  <c r="D66" i="9"/>
  <c r="D65" i="9"/>
  <c r="D64" i="9"/>
  <c r="D63" i="9"/>
  <c r="D62" i="9"/>
  <c r="D61" i="9"/>
  <c r="D60" i="9"/>
  <c r="D59" i="9"/>
  <c r="D58" i="9"/>
  <c r="D57" i="9"/>
  <c r="D56" i="9"/>
  <c r="D55" i="9"/>
  <c r="D54" i="9"/>
  <c r="D53" i="9"/>
  <c r="D52" i="9"/>
  <c r="D51" i="9"/>
  <c r="D50" i="9"/>
  <c r="D49" i="9"/>
  <c r="D48" i="9"/>
  <c r="D47" i="9"/>
  <c r="D46" i="9"/>
  <c r="D45" i="9"/>
  <c r="D44" i="9"/>
  <c r="D43" i="9"/>
  <c r="D42" i="9"/>
  <c r="D41" i="9"/>
  <c r="D40" i="9"/>
  <c r="D39" i="9"/>
  <c r="D38" i="9"/>
  <c r="D37" i="9"/>
  <c r="D36" i="9"/>
  <c r="D35" i="9"/>
  <c r="D34" i="9"/>
  <c r="D33" i="9"/>
  <c r="D32" i="9"/>
  <c r="D31" i="9"/>
  <c r="D30" i="9"/>
  <c r="D29" i="9"/>
  <c r="D28" i="9"/>
  <c r="D27" i="9"/>
  <c r="D26" i="9"/>
  <c r="D25" i="9"/>
  <c r="D24" i="9"/>
  <c r="D23" i="9"/>
  <c r="D22" i="9"/>
  <c r="D21" i="9"/>
  <c r="D20" i="9"/>
  <c r="D19" i="9"/>
  <c r="D18" i="9"/>
  <c r="D17" i="9"/>
  <c r="D16" i="9"/>
  <c r="D15" i="9"/>
  <c r="D14" i="9"/>
  <c r="D13" i="9"/>
  <c r="D12" i="9"/>
  <c r="D11" i="9"/>
  <c r="D10" i="9"/>
  <c r="D9" i="9"/>
  <c r="D8" i="9"/>
  <c r="D7" i="9"/>
  <c r="D6" i="9"/>
  <c r="D5" i="9"/>
  <c r="D4" i="9"/>
  <c r="G3" i="21" l="1"/>
  <c r="G4" i="21"/>
  <c r="H4" i="21" s="1"/>
  <c r="G5" i="21"/>
  <c r="G6" i="21"/>
  <c r="H6" i="21" s="1"/>
  <c r="G7" i="21"/>
  <c r="H7" i="21" s="1"/>
  <c r="G8" i="21"/>
  <c r="G9" i="21"/>
  <c r="G10" i="21"/>
  <c r="H10" i="21" s="1"/>
  <c r="G11" i="21"/>
  <c r="H11" i="21" s="1"/>
  <c r="G12" i="21"/>
  <c r="H12" i="21" s="1"/>
  <c r="F9" i="19" s="1"/>
  <c r="G13" i="21"/>
  <c r="G14" i="21"/>
  <c r="G15" i="21"/>
  <c r="H15" i="21" s="1"/>
  <c r="F8" i="19" s="1"/>
  <c r="G16" i="21"/>
  <c r="H16" i="21" s="1"/>
  <c r="F11" i="19" s="1"/>
  <c r="G17" i="21"/>
  <c r="G18" i="21"/>
  <c r="H18" i="21" s="1"/>
  <c r="G19" i="21"/>
  <c r="H19" i="21" s="1"/>
  <c r="G20" i="21"/>
  <c r="G21" i="21"/>
  <c r="G22" i="21"/>
  <c r="H22" i="21" s="1"/>
  <c r="F16" i="19" s="1"/>
  <c r="G23" i="21"/>
  <c r="H23" i="21" s="1"/>
  <c r="G24" i="21"/>
  <c r="H24" i="21" s="1"/>
  <c r="G25" i="21"/>
  <c r="H25" i="21" s="1"/>
  <c r="F10" i="19" s="1"/>
  <c r="G26" i="21"/>
  <c r="H26" i="21" s="1"/>
  <c r="F24" i="19" s="1"/>
  <c r="G27" i="21"/>
  <c r="G28" i="21"/>
  <c r="G29" i="21"/>
  <c r="G30" i="21"/>
  <c r="H30" i="21" s="1"/>
  <c r="F26" i="19" s="1"/>
  <c r="G31" i="21"/>
  <c r="H31" i="21" s="1"/>
  <c r="F12" i="19" s="1"/>
  <c r="G32" i="21"/>
  <c r="H32" i="21" s="1"/>
  <c r="F23" i="19" s="1"/>
  <c r="G2" i="21"/>
  <c r="H2" i="21" s="1"/>
  <c r="H27" i="21"/>
  <c r="H21" i="21"/>
  <c r="F30" i="19" s="1"/>
  <c r="H17" i="21"/>
  <c r="H14" i="21"/>
  <c r="F19" i="19" s="1"/>
  <c r="H13" i="21"/>
  <c r="F18" i="19" s="1"/>
  <c r="H9" i="21"/>
  <c r="H8" i="21"/>
  <c r="H5" i="21"/>
  <c r="H3" i="21"/>
  <c r="F2" i="19" s="1"/>
  <c r="F13" i="19" l="1"/>
  <c r="H29" i="21"/>
  <c r="F32" i="19" s="1"/>
  <c r="H20" i="21"/>
  <c r="F31" i="19" s="1"/>
  <c r="H28" i="21"/>
  <c r="F27" i="19" s="1"/>
  <c r="J21" i="1"/>
  <c r="AH13" i="19" l="1"/>
  <c r="AH11" i="19"/>
  <c r="AH2" i="19"/>
  <c r="AH9" i="19"/>
  <c r="F6" i="14" l="1"/>
  <c r="Z11" i="19" l="1"/>
  <c r="AG29" i="19" l="1"/>
  <c r="AF29" i="19"/>
  <c r="AE29" i="19"/>
  <c r="AC29" i="19"/>
  <c r="AA29" i="19"/>
  <c r="Y29" i="19"/>
  <c r="X29" i="19"/>
  <c r="W29" i="19"/>
  <c r="AH29" i="19"/>
  <c r="L29" i="19"/>
  <c r="K29" i="19"/>
  <c r="F29" i="19" s="1"/>
  <c r="AG28" i="19"/>
  <c r="AF28" i="19"/>
  <c r="AE28" i="19"/>
  <c r="AC28" i="19"/>
  <c r="AA28" i="19"/>
  <c r="Y28" i="19"/>
  <c r="X28" i="19"/>
  <c r="W28" i="19"/>
  <c r="AH28" i="19"/>
  <c r="L28" i="19"/>
  <c r="K28" i="19"/>
  <c r="F28" i="19" s="1"/>
  <c r="AG25" i="19"/>
  <c r="AF25" i="19"/>
  <c r="AE25" i="19"/>
  <c r="AC25" i="19"/>
  <c r="AA25" i="19"/>
  <c r="Y25" i="19"/>
  <c r="X25" i="19"/>
  <c r="W25" i="19"/>
  <c r="AH25" i="19"/>
  <c r="L25" i="19"/>
  <c r="K25" i="19"/>
  <c r="F25" i="19" s="1"/>
  <c r="E29" i="19"/>
  <c r="D29" i="19"/>
  <c r="E28" i="19"/>
  <c r="D28" i="19"/>
  <c r="E25" i="19"/>
  <c r="D25" i="19"/>
  <c r="D22" i="19"/>
  <c r="E22" i="19"/>
  <c r="E20" i="19"/>
  <c r="D20" i="19"/>
  <c r="K20" i="19"/>
  <c r="F20" i="19" s="1"/>
  <c r="K22" i="19"/>
  <c r="F22" i="19" s="1"/>
  <c r="L22" i="19"/>
  <c r="AH22" i="19"/>
  <c r="W22" i="19"/>
  <c r="X22" i="19"/>
  <c r="Y22" i="19"/>
  <c r="AA22" i="19"/>
  <c r="AC22" i="19"/>
  <c r="AE22" i="19"/>
  <c r="AF22" i="19"/>
  <c r="AG22" i="19"/>
  <c r="AG20" i="19"/>
  <c r="AF20" i="19"/>
  <c r="AE20" i="19"/>
  <c r="AC20" i="19"/>
  <c r="AA20" i="19"/>
  <c r="Y20" i="19"/>
  <c r="X20" i="19"/>
  <c r="W20" i="19"/>
  <c r="AH20" i="19"/>
  <c r="L20" i="19"/>
  <c r="AG13" i="19"/>
  <c r="AF13" i="19"/>
  <c r="AE13" i="19"/>
  <c r="AC13" i="19"/>
  <c r="AA13" i="19"/>
  <c r="Y13" i="19"/>
  <c r="X13" i="19"/>
  <c r="W13" i="19"/>
  <c r="K4" i="19"/>
  <c r="F4" i="19" s="1"/>
  <c r="L4" i="19"/>
  <c r="AH4" i="19"/>
  <c r="W4" i="19"/>
  <c r="X4" i="19"/>
  <c r="Y4" i="19"/>
  <c r="AA4" i="19"/>
  <c r="AC4" i="19"/>
  <c r="AE4" i="19"/>
  <c r="AF4" i="19"/>
  <c r="AG4" i="19"/>
  <c r="K5" i="19"/>
  <c r="F5" i="19" s="1"/>
  <c r="L5" i="19"/>
  <c r="AH5" i="19"/>
  <c r="W5" i="19"/>
  <c r="X5" i="19"/>
  <c r="Y5" i="19"/>
  <c r="AA5" i="19"/>
  <c r="AC5" i="19"/>
  <c r="AE5" i="19"/>
  <c r="AF5" i="19"/>
  <c r="AG5" i="19"/>
  <c r="K6" i="19"/>
  <c r="F6" i="19" s="1"/>
  <c r="L6" i="19"/>
  <c r="AH6" i="19"/>
  <c r="W6" i="19"/>
  <c r="X6" i="19"/>
  <c r="Y6" i="19"/>
  <c r="AA6" i="19"/>
  <c r="AC6" i="19"/>
  <c r="AE6" i="19"/>
  <c r="AF6" i="19"/>
  <c r="AG6" i="19"/>
  <c r="D4" i="19"/>
  <c r="E4" i="19"/>
  <c r="D5" i="19"/>
  <c r="E5" i="19"/>
  <c r="D6" i="19"/>
  <c r="E6" i="19"/>
  <c r="W3" i="19"/>
  <c r="AG3" i="19"/>
  <c r="AF3" i="19"/>
  <c r="AE3" i="19"/>
  <c r="AC3" i="19"/>
  <c r="AA3" i="19"/>
  <c r="Y3" i="19"/>
  <c r="X3" i="19"/>
  <c r="AH3" i="19"/>
  <c r="L3" i="19"/>
  <c r="K3" i="19"/>
  <c r="F3" i="19" s="1"/>
  <c r="E3" i="19"/>
  <c r="D3" i="19"/>
  <c r="X21" i="19"/>
  <c r="D21" i="19"/>
  <c r="Z29" i="19" l="1"/>
  <c r="Z13" i="19"/>
  <c r="Z25" i="19"/>
  <c r="Z20" i="19"/>
  <c r="Z5" i="19"/>
  <c r="Z6" i="19"/>
  <c r="Z4" i="19"/>
  <c r="Z3" i="19"/>
  <c r="Z22" i="19"/>
  <c r="Z28" i="19"/>
  <c r="W21" i="19"/>
  <c r="AG21" i="19"/>
  <c r="AH21" i="19"/>
  <c r="AF21" i="19"/>
  <c r="AE21" i="19"/>
  <c r="L21" i="19"/>
  <c r="AC21" i="19"/>
  <c r="K21" i="19"/>
  <c r="F21" i="19" s="1"/>
  <c r="E21" i="19"/>
  <c r="AA21" i="19"/>
  <c r="Y21" i="19"/>
  <c r="AH17" i="19"/>
  <c r="F17" i="19"/>
  <c r="AH15" i="19"/>
  <c r="F15" i="19"/>
  <c r="AH14" i="19"/>
  <c r="F14" i="19"/>
  <c r="Z15" i="19" l="1"/>
  <c r="Z17" i="19"/>
  <c r="Z21" i="19"/>
  <c r="K7" i="19"/>
  <c r="F7" i="19" s="1"/>
  <c r="L7" i="19"/>
  <c r="D7" i="19"/>
  <c r="E7" i="19"/>
  <c r="W7" i="19"/>
  <c r="X7" i="19"/>
  <c r="Y7" i="19"/>
  <c r="AA7" i="19"/>
  <c r="AC7" i="19"/>
  <c r="AE7" i="19"/>
  <c r="AG7" i="19"/>
  <c r="AF7" i="19"/>
  <c r="AH7" i="19"/>
  <c r="F3" i="14"/>
  <c r="Z7" i="19" l="1"/>
  <c r="F4" i="14"/>
  <c r="F33" i="14"/>
  <c r="F32" i="14"/>
  <c r="F31" i="14"/>
  <c r="F30" i="14"/>
  <c r="F29" i="14"/>
  <c r="F28" i="14"/>
  <c r="F27" i="14"/>
  <c r="F26" i="14"/>
  <c r="F25" i="14"/>
  <c r="F24" i="14"/>
  <c r="F23" i="14"/>
  <c r="F22" i="14"/>
  <c r="F21" i="14"/>
  <c r="F20" i="14"/>
  <c r="F19" i="14"/>
  <c r="F18" i="14"/>
  <c r="F17" i="14"/>
  <c r="F16" i="14"/>
  <c r="F15" i="14"/>
  <c r="F14" i="14"/>
  <c r="F13" i="14"/>
  <c r="F12" i="14"/>
  <c r="F11" i="14"/>
  <c r="F10" i="14"/>
  <c r="F9" i="14"/>
  <c r="F8" i="14"/>
  <c r="F7" i="14"/>
  <c r="F5" i="14"/>
  <c r="F2" i="14" l="1"/>
  <c r="G15" i="14" s="1"/>
  <c r="AK15" i="8"/>
  <c r="AI15" i="8"/>
  <c r="AG15" i="8"/>
  <c r="AE15" i="8"/>
  <c r="AC15" i="8"/>
  <c r="AA15" i="8"/>
  <c r="Y15" i="8"/>
  <c r="W15" i="8"/>
  <c r="U15" i="8"/>
  <c r="S15" i="8"/>
  <c r="Q15" i="8"/>
  <c r="O15" i="8"/>
  <c r="M15" i="8"/>
  <c r="I15" i="8"/>
  <c r="G15" i="8"/>
  <c r="E15" i="8"/>
  <c r="C15" i="8"/>
  <c r="AK14" i="8"/>
  <c r="AI14" i="8"/>
  <c r="AG14" i="8"/>
  <c r="AE14" i="8"/>
  <c r="AC14" i="8"/>
  <c r="AA14" i="8"/>
  <c r="Y14" i="8"/>
  <c r="W14" i="8"/>
  <c r="U14" i="8"/>
  <c r="S14" i="8"/>
  <c r="Q14" i="8"/>
  <c r="O14" i="8"/>
  <c r="M14" i="8"/>
  <c r="I14" i="8"/>
  <c r="G14" i="8"/>
  <c r="E14" i="8"/>
  <c r="C14" i="8"/>
  <c r="AK13" i="8"/>
  <c r="AI13" i="8"/>
  <c r="AG13" i="8"/>
  <c r="AE13" i="8"/>
  <c r="AC13" i="8"/>
  <c r="AA13" i="8"/>
  <c r="Y13" i="8"/>
  <c r="W13" i="8"/>
  <c r="U13" i="8"/>
  <c r="S13" i="8"/>
  <c r="Q13" i="8"/>
  <c r="O13" i="8"/>
  <c r="M13" i="8"/>
  <c r="I13" i="8"/>
  <c r="G13" i="8"/>
  <c r="E13" i="8"/>
  <c r="C13" i="8"/>
  <c r="AM12" i="8"/>
  <c r="AK12" i="8"/>
  <c r="AI12" i="8"/>
  <c r="AG12" i="8"/>
  <c r="AE12" i="8"/>
  <c r="AC12" i="8"/>
  <c r="AA12" i="8"/>
  <c r="Y12" i="8"/>
  <c r="W12" i="8"/>
  <c r="U12" i="8"/>
  <c r="S12" i="8"/>
  <c r="Q12" i="8"/>
  <c r="O12" i="8"/>
  <c r="M12" i="8"/>
  <c r="I12" i="8"/>
  <c r="G12" i="8"/>
  <c r="E12" i="8"/>
  <c r="C12" i="8"/>
  <c r="AM11" i="8"/>
  <c r="AK11" i="8"/>
  <c r="AI11" i="8"/>
  <c r="AG11" i="8"/>
  <c r="AE11" i="8"/>
  <c r="AC11" i="8"/>
  <c r="AA11" i="8"/>
  <c r="Y11" i="8"/>
  <c r="W11" i="8"/>
  <c r="U11" i="8"/>
  <c r="S11" i="8"/>
  <c r="Q11" i="8"/>
  <c r="O11" i="8"/>
  <c r="M11" i="8"/>
  <c r="I11" i="8"/>
  <c r="G11" i="8"/>
  <c r="E11" i="8"/>
  <c r="C11" i="8"/>
  <c r="AM10" i="8"/>
  <c r="AK10" i="8"/>
  <c r="AI10" i="8"/>
  <c r="AG10" i="8"/>
  <c r="AE10" i="8"/>
  <c r="AC10" i="8"/>
  <c r="AA10" i="8"/>
  <c r="Y10" i="8"/>
  <c r="W10" i="8"/>
  <c r="U10" i="8"/>
  <c r="S10" i="8"/>
  <c r="Q10" i="8"/>
  <c r="O10" i="8"/>
  <c r="M10" i="8"/>
  <c r="I10" i="8"/>
  <c r="G10" i="8"/>
  <c r="E10" i="8"/>
  <c r="C10" i="8"/>
  <c r="AM9" i="8"/>
  <c r="AK9" i="8"/>
  <c r="AI9" i="8"/>
  <c r="AG9" i="8"/>
  <c r="AE9" i="8"/>
  <c r="AC9" i="8"/>
  <c r="AA9" i="8"/>
  <c r="Y9" i="8"/>
  <c r="W9" i="8"/>
  <c r="U9" i="8"/>
  <c r="S9" i="8"/>
  <c r="Q9" i="8"/>
  <c r="O9" i="8"/>
  <c r="M9" i="8"/>
  <c r="I9" i="8"/>
  <c r="G9" i="8"/>
  <c r="E9" i="8"/>
  <c r="C9" i="8"/>
  <c r="AM8" i="8"/>
  <c r="AK8" i="8"/>
  <c r="AI8" i="8"/>
  <c r="AG8" i="8"/>
  <c r="AE8" i="8"/>
  <c r="AC8" i="8"/>
  <c r="AA8" i="8"/>
  <c r="Y8" i="8"/>
  <c r="W8" i="8"/>
  <c r="U8" i="8"/>
  <c r="S8" i="8"/>
  <c r="Q8" i="8"/>
  <c r="O8" i="8"/>
  <c r="M8" i="8"/>
  <c r="I8" i="8"/>
  <c r="G8" i="8"/>
  <c r="E8" i="8"/>
  <c r="C8" i="8"/>
  <c r="AM7" i="8"/>
  <c r="AK7" i="8"/>
  <c r="AI7" i="8"/>
  <c r="AG7" i="8"/>
  <c r="AE7" i="8"/>
  <c r="AC7" i="8"/>
  <c r="AA7" i="8"/>
  <c r="Y7" i="8"/>
  <c r="W7" i="8"/>
  <c r="U7" i="8"/>
  <c r="S7" i="8"/>
  <c r="Q7" i="8"/>
  <c r="O7" i="8"/>
  <c r="M7" i="8"/>
  <c r="I7" i="8"/>
  <c r="G7" i="8"/>
  <c r="E7" i="8"/>
  <c r="C7" i="8"/>
  <c r="AM6" i="8"/>
  <c r="AK6" i="8"/>
  <c r="AI6" i="8"/>
  <c r="AG6" i="8"/>
  <c r="AE6" i="8"/>
  <c r="AC6" i="8"/>
  <c r="AA6" i="8"/>
  <c r="Y6" i="8"/>
  <c r="W6" i="8"/>
  <c r="U6" i="8"/>
  <c r="S6" i="8"/>
  <c r="Q6" i="8"/>
  <c r="O6" i="8"/>
  <c r="M6" i="8"/>
  <c r="I6" i="8"/>
  <c r="G6" i="8"/>
  <c r="E6" i="8"/>
  <c r="C6" i="8"/>
  <c r="AM5" i="8"/>
  <c r="AK5" i="8"/>
  <c r="AI5" i="8"/>
  <c r="AG5" i="8"/>
  <c r="AE5" i="8"/>
  <c r="AC5" i="8"/>
  <c r="AA5" i="8"/>
  <c r="Y5" i="8"/>
  <c r="W5" i="8"/>
  <c r="U5" i="8"/>
  <c r="S5" i="8"/>
  <c r="Q5" i="8"/>
  <c r="O5" i="8"/>
  <c r="M5" i="8"/>
  <c r="I5" i="8"/>
  <c r="G5" i="8"/>
  <c r="E5" i="8"/>
  <c r="C5" i="8"/>
  <c r="AM4" i="8"/>
  <c r="AK4" i="8"/>
  <c r="AI4" i="8"/>
  <c r="AG4" i="8"/>
  <c r="AE4" i="8"/>
  <c r="AC4" i="8"/>
  <c r="AA4" i="8"/>
  <c r="Y4" i="8"/>
  <c r="W4" i="8"/>
  <c r="U4" i="8"/>
  <c r="S4" i="8"/>
  <c r="Q4" i="8"/>
  <c r="O4" i="8"/>
  <c r="M4" i="8"/>
  <c r="I4" i="8"/>
  <c r="G4" i="8"/>
  <c r="E4" i="8"/>
  <c r="C4" i="8"/>
  <c r="AM3" i="8"/>
  <c r="AK3" i="8"/>
  <c r="AI3" i="8"/>
  <c r="AG3" i="8"/>
  <c r="AE3" i="8"/>
  <c r="AC3" i="8"/>
  <c r="AA3" i="8"/>
  <c r="Y3" i="8"/>
  <c r="W3" i="8"/>
  <c r="U3" i="8"/>
  <c r="S3" i="8"/>
  <c r="Q3" i="8"/>
  <c r="O3" i="8"/>
  <c r="M3" i="8"/>
  <c r="I3" i="8"/>
  <c r="G3" i="8"/>
  <c r="E3" i="8"/>
  <c r="C3" i="8"/>
  <c r="J2" i="8"/>
  <c r="K8" i="8" s="1"/>
  <c r="I3" i="12"/>
  <c r="H3" i="12"/>
  <c r="G3" i="12"/>
  <c r="F3" i="12"/>
  <c r="E3" i="12"/>
  <c r="D3" i="12"/>
  <c r="C3" i="12"/>
  <c r="E25" i="17"/>
  <c r="E24" i="17"/>
  <c r="E23" i="17"/>
  <c r="E22" i="17"/>
  <c r="E21" i="17"/>
  <c r="E20" i="17"/>
  <c r="E19" i="17"/>
  <c r="E17" i="17"/>
  <c r="E16" i="17"/>
  <c r="E15" i="17"/>
  <c r="E14" i="17"/>
  <c r="E13" i="17"/>
  <c r="E12" i="17"/>
  <c r="E11" i="17"/>
  <c r="E10" i="17"/>
  <c r="E9" i="17"/>
  <c r="E7" i="17"/>
  <c r="E6" i="17"/>
  <c r="C5" i="17"/>
  <c r="C4" i="17"/>
  <c r="C3" i="17"/>
  <c r="C2" i="17"/>
  <c r="AK2" i="9"/>
  <c r="AJ2" i="9"/>
  <c r="AI2" i="9"/>
  <c r="AE2" i="9"/>
  <c r="AB2" i="9"/>
  <c r="V2" i="9"/>
  <c r="J10" i="6"/>
  <c r="I5" i="6"/>
  <c r="H5" i="6"/>
  <c r="G5" i="6"/>
  <c r="L39" i="16"/>
  <c r="K39" i="16"/>
  <c r="J39" i="16"/>
  <c r="I39" i="16"/>
  <c r="H39" i="16"/>
  <c r="G39" i="16"/>
  <c r="F39" i="16"/>
  <c r="E39" i="16"/>
  <c r="D39" i="16"/>
  <c r="O37" i="16"/>
  <c r="N37" i="16"/>
  <c r="M37" i="16"/>
  <c r="L37" i="16"/>
  <c r="K37" i="16"/>
  <c r="J37" i="16"/>
  <c r="I37" i="16"/>
  <c r="H37" i="16"/>
  <c r="G37" i="16"/>
  <c r="F37" i="16"/>
  <c r="E37" i="16"/>
  <c r="D37" i="16"/>
  <c r="C37" i="16"/>
  <c r="O35" i="16"/>
  <c r="N35" i="16"/>
  <c r="M35" i="16"/>
  <c r="L35" i="16"/>
  <c r="K35" i="16"/>
  <c r="J35" i="16"/>
  <c r="I35" i="16"/>
  <c r="H35" i="16"/>
  <c r="G35" i="16"/>
  <c r="F35" i="16"/>
  <c r="E35" i="16"/>
  <c r="D35" i="16"/>
  <c r="C35" i="16"/>
  <c r="O33" i="16"/>
  <c r="N33" i="16"/>
  <c r="M33" i="16"/>
  <c r="L33" i="16"/>
  <c r="K33" i="16"/>
  <c r="J33" i="16"/>
  <c r="I33" i="16"/>
  <c r="H33" i="16"/>
  <c r="G33" i="16"/>
  <c r="F33" i="16"/>
  <c r="E33" i="16"/>
  <c r="D33" i="16"/>
  <c r="C33" i="16"/>
  <c r="O31" i="16"/>
  <c r="N31" i="16"/>
  <c r="M31" i="16"/>
  <c r="L31" i="16"/>
  <c r="K31" i="16"/>
  <c r="J31" i="16"/>
  <c r="I31" i="16"/>
  <c r="H31" i="16"/>
  <c r="G31" i="16"/>
  <c r="F31" i="16"/>
  <c r="E31" i="16"/>
  <c r="D31" i="16"/>
  <c r="C31" i="16"/>
  <c r="O29" i="16"/>
  <c r="N29" i="16"/>
  <c r="M29" i="16"/>
  <c r="L29" i="16"/>
  <c r="K29" i="16"/>
  <c r="J29" i="16"/>
  <c r="I29" i="16"/>
  <c r="H29" i="16"/>
  <c r="G29" i="16"/>
  <c r="F29" i="16"/>
  <c r="E29" i="16"/>
  <c r="D29" i="16"/>
  <c r="C29" i="16"/>
  <c r="O27" i="16"/>
  <c r="N27" i="16"/>
  <c r="M27" i="16"/>
  <c r="L27" i="16"/>
  <c r="K27" i="16"/>
  <c r="J27" i="16"/>
  <c r="I27" i="16"/>
  <c r="H27" i="16"/>
  <c r="G27" i="16"/>
  <c r="F27" i="16"/>
  <c r="E27" i="16"/>
  <c r="D27" i="16"/>
  <c r="C27" i="16"/>
  <c r="O25" i="16"/>
  <c r="N25" i="16"/>
  <c r="M25" i="16"/>
  <c r="L25" i="16"/>
  <c r="K25" i="16"/>
  <c r="J25" i="16"/>
  <c r="I25" i="16"/>
  <c r="H25" i="16"/>
  <c r="G25" i="16"/>
  <c r="F25" i="16"/>
  <c r="E25" i="16"/>
  <c r="D25" i="16"/>
  <c r="C25" i="16"/>
  <c r="O23" i="16"/>
  <c r="N23" i="16"/>
  <c r="M23" i="16"/>
  <c r="L23" i="16"/>
  <c r="K23" i="16"/>
  <c r="J23" i="16"/>
  <c r="I23" i="16"/>
  <c r="H23" i="16"/>
  <c r="G23" i="16"/>
  <c r="F23" i="16"/>
  <c r="E23" i="16"/>
  <c r="D23" i="16"/>
  <c r="C23" i="16"/>
  <c r="O21" i="16"/>
  <c r="N21" i="16"/>
  <c r="M21" i="16"/>
  <c r="L21" i="16"/>
  <c r="K21" i="16"/>
  <c r="J21" i="16"/>
  <c r="I21" i="16"/>
  <c r="H21" i="16"/>
  <c r="G21" i="16"/>
  <c r="F21" i="16"/>
  <c r="E21" i="16"/>
  <c r="D21" i="16"/>
  <c r="C21" i="16"/>
  <c r="O19" i="16"/>
  <c r="N19" i="16"/>
  <c r="M19" i="16"/>
  <c r="L19" i="16"/>
  <c r="K19" i="16"/>
  <c r="J19" i="16"/>
  <c r="I19" i="16"/>
  <c r="H19" i="16"/>
  <c r="G19" i="16"/>
  <c r="F19" i="16"/>
  <c r="E19" i="16"/>
  <c r="D19" i="16"/>
  <c r="C19" i="16"/>
  <c r="O17" i="16"/>
  <c r="N17" i="16"/>
  <c r="M17" i="16"/>
  <c r="L17" i="16"/>
  <c r="K17" i="16"/>
  <c r="J17" i="16"/>
  <c r="I17" i="16"/>
  <c r="H17" i="16"/>
  <c r="G17" i="16"/>
  <c r="F17" i="16"/>
  <c r="E17" i="16"/>
  <c r="D17" i="16"/>
  <c r="C17" i="16"/>
  <c r="O15" i="16"/>
  <c r="N15" i="16"/>
  <c r="M15" i="16"/>
  <c r="L15" i="16"/>
  <c r="K15" i="16"/>
  <c r="J15" i="16"/>
  <c r="I15" i="16"/>
  <c r="H15" i="16"/>
  <c r="G15" i="16"/>
  <c r="F15" i="16"/>
  <c r="E15" i="16"/>
  <c r="D15" i="16"/>
  <c r="C15" i="16"/>
  <c r="O13" i="16"/>
  <c r="N13" i="16"/>
  <c r="M13" i="16"/>
  <c r="L13" i="16"/>
  <c r="K13" i="16"/>
  <c r="J13" i="16"/>
  <c r="I13" i="16"/>
  <c r="H13" i="16"/>
  <c r="G13" i="16"/>
  <c r="F13" i="16"/>
  <c r="E13" i="16"/>
  <c r="D13" i="16"/>
  <c r="C13" i="16"/>
  <c r="B10" i="16"/>
  <c r="H11" i="16" s="1"/>
  <c r="O9" i="16"/>
  <c r="N9" i="16"/>
  <c r="M9" i="16"/>
  <c r="L9" i="16"/>
  <c r="K9" i="16"/>
  <c r="J9" i="16"/>
  <c r="I9" i="16"/>
  <c r="H9" i="16"/>
  <c r="G9" i="16"/>
  <c r="F9" i="16"/>
  <c r="E9" i="16"/>
  <c r="D9" i="16"/>
  <c r="C9" i="16"/>
  <c r="O7" i="16"/>
  <c r="CC21" i="15" s="1"/>
  <c r="N7" i="16"/>
  <c r="CB21" i="15" s="1"/>
  <c r="M7" i="16"/>
  <c r="CA21" i="15" s="1"/>
  <c r="L7" i="16"/>
  <c r="BZ21" i="15" s="1"/>
  <c r="K7" i="16"/>
  <c r="BY21" i="15" s="1"/>
  <c r="J7" i="16"/>
  <c r="BX21" i="15" s="1"/>
  <c r="I7" i="16"/>
  <c r="BW21" i="15" s="1"/>
  <c r="H7" i="16"/>
  <c r="BV21" i="15" s="1"/>
  <c r="G7" i="16"/>
  <c r="BU21" i="15" s="1"/>
  <c r="F7" i="16"/>
  <c r="BT21" i="15" s="1"/>
  <c r="E7" i="16"/>
  <c r="BS21" i="15" s="1"/>
  <c r="D7" i="16"/>
  <c r="BR21" i="15" s="1"/>
  <c r="C7" i="16"/>
  <c r="BQ21" i="15" s="1"/>
  <c r="O5" i="16"/>
  <c r="N5" i="16"/>
  <c r="M5" i="16"/>
  <c r="L5" i="16"/>
  <c r="K5" i="16"/>
  <c r="J5" i="16"/>
  <c r="I5" i="16"/>
  <c r="H5" i="16"/>
  <c r="G5" i="16"/>
  <c r="F5" i="16"/>
  <c r="E5" i="16"/>
  <c r="D5" i="16"/>
  <c r="C5" i="16"/>
  <c r="O3" i="16"/>
  <c r="N3" i="16"/>
  <c r="M3" i="16"/>
  <c r="L3" i="16"/>
  <c r="K3" i="16"/>
  <c r="J3" i="16"/>
  <c r="I3" i="16"/>
  <c r="H3" i="16"/>
  <c r="G3" i="16"/>
  <c r="F3" i="16"/>
  <c r="E3" i="16"/>
  <c r="D3" i="16"/>
  <c r="C3" i="16"/>
  <c r="F32" i="7"/>
  <c r="F31" i="7"/>
  <c r="F30" i="7"/>
  <c r="F29" i="7"/>
  <c r="F28" i="7"/>
  <c r="F27" i="7"/>
  <c r="F26" i="7"/>
  <c r="F25" i="7"/>
  <c r="F24" i="7"/>
  <c r="F23" i="7"/>
  <c r="F22" i="7"/>
  <c r="F21" i="7"/>
  <c r="F20" i="7"/>
  <c r="F19" i="7"/>
  <c r="F18" i="7"/>
  <c r="F17" i="7"/>
  <c r="F16" i="7"/>
  <c r="F15" i="7"/>
  <c r="F14" i="7"/>
  <c r="F13" i="7"/>
  <c r="F12" i="7"/>
  <c r="F11" i="7"/>
  <c r="F10" i="7"/>
  <c r="F9" i="7"/>
  <c r="F8" i="7"/>
  <c r="F7" i="7"/>
  <c r="F6" i="7"/>
  <c r="F5" i="7"/>
  <c r="F4" i="7"/>
  <c r="F3" i="7"/>
  <c r="F2" i="7"/>
  <c r="J32" i="1"/>
  <c r="J31" i="1"/>
  <c r="J30" i="1"/>
  <c r="J29" i="1"/>
  <c r="J28" i="1"/>
  <c r="J27" i="1"/>
  <c r="J26" i="1"/>
  <c r="J25" i="1"/>
  <c r="J24" i="1"/>
  <c r="J23" i="1"/>
  <c r="J22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G4" i="14" l="1"/>
  <c r="H15" i="14"/>
  <c r="I15" i="14" s="1"/>
  <c r="H4" i="14"/>
  <c r="I4" i="14" s="1"/>
  <c r="G29" i="14"/>
  <c r="G9" i="14"/>
  <c r="G21" i="14"/>
  <c r="G24" i="14"/>
  <c r="G13" i="14"/>
  <c r="G14" i="14"/>
  <c r="G18" i="14"/>
  <c r="G27" i="14"/>
  <c r="G17" i="14"/>
  <c r="G16" i="14"/>
  <c r="G8" i="14"/>
  <c r="G22" i="14"/>
  <c r="G7" i="14"/>
  <c r="G33" i="14"/>
  <c r="BY28" i="15"/>
  <c r="BZ28" i="15"/>
  <c r="CA28" i="15"/>
  <c r="BS28" i="15"/>
  <c r="CB28" i="15"/>
  <c r="BT28" i="15"/>
  <c r="BV28" i="15"/>
  <c r="BX28" i="15"/>
  <c r="CC28" i="15"/>
  <c r="BQ28" i="15"/>
  <c r="BR28" i="15"/>
  <c r="BU28" i="15"/>
  <c r="BW28" i="15"/>
  <c r="DD29" i="15"/>
  <c r="DO29" i="15"/>
  <c r="DP29" i="15"/>
  <c r="DI29" i="15"/>
  <c r="DM29" i="15"/>
  <c r="DJ29" i="15"/>
  <c r="DF29" i="15"/>
  <c r="DK29" i="15"/>
  <c r="DG29" i="15"/>
  <c r="DN29" i="15"/>
  <c r="DL29" i="15"/>
  <c r="DH29" i="15"/>
  <c r="DE29" i="15"/>
  <c r="BK25" i="15"/>
  <c r="BK17" i="15"/>
  <c r="BK9" i="15"/>
  <c r="BK31" i="15"/>
  <c r="BK23" i="15"/>
  <c r="BK15" i="15"/>
  <c r="BK7" i="15"/>
  <c r="BK30" i="15"/>
  <c r="BK22" i="15"/>
  <c r="BK14" i="15"/>
  <c r="BK6" i="15"/>
  <c r="BK29" i="15"/>
  <c r="BK21" i="15"/>
  <c r="BK13" i="15"/>
  <c r="BK5" i="15"/>
  <c r="BK28" i="15"/>
  <c r="BK12" i="15"/>
  <c r="BK26" i="15"/>
  <c r="BK10" i="15"/>
  <c r="BK24" i="15"/>
  <c r="BK8" i="15"/>
  <c r="BK20" i="15"/>
  <c r="BK4" i="15"/>
  <c r="BK19" i="15"/>
  <c r="BK3" i="15"/>
  <c r="BK18" i="15"/>
  <c r="BK2" i="15"/>
  <c r="BK27" i="15"/>
  <c r="BK11" i="15"/>
  <c r="BK32" i="15"/>
  <c r="BK16" i="15"/>
  <c r="CI26" i="15"/>
  <c r="CI25" i="15"/>
  <c r="CI32" i="15"/>
  <c r="CI24" i="15"/>
  <c r="CI31" i="15"/>
  <c r="CI23" i="15"/>
  <c r="CI30" i="15"/>
  <c r="CI22" i="15"/>
  <c r="CI29" i="15"/>
  <c r="CI21" i="15"/>
  <c r="CI28" i="15"/>
  <c r="CI14" i="15"/>
  <c r="CI6" i="15"/>
  <c r="CI27" i="15"/>
  <c r="CI13" i="15"/>
  <c r="CI5" i="15"/>
  <c r="CI20" i="15"/>
  <c r="CI12" i="15"/>
  <c r="CI4" i="15"/>
  <c r="CI19" i="15"/>
  <c r="CI11" i="15"/>
  <c r="CI3" i="15"/>
  <c r="CI9" i="15"/>
  <c r="CI7" i="15"/>
  <c r="CI18" i="15"/>
  <c r="CI2" i="15"/>
  <c r="CI17" i="15"/>
  <c r="CI16" i="15"/>
  <c r="CI10" i="15"/>
  <c r="CI8" i="15"/>
  <c r="CI15" i="15"/>
  <c r="CV31" i="15"/>
  <c r="CV23" i="15"/>
  <c r="CV15" i="15"/>
  <c r="CV7" i="15"/>
  <c r="CV30" i="15"/>
  <c r="CV22" i="15"/>
  <c r="CV14" i="15"/>
  <c r="CV6" i="15"/>
  <c r="CV29" i="15"/>
  <c r="CV21" i="15"/>
  <c r="CV13" i="15"/>
  <c r="CV5" i="15"/>
  <c r="CV28" i="15"/>
  <c r="CV20" i="15"/>
  <c r="CV12" i="15"/>
  <c r="CV4" i="15"/>
  <c r="CV27" i="15"/>
  <c r="CV19" i="15"/>
  <c r="CV11" i="15"/>
  <c r="CV3" i="15"/>
  <c r="CV26" i="15"/>
  <c r="CV18" i="15"/>
  <c r="CV10" i="15"/>
  <c r="CV2" i="15"/>
  <c r="CV9" i="15"/>
  <c r="CV8" i="15"/>
  <c r="CV32" i="15"/>
  <c r="CV25" i="15"/>
  <c r="CV24" i="15"/>
  <c r="CV16" i="15"/>
  <c r="CV17" i="15"/>
  <c r="I29" i="15"/>
  <c r="I21" i="15"/>
  <c r="I13" i="15"/>
  <c r="I5" i="15"/>
  <c r="I20" i="15"/>
  <c r="I27" i="15"/>
  <c r="I19" i="15"/>
  <c r="I11" i="15"/>
  <c r="I3" i="15"/>
  <c r="I26" i="15"/>
  <c r="I18" i="15"/>
  <c r="I10" i="15"/>
  <c r="I2" i="15"/>
  <c r="I28" i="15"/>
  <c r="I25" i="15"/>
  <c r="I17" i="15"/>
  <c r="I9" i="15"/>
  <c r="I32" i="15"/>
  <c r="I24" i="15"/>
  <c r="I16" i="15"/>
  <c r="I8" i="15"/>
  <c r="I31" i="15"/>
  <c r="I23" i="15"/>
  <c r="I15" i="15"/>
  <c r="I7" i="15"/>
  <c r="I12" i="15"/>
  <c r="I30" i="15"/>
  <c r="I22" i="15"/>
  <c r="I14" i="15"/>
  <c r="I6" i="15"/>
  <c r="I4" i="15"/>
  <c r="AD25" i="15"/>
  <c r="AD17" i="15"/>
  <c r="AD9" i="15"/>
  <c r="AD31" i="15"/>
  <c r="AD23" i="15"/>
  <c r="AD15" i="15"/>
  <c r="AD7" i="15"/>
  <c r="AD30" i="15"/>
  <c r="AD22" i="15"/>
  <c r="AD14" i="15"/>
  <c r="AD6" i="15"/>
  <c r="AD29" i="15"/>
  <c r="AD21" i="15"/>
  <c r="AD13" i="15"/>
  <c r="AD5" i="15"/>
  <c r="AD28" i="15"/>
  <c r="AD20" i="15"/>
  <c r="AD12" i="15"/>
  <c r="AD4" i="15"/>
  <c r="AD27" i="15"/>
  <c r="AD19" i="15"/>
  <c r="AD11" i="15"/>
  <c r="AD3" i="15"/>
  <c r="AD10" i="15"/>
  <c r="AD2" i="15"/>
  <c r="AD32" i="15"/>
  <c r="AD26" i="15"/>
  <c r="AD24" i="15"/>
  <c r="AD18" i="15"/>
  <c r="AD16" i="15"/>
  <c r="AD8" i="15"/>
  <c r="AL25" i="15"/>
  <c r="AL17" i="15"/>
  <c r="AL9" i="15"/>
  <c r="AL31" i="15"/>
  <c r="AL23" i="15"/>
  <c r="AL15" i="15"/>
  <c r="AL7" i="15"/>
  <c r="AL30" i="15"/>
  <c r="AL22" i="15"/>
  <c r="AL14" i="15"/>
  <c r="AL6" i="15"/>
  <c r="AL29" i="15"/>
  <c r="AL21" i="15"/>
  <c r="AL13" i="15"/>
  <c r="AL5" i="15"/>
  <c r="AL28" i="15"/>
  <c r="AL20" i="15"/>
  <c r="AL12" i="15"/>
  <c r="AL4" i="15"/>
  <c r="AL27" i="15"/>
  <c r="AL19" i="15"/>
  <c r="AL11" i="15"/>
  <c r="AL3" i="15"/>
  <c r="AL18" i="15"/>
  <c r="AL10" i="15"/>
  <c r="AL8" i="15"/>
  <c r="AL2" i="15"/>
  <c r="AL32" i="15"/>
  <c r="AL26" i="15"/>
  <c r="AL24" i="15"/>
  <c r="AL16" i="15"/>
  <c r="DD13" i="15"/>
  <c r="DO13" i="15"/>
  <c r="DP13" i="15"/>
  <c r="DM13" i="15"/>
  <c r="DI13" i="15"/>
  <c r="DJ13" i="15"/>
  <c r="DF13" i="15"/>
  <c r="DK13" i="15"/>
  <c r="DG13" i="15"/>
  <c r="DL13" i="15"/>
  <c r="DH13" i="15"/>
  <c r="DN13" i="15"/>
  <c r="DE13" i="15"/>
  <c r="BY4" i="15"/>
  <c r="BZ4" i="15"/>
  <c r="CA4" i="15"/>
  <c r="CB4" i="15"/>
  <c r="BT4" i="15"/>
  <c r="BU4" i="15"/>
  <c r="BQ4" i="15"/>
  <c r="BV4" i="15"/>
  <c r="BR4" i="15"/>
  <c r="BW4" i="15"/>
  <c r="BS4" i="15"/>
  <c r="CC4" i="15"/>
  <c r="BX4" i="15"/>
  <c r="BY12" i="15"/>
  <c r="BZ12" i="15"/>
  <c r="CA12" i="15"/>
  <c r="BS12" i="15"/>
  <c r="CB12" i="15"/>
  <c r="BT12" i="15"/>
  <c r="BV12" i="15"/>
  <c r="BX12" i="15"/>
  <c r="CC12" i="15"/>
  <c r="BQ12" i="15"/>
  <c r="BR12" i="15"/>
  <c r="BU12" i="15"/>
  <c r="BW12" i="15"/>
  <c r="BY20" i="15"/>
  <c r="BZ20" i="15"/>
  <c r="CA20" i="15"/>
  <c r="BS20" i="15"/>
  <c r="CB20" i="15"/>
  <c r="BT20" i="15"/>
  <c r="BU20" i="15"/>
  <c r="BQ20" i="15"/>
  <c r="BV20" i="15"/>
  <c r="BR20" i="15"/>
  <c r="BW20" i="15"/>
  <c r="BX20" i="15"/>
  <c r="CC20" i="15"/>
  <c r="BZ29" i="15"/>
  <c r="CA29" i="15"/>
  <c r="BS29" i="15"/>
  <c r="CB29" i="15"/>
  <c r="BT29" i="15"/>
  <c r="CC29" i="15"/>
  <c r="BU29" i="15"/>
  <c r="BW29" i="15"/>
  <c r="BY29" i="15"/>
  <c r="BQ29" i="15"/>
  <c r="BR29" i="15"/>
  <c r="BV29" i="15"/>
  <c r="BX29" i="15"/>
  <c r="DD6" i="15"/>
  <c r="DP6" i="15"/>
  <c r="DJ6" i="15"/>
  <c r="DF6" i="15"/>
  <c r="DO6" i="15"/>
  <c r="DK6" i="15"/>
  <c r="DG6" i="15"/>
  <c r="DN6" i="15"/>
  <c r="DL6" i="15"/>
  <c r="DH6" i="15"/>
  <c r="DM6" i="15"/>
  <c r="DI6" i="15"/>
  <c r="DE6" i="15"/>
  <c r="DD14" i="15"/>
  <c r="DP14" i="15"/>
  <c r="DJ14" i="15"/>
  <c r="DF14" i="15"/>
  <c r="DK14" i="15"/>
  <c r="DG14" i="15"/>
  <c r="DL14" i="15"/>
  <c r="DH14" i="15"/>
  <c r="DO14" i="15"/>
  <c r="DN14" i="15"/>
  <c r="DM14" i="15"/>
  <c r="DI14" i="15"/>
  <c r="DE14" i="15"/>
  <c r="DD22" i="15"/>
  <c r="DP22" i="15"/>
  <c r="DJ22" i="15"/>
  <c r="DF22" i="15"/>
  <c r="DO22" i="15"/>
  <c r="DK22" i="15"/>
  <c r="DG22" i="15"/>
  <c r="DL22" i="15"/>
  <c r="DH22" i="15"/>
  <c r="DI22" i="15"/>
  <c r="DM22" i="15"/>
  <c r="DN22" i="15"/>
  <c r="DE22" i="15"/>
  <c r="DD30" i="15"/>
  <c r="DP30" i="15"/>
  <c r="DJ30" i="15"/>
  <c r="DF30" i="15"/>
  <c r="DK30" i="15"/>
  <c r="DG30" i="15"/>
  <c r="DL30" i="15"/>
  <c r="DH30" i="15"/>
  <c r="DN30" i="15"/>
  <c r="DO30" i="15"/>
  <c r="DI30" i="15"/>
  <c r="DM30" i="15"/>
  <c r="DE30" i="15"/>
  <c r="AV32" i="15"/>
  <c r="AV28" i="15"/>
  <c r="AV24" i="15"/>
  <c r="AV20" i="15"/>
  <c r="AV16" i="15"/>
  <c r="AV12" i="15"/>
  <c r="AV8" i="15"/>
  <c r="AV4" i="15"/>
  <c r="AV31" i="15"/>
  <c r="AV27" i="15"/>
  <c r="AV23" i="15"/>
  <c r="AV19" i="15"/>
  <c r="AV15" i="15"/>
  <c r="AV11" i="15"/>
  <c r="AV7" i="15"/>
  <c r="AV3" i="15"/>
  <c r="AV26" i="15"/>
  <c r="AV10" i="15"/>
  <c r="AV22" i="15"/>
  <c r="AV6" i="15"/>
  <c r="AV21" i="15"/>
  <c r="AV5" i="15"/>
  <c r="AV18" i="15"/>
  <c r="AV2" i="15"/>
  <c r="AV17" i="15"/>
  <c r="AV30" i="15"/>
  <c r="AV14" i="15"/>
  <c r="AV29" i="15"/>
  <c r="AV25" i="15"/>
  <c r="AV13" i="15"/>
  <c r="AV9" i="15"/>
  <c r="BD5" i="15"/>
  <c r="BD25" i="15"/>
  <c r="BD17" i="15"/>
  <c r="BD9" i="15"/>
  <c r="BD31" i="15"/>
  <c r="BD23" i="15"/>
  <c r="BD15" i="15"/>
  <c r="BD7" i="15"/>
  <c r="BD30" i="15"/>
  <c r="BD22" i="15"/>
  <c r="BD14" i="15"/>
  <c r="BD6" i="15"/>
  <c r="BD29" i="15"/>
  <c r="BD21" i="15"/>
  <c r="BD13" i="15"/>
  <c r="BD4" i="15"/>
  <c r="BD28" i="15"/>
  <c r="BD20" i="15"/>
  <c r="BD12" i="15"/>
  <c r="BD3" i="15"/>
  <c r="BD27" i="15"/>
  <c r="BD19" i="15"/>
  <c r="BD11" i="15"/>
  <c r="BD2" i="15"/>
  <c r="BD24" i="15"/>
  <c r="BD16" i="15"/>
  <c r="BD10" i="15"/>
  <c r="BD8" i="15"/>
  <c r="BD32" i="15"/>
  <c r="BD26" i="15"/>
  <c r="BD18" i="15"/>
  <c r="BL26" i="15"/>
  <c r="BL18" i="15"/>
  <c r="BL10" i="15"/>
  <c r="BL2" i="15"/>
  <c r="BL32" i="15"/>
  <c r="BL24" i="15"/>
  <c r="BL16" i="15"/>
  <c r="BL8" i="15"/>
  <c r="BL31" i="15"/>
  <c r="BL23" i="15"/>
  <c r="BL15" i="15"/>
  <c r="BL7" i="15"/>
  <c r="BL30" i="15"/>
  <c r="BL22" i="15"/>
  <c r="BL14" i="15"/>
  <c r="BL6" i="15"/>
  <c r="BL29" i="15"/>
  <c r="BL13" i="15"/>
  <c r="BL27" i="15"/>
  <c r="BL11" i="15"/>
  <c r="BL25" i="15"/>
  <c r="BL9" i="15"/>
  <c r="BL21" i="15"/>
  <c r="BL5" i="15"/>
  <c r="BL20" i="15"/>
  <c r="BL4" i="15"/>
  <c r="BL19" i="15"/>
  <c r="BL3" i="15"/>
  <c r="BL28" i="15"/>
  <c r="BL17" i="15"/>
  <c r="BL12" i="15"/>
  <c r="CJ27" i="15"/>
  <c r="CJ19" i="15"/>
  <c r="CJ11" i="15"/>
  <c r="CJ3" i="15"/>
  <c r="CJ26" i="15"/>
  <c r="CJ18" i="15"/>
  <c r="CJ10" i="15"/>
  <c r="CJ2" i="15"/>
  <c r="CJ25" i="15"/>
  <c r="CJ17" i="15"/>
  <c r="CJ9" i="15"/>
  <c r="CJ32" i="15"/>
  <c r="CJ24" i="15"/>
  <c r="CJ16" i="15"/>
  <c r="CJ8" i="15"/>
  <c r="CJ31" i="15"/>
  <c r="CJ23" i="15"/>
  <c r="CJ15" i="15"/>
  <c r="CJ7" i="15"/>
  <c r="CJ30" i="15"/>
  <c r="CJ22" i="15"/>
  <c r="CJ14" i="15"/>
  <c r="CJ6" i="15"/>
  <c r="CJ29" i="15"/>
  <c r="CJ28" i="15"/>
  <c r="CJ21" i="15"/>
  <c r="CJ20" i="15"/>
  <c r="CJ12" i="15"/>
  <c r="CJ4" i="15"/>
  <c r="CJ13" i="15"/>
  <c r="CJ5" i="15"/>
  <c r="CW32" i="15"/>
  <c r="CW24" i="15"/>
  <c r="CW16" i="15"/>
  <c r="CW8" i="15"/>
  <c r="CW31" i="15"/>
  <c r="CW23" i="15"/>
  <c r="CW15" i="15"/>
  <c r="CW7" i="15"/>
  <c r="CW30" i="15"/>
  <c r="CW22" i="15"/>
  <c r="CW14" i="15"/>
  <c r="CW6" i="15"/>
  <c r="CW29" i="15"/>
  <c r="CW21" i="15"/>
  <c r="CW13" i="15"/>
  <c r="CW5" i="15"/>
  <c r="CW28" i="15"/>
  <c r="CW20" i="15"/>
  <c r="CW12" i="15"/>
  <c r="CW4" i="15"/>
  <c r="CW27" i="15"/>
  <c r="CW19" i="15"/>
  <c r="CW11" i="15"/>
  <c r="CW3" i="15"/>
  <c r="CW10" i="15"/>
  <c r="CW9" i="15"/>
  <c r="CW2" i="15"/>
  <c r="CW26" i="15"/>
  <c r="CW25" i="15"/>
  <c r="CW18" i="15"/>
  <c r="CW17" i="15"/>
  <c r="J30" i="15"/>
  <c r="J22" i="15"/>
  <c r="J14" i="15"/>
  <c r="J6" i="15"/>
  <c r="J28" i="15"/>
  <c r="J20" i="15"/>
  <c r="J12" i="15"/>
  <c r="J4" i="15"/>
  <c r="J5" i="15"/>
  <c r="J27" i="15"/>
  <c r="J19" i="15"/>
  <c r="J11" i="15"/>
  <c r="J3" i="15"/>
  <c r="J26" i="15"/>
  <c r="J18" i="15"/>
  <c r="J10" i="15"/>
  <c r="J2" i="15"/>
  <c r="J25" i="15"/>
  <c r="J17" i="15"/>
  <c r="J9" i="15"/>
  <c r="J13" i="15"/>
  <c r="J32" i="15"/>
  <c r="J24" i="15"/>
  <c r="J16" i="15"/>
  <c r="J8" i="15"/>
  <c r="J21" i="15"/>
  <c r="J31" i="15"/>
  <c r="J23" i="15"/>
  <c r="J15" i="15"/>
  <c r="J7" i="15"/>
  <c r="J29" i="15"/>
  <c r="AE26" i="15"/>
  <c r="AE18" i="15"/>
  <c r="AE10" i="15"/>
  <c r="AE2" i="15"/>
  <c r="AE32" i="15"/>
  <c r="AE24" i="15"/>
  <c r="AE16" i="15"/>
  <c r="AE8" i="15"/>
  <c r="AE31" i="15"/>
  <c r="AE23" i="15"/>
  <c r="AE15" i="15"/>
  <c r="AE7" i="15"/>
  <c r="AE30" i="15"/>
  <c r="AE22" i="15"/>
  <c r="AE14" i="15"/>
  <c r="AE6" i="15"/>
  <c r="AE29" i="15"/>
  <c r="AE21" i="15"/>
  <c r="AE13" i="15"/>
  <c r="AE5" i="15"/>
  <c r="AE28" i="15"/>
  <c r="AE20" i="15"/>
  <c r="AE12" i="15"/>
  <c r="AE4" i="15"/>
  <c r="AE11" i="15"/>
  <c r="AE3" i="15"/>
  <c r="AE27" i="15"/>
  <c r="AE25" i="15"/>
  <c r="AE19" i="15"/>
  <c r="AE17" i="15"/>
  <c r="AE9" i="15"/>
  <c r="AM26" i="15"/>
  <c r="AM18" i="15"/>
  <c r="AM10" i="15"/>
  <c r="AM2" i="15"/>
  <c r="AM32" i="15"/>
  <c r="AM24" i="15"/>
  <c r="AM16" i="15"/>
  <c r="AM8" i="15"/>
  <c r="AM31" i="15"/>
  <c r="AM23" i="15"/>
  <c r="AM15" i="15"/>
  <c r="AM7" i="15"/>
  <c r="AM30" i="15"/>
  <c r="AM22" i="15"/>
  <c r="AM14" i="15"/>
  <c r="AM6" i="15"/>
  <c r="AM29" i="15"/>
  <c r="AM21" i="15"/>
  <c r="AM13" i="15"/>
  <c r="AM5" i="15"/>
  <c r="AM28" i="15"/>
  <c r="AM20" i="15"/>
  <c r="AM12" i="15"/>
  <c r="AM4" i="15"/>
  <c r="AM19" i="15"/>
  <c r="AM11" i="15"/>
  <c r="AM9" i="15"/>
  <c r="AM3" i="15"/>
  <c r="AM27" i="15"/>
  <c r="AM25" i="15"/>
  <c r="AM17" i="15"/>
  <c r="BX11" i="15"/>
  <c r="BY11" i="15"/>
  <c r="BZ11" i="15"/>
  <c r="CA11" i="15"/>
  <c r="BU11" i="15"/>
  <c r="BW11" i="15"/>
  <c r="CB11" i="15"/>
  <c r="CC11" i="15"/>
  <c r="BQ11" i="15"/>
  <c r="BR11" i="15"/>
  <c r="BT11" i="15"/>
  <c r="BS11" i="15"/>
  <c r="BV11" i="15"/>
  <c r="DD21" i="15"/>
  <c r="DO21" i="15"/>
  <c r="DP21" i="15"/>
  <c r="DM21" i="15"/>
  <c r="DI21" i="15"/>
  <c r="DN21" i="15"/>
  <c r="DJ21" i="15"/>
  <c r="DF21" i="15"/>
  <c r="DK21" i="15"/>
  <c r="DG21" i="15"/>
  <c r="DL21" i="15"/>
  <c r="DH21" i="15"/>
  <c r="DE21" i="15"/>
  <c r="BZ5" i="15"/>
  <c r="CA5" i="15"/>
  <c r="BS5" i="15"/>
  <c r="CB5" i="15"/>
  <c r="BT5" i="15"/>
  <c r="CC5" i="15"/>
  <c r="BU5" i="15"/>
  <c r="BQ5" i="15"/>
  <c r="BV5" i="15"/>
  <c r="BR5" i="15"/>
  <c r="BW5" i="15"/>
  <c r="BX5" i="15"/>
  <c r="BY5" i="15"/>
  <c r="CA30" i="15"/>
  <c r="BS30" i="15"/>
  <c r="CB30" i="15"/>
  <c r="BT30" i="15"/>
  <c r="CC30" i="15"/>
  <c r="BU30" i="15"/>
  <c r="BV30" i="15"/>
  <c r="BX30" i="15"/>
  <c r="BZ30" i="15"/>
  <c r="BR30" i="15"/>
  <c r="BW30" i="15"/>
  <c r="BY30" i="15"/>
  <c r="BQ30" i="15"/>
  <c r="DD7" i="15"/>
  <c r="DK7" i="15"/>
  <c r="DG7" i="15"/>
  <c r="DP7" i="15"/>
  <c r="DL7" i="15"/>
  <c r="DH7" i="15"/>
  <c r="DN7" i="15"/>
  <c r="DM7" i="15"/>
  <c r="DI7" i="15"/>
  <c r="DJ7" i="15"/>
  <c r="DF7" i="15"/>
  <c r="DE7" i="15"/>
  <c r="DO7" i="15"/>
  <c r="DD15" i="15"/>
  <c r="DM15" i="15"/>
  <c r="DK15" i="15"/>
  <c r="DG15" i="15"/>
  <c r="DL15" i="15"/>
  <c r="DH15" i="15"/>
  <c r="DI15" i="15"/>
  <c r="DO15" i="15"/>
  <c r="DN15" i="15"/>
  <c r="DP15" i="15"/>
  <c r="DJ15" i="15"/>
  <c r="DF15" i="15"/>
  <c r="DE15" i="15"/>
  <c r="DD23" i="15"/>
  <c r="DM23" i="15"/>
  <c r="DN23" i="15"/>
  <c r="DK23" i="15"/>
  <c r="DG23" i="15"/>
  <c r="DP23" i="15"/>
  <c r="DL23" i="15"/>
  <c r="DH23" i="15"/>
  <c r="DI23" i="15"/>
  <c r="DJ23" i="15"/>
  <c r="DF23" i="15"/>
  <c r="DO23" i="15"/>
  <c r="DE23" i="15"/>
  <c r="DD31" i="15"/>
  <c r="DM31" i="15"/>
  <c r="DN31" i="15"/>
  <c r="DK31" i="15"/>
  <c r="DG31" i="15"/>
  <c r="DL31" i="15"/>
  <c r="DH31" i="15"/>
  <c r="DI31" i="15"/>
  <c r="DO31" i="15"/>
  <c r="DP31" i="15"/>
  <c r="DJ31" i="15"/>
  <c r="DF31" i="15"/>
  <c r="DE31" i="15"/>
  <c r="AW29" i="15"/>
  <c r="AW25" i="15"/>
  <c r="AW21" i="15"/>
  <c r="AW17" i="15"/>
  <c r="AW13" i="15"/>
  <c r="AW9" i="15"/>
  <c r="AW5" i="15"/>
  <c r="AW32" i="15"/>
  <c r="AW28" i="15"/>
  <c r="AW24" i="15"/>
  <c r="AW20" i="15"/>
  <c r="AW16" i="15"/>
  <c r="AW12" i="15"/>
  <c r="AW8" i="15"/>
  <c r="AW4" i="15"/>
  <c r="AW27" i="15"/>
  <c r="AW11" i="15"/>
  <c r="AW23" i="15"/>
  <c r="AW7" i="15"/>
  <c r="AW22" i="15"/>
  <c r="AW6" i="15"/>
  <c r="AW19" i="15"/>
  <c r="AW3" i="15"/>
  <c r="AW18" i="15"/>
  <c r="AW2" i="15"/>
  <c r="AW31" i="15"/>
  <c r="AW15" i="15"/>
  <c r="AW30" i="15"/>
  <c r="AW14" i="15"/>
  <c r="AW10" i="15"/>
  <c r="AW26" i="15"/>
  <c r="BE25" i="15"/>
  <c r="BE17" i="15"/>
  <c r="BE9" i="15"/>
  <c r="BE31" i="15"/>
  <c r="BE23" i="15"/>
  <c r="BE15" i="15"/>
  <c r="BE7" i="15"/>
  <c r="BE30" i="15"/>
  <c r="BE22" i="15"/>
  <c r="BE14" i="15"/>
  <c r="BE6" i="15"/>
  <c r="BE29" i="15"/>
  <c r="BE21" i="15"/>
  <c r="BE13" i="15"/>
  <c r="BE5" i="15"/>
  <c r="BE28" i="15"/>
  <c r="BE20" i="15"/>
  <c r="BE12" i="15"/>
  <c r="BE4" i="15"/>
  <c r="BE27" i="15"/>
  <c r="BE19" i="15"/>
  <c r="BE11" i="15"/>
  <c r="BE3" i="15"/>
  <c r="BE24" i="15"/>
  <c r="BE16" i="15"/>
  <c r="BE10" i="15"/>
  <c r="BE8" i="15"/>
  <c r="BE2" i="15"/>
  <c r="BE32" i="15"/>
  <c r="BE26" i="15"/>
  <c r="BE18" i="15"/>
  <c r="BM27" i="15"/>
  <c r="BM19" i="15"/>
  <c r="BM11" i="15"/>
  <c r="BM3" i="15"/>
  <c r="BM25" i="15"/>
  <c r="BM17" i="15"/>
  <c r="BM9" i="15"/>
  <c r="BM32" i="15"/>
  <c r="BM24" i="15"/>
  <c r="BM16" i="15"/>
  <c r="BM8" i="15"/>
  <c r="BM31" i="15"/>
  <c r="BM23" i="15"/>
  <c r="BM15" i="15"/>
  <c r="BM7" i="15"/>
  <c r="BM30" i="15"/>
  <c r="BM14" i="15"/>
  <c r="BM28" i="15"/>
  <c r="BM12" i="15"/>
  <c r="BM26" i="15"/>
  <c r="BM10" i="15"/>
  <c r="BM22" i="15"/>
  <c r="BM6" i="15"/>
  <c r="BM21" i="15"/>
  <c r="BM5" i="15"/>
  <c r="BM20" i="15"/>
  <c r="BM4" i="15"/>
  <c r="BM29" i="15"/>
  <c r="BM13" i="15"/>
  <c r="BM2" i="15"/>
  <c r="BM18" i="15"/>
  <c r="CK28" i="15"/>
  <c r="CK20" i="15"/>
  <c r="CK12" i="15"/>
  <c r="CK4" i="15"/>
  <c r="CK27" i="15"/>
  <c r="CK19" i="15"/>
  <c r="CK11" i="15"/>
  <c r="CK3" i="15"/>
  <c r="CK26" i="15"/>
  <c r="CK18" i="15"/>
  <c r="CK10" i="15"/>
  <c r="CK2" i="15"/>
  <c r="CK25" i="15"/>
  <c r="CK17" i="15"/>
  <c r="CK9" i="15"/>
  <c r="CK32" i="15"/>
  <c r="CK24" i="15"/>
  <c r="CK16" i="15"/>
  <c r="CK8" i="15"/>
  <c r="CK31" i="15"/>
  <c r="CK23" i="15"/>
  <c r="CK15" i="15"/>
  <c r="CK7" i="15"/>
  <c r="CK30" i="15"/>
  <c r="CK29" i="15"/>
  <c r="CK22" i="15"/>
  <c r="CK21" i="15"/>
  <c r="CK14" i="15"/>
  <c r="CK13" i="15"/>
  <c r="CK6" i="15"/>
  <c r="CK5" i="15"/>
  <c r="CX25" i="15"/>
  <c r="CX17" i="15"/>
  <c r="CX9" i="15"/>
  <c r="CX32" i="15"/>
  <c r="CX24" i="15"/>
  <c r="CX16" i="15"/>
  <c r="CX8" i="15"/>
  <c r="CX31" i="15"/>
  <c r="CX23" i="15"/>
  <c r="CX15" i="15"/>
  <c r="CX7" i="15"/>
  <c r="CX30" i="15"/>
  <c r="CX22" i="15"/>
  <c r="CX14" i="15"/>
  <c r="CX6" i="15"/>
  <c r="CX29" i="15"/>
  <c r="CX21" i="15"/>
  <c r="CX13" i="15"/>
  <c r="CX5" i="15"/>
  <c r="CX28" i="15"/>
  <c r="CX20" i="15"/>
  <c r="CX12" i="15"/>
  <c r="CX4" i="15"/>
  <c r="CX11" i="15"/>
  <c r="CX10" i="15"/>
  <c r="CX3" i="15"/>
  <c r="CX2" i="15"/>
  <c r="CX27" i="15"/>
  <c r="CX19" i="15"/>
  <c r="CX26" i="15"/>
  <c r="CX18" i="15"/>
  <c r="K31" i="15"/>
  <c r="K23" i="15"/>
  <c r="K15" i="15"/>
  <c r="K7" i="15"/>
  <c r="K6" i="15"/>
  <c r="K29" i="15"/>
  <c r="K21" i="15"/>
  <c r="K13" i="15"/>
  <c r="K5" i="15"/>
  <c r="K28" i="15"/>
  <c r="K20" i="15"/>
  <c r="K12" i="15"/>
  <c r="K4" i="15"/>
  <c r="K30" i="15"/>
  <c r="K27" i="15"/>
  <c r="K19" i="15"/>
  <c r="K11" i="15"/>
  <c r="K3" i="15"/>
  <c r="K26" i="15"/>
  <c r="K18" i="15"/>
  <c r="K10" i="15"/>
  <c r="K2" i="15"/>
  <c r="K22" i="15"/>
  <c r="K25" i="15"/>
  <c r="K17" i="15"/>
  <c r="K9" i="15"/>
  <c r="K14" i="15"/>
  <c r="K32" i="15"/>
  <c r="K24" i="15"/>
  <c r="K16" i="15"/>
  <c r="K8" i="15"/>
  <c r="AF27" i="15"/>
  <c r="AF19" i="15"/>
  <c r="AF11" i="15"/>
  <c r="AF3" i="15"/>
  <c r="AF25" i="15"/>
  <c r="AF17" i="15"/>
  <c r="AF9" i="15"/>
  <c r="AF32" i="15"/>
  <c r="AF24" i="15"/>
  <c r="AF16" i="15"/>
  <c r="AF8" i="15"/>
  <c r="AF31" i="15"/>
  <c r="AF23" i="15"/>
  <c r="AF15" i="15"/>
  <c r="AF7" i="15"/>
  <c r="AF30" i="15"/>
  <c r="AF22" i="15"/>
  <c r="AF14" i="15"/>
  <c r="AF6" i="15"/>
  <c r="AF29" i="15"/>
  <c r="AF21" i="15"/>
  <c r="AF13" i="15"/>
  <c r="AF5" i="15"/>
  <c r="AF12" i="15"/>
  <c r="AF4" i="15"/>
  <c r="AF2" i="15"/>
  <c r="AF28" i="15"/>
  <c r="AF26" i="15"/>
  <c r="AF20" i="15"/>
  <c r="AF18" i="15"/>
  <c r="AF10" i="15"/>
  <c r="AN27" i="15"/>
  <c r="AN19" i="15"/>
  <c r="AN11" i="15"/>
  <c r="AN3" i="15"/>
  <c r="AN25" i="15"/>
  <c r="AN17" i="15"/>
  <c r="AN9" i="15"/>
  <c r="AN32" i="15"/>
  <c r="AN24" i="15"/>
  <c r="AN16" i="15"/>
  <c r="AN8" i="15"/>
  <c r="AN31" i="15"/>
  <c r="AN23" i="15"/>
  <c r="AN15" i="15"/>
  <c r="AN7" i="15"/>
  <c r="AN30" i="15"/>
  <c r="AN22" i="15"/>
  <c r="AN14" i="15"/>
  <c r="AN6" i="15"/>
  <c r="AN29" i="15"/>
  <c r="AN21" i="15"/>
  <c r="AN13" i="15"/>
  <c r="AN5" i="15"/>
  <c r="AN20" i="15"/>
  <c r="AN12" i="15"/>
  <c r="AN10" i="15"/>
  <c r="AN4" i="15"/>
  <c r="AN2" i="15"/>
  <c r="AN28" i="15"/>
  <c r="AN26" i="15"/>
  <c r="AN18" i="15"/>
  <c r="BX19" i="15"/>
  <c r="BY19" i="15"/>
  <c r="BZ19" i="15"/>
  <c r="CA19" i="15"/>
  <c r="BS19" i="15"/>
  <c r="CC19" i="15"/>
  <c r="BT19" i="15"/>
  <c r="BU19" i="15"/>
  <c r="BQ19" i="15"/>
  <c r="BR19" i="15"/>
  <c r="BV19" i="15"/>
  <c r="BW19" i="15"/>
  <c r="CB19" i="15"/>
  <c r="BC32" i="15"/>
  <c r="BC28" i="15"/>
  <c r="BC24" i="15"/>
  <c r="BC20" i="15"/>
  <c r="BC16" i="15"/>
  <c r="BC12" i="15"/>
  <c r="BC8" i="15"/>
  <c r="BC4" i="15"/>
  <c r="BC31" i="15"/>
  <c r="BC27" i="15"/>
  <c r="BC23" i="15"/>
  <c r="BC19" i="15"/>
  <c r="BC15" i="15"/>
  <c r="BC11" i="15"/>
  <c r="BC7" i="15"/>
  <c r="BC3" i="15"/>
  <c r="BC30" i="15"/>
  <c r="BC26" i="15"/>
  <c r="BC22" i="15"/>
  <c r="BC18" i="15"/>
  <c r="BC14" i="15"/>
  <c r="BC10" i="15"/>
  <c r="BC6" i="15"/>
  <c r="BC2" i="15"/>
  <c r="BC29" i="15"/>
  <c r="BC25" i="15"/>
  <c r="BC21" i="15"/>
  <c r="BC17" i="15"/>
  <c r="BC13" i="15"/>
  <c r="BC9" i="15"/>
  <c r="BC5" i="15"/>
  <c r="BZ13" i="15"/>
  <c r="CA13" i="15"/>
  <c r="BS13" i="15"/>
  <c r="CB13" i="15"/>
  <c r="BT13" i="15"/>
  <c r="CC13" i="15"/>
  <c r="BU13" i="15"/>
  <c r="BW13" i="15"/>
  <c r="BY13" i="15"/>
  <c r="BQ13" i="15"/>
  <c r="BR13" i="15"/>
  <c r="BV13" i="15"/>
  <c r="BX13" i="15"/>
  <c r="CA14" i="15"/>
  <c r="BS14" i="15"/>
  <c r="CB14" i="15"/>
  <c r="BT14" i="15"/>
  <c r="CC14" i="15"/>
  <c r="BU14" i="15"/>
  <c r="BV14" i="15"/>
  <c r="BX14" i="15"/>
  <c r="BZ14" i="15"/>
  <c r="BR14" i="15"/>
  <c r="BQ14" i="15"/>
  <c r="BW14" i="15"/>
  <c r="BY14" i="15"/>
  <c r="CB23" i="15"/>
  <c r="BT23" i="15"/>
  <c r="CC23" i="15"/>
  <c r="BU23" i="15"/>
  <c r="BV23" i="15"/>
  <c r="BW23" i="15"/>
  <c r="BQ23" i="15"/>
  <c r="BS23" i="15"/>
  <c r="BX23" i="15"/>
  <c r="BY23" i="15"/>
  <c r="BZ23" i="15"/>
  <c r="CA23" i="15"/>
  <c r="BR23" i="15"/>
  <c r="CB31" i="15"/>
  <c r="BT31" i="15"/>
  <c r="CC31" i="15"/>
  <c r="BU31" i="15"/>
  <c r="BV31" i="15"/>
  <c r="BW31" i="15"/>
  <c r="BY31" i="15"/>
  <c r="BQ31" i="15"/>
  <c r="CA31" i="15"/>
  <c r="BX31" i="15"/>
  <c r="BZ31" i="15"/>
  <c r="BR31" i="15"/>
  <c r="BS31" i="15"/>
  <c r="DD8" i="15"/>
  <c r="DN8" i="15"/>
  <c r="DO8" i="15"/>
  <c r="DL8" i="15"/>
  <c r="DH8" i="15"/>
  <c r="DM8" i="15"/>
  <c r="DI8" i="15"/>
  <c r="DJ8" i="15"/>
  <c r="DF8" i="15"/>
  <c r="DK8" i="15"/>
  <c r="DG8" i="15"/>
  <c r="DP8" i="15"/>
  <c r="DE8" i="15"/>
  <c r="DD16" i="15"/>
  <c r="DN16" i="15"/>
  <c r="DO16" i="15"/>
  <c r="DL16" i="15"/>
  <c r="DH16" i="15"/>
  <c r="DI16" i="15"/>
  <c r="DE16" i="15"/>
  <c r="DM16" i="15"/>
  <c r="DJ16" i="15"/>
  <c r="DF16" i="15"/>
  <c r="DP16" i="15"/>
  <c r="DK16" i="15"/>
  <c r="DG16" i="15"/>
  <c r="DN24" i="15"/>
  <c r="DO24" i="15"/>
  <c r="DD24" i="15"/>
  <c r="DL24" i="15"/>
  <c r="DH24" i="15"/>
  <c r="DI24" i="15"/>
  <c r="DE24" i="15"/>
  <c r="DJ24" i="15"/>
  <c r="DF24" i="15"/>
  <c r="DM24" i="15"/>
  <c r="DK24" i="15"/>
  <c r="DG24" i="15"/>
  <c r="DP24" i="15"/>
  <c r="DN32" i="15"/>
  <c r="DD32" i="15"/>
  <c r="DO32" i="15"/>
  <c r="DM32" i="15"/>
  <c r="DL32" i="15"/>
  <c r="DH32" i="15"/>
  <c r="DI32" i="15"/>
  <c r="DE32" i="15"/>
  <c r="DJ32" i="15"/>
  <c r="DF32" i="15"/>
  <c r="DP32" i="15"/>
  <c r="DK32" i="15"/>
  <c r="DG32" i="15"/>
  <c r="AX30" i="15"/>
  <c r="AX26" i="15"/>
  <c r="AX22" i="15"/>
  <c r="AX18" i="15"/>
  <c r="AX14" i="15"/>
  <c r="AX10" i="15"/>
  <c r="AX6" i="15"/>
  <c r="AX2" i="15"/>
  <c r="AX29" i="15"/>
  <c r="AX25" i="15"/>
  <c r="AX21" i="15"/>
  <c r="AX17" i="15"/>
  <c r="AX13" i="15"/>
  <c r="AX9" i="15"/>
  <c r="AX5" i="15"/>
  <c r="AX28" i="15"/>
  <c r="AX12" i="15"/>
  <c r="AX24" i="15"/>
  <c r="AX8" i="15"/>
  <c r="AX23" i="15"/>
  <c r="AX7" i="15"/>
  <c r="AX20" i="15"/>
  <c r="AX4" i="15"/>
  <c r="AX19" i="15"/>
  <c r="AX3" i="15"/>
  <c r="AX32" i="15"/>
  <c r="AX16" i="15"/>
  <c r="AX31" i="15"/>
  <c r="AX27" i="15"/>
  <c r="AX15" i="15"/>
  <c r="AX11" i="15"/>
  <c r="BF26" i="15"/>
  <c r="BF18" i="15"/>
  <c r="BF10" i="15"/>
  <c r="BF2" i="15"/>
  <c r="BF32" i="15"/>
  <c r="BF24" i="15"/>
  <c r="BF16" i="15"/>
  <c r="BF8" i="15"/>
  <c r="BF31" i="15"/>
  <c r="BF23" i="15"/>
  <c r="BF15" i="15"/>
  <c r="BF7" i="15"/>
  <c r="BF30" i="15"/>
  <c r="BF22" i="15"/>
  <c r="BF14" i="15"/>
  <c r="BF6" i="15"/>
  <c r="BF29" i="15"/>
  <c r="BF21" i="15"/>
  <c r="BF13" i="15"/>
  <c r="BF5" i="15"/>
  <c r="BF28" i="15"/>
  <c r="BF20" i="15"/>
  <c r="BF12" i="15"/>
  <c r="BF4" i="15"/>
  <c r="BF25" i="15"/>
  <c r="BF17" i="15"/>
  <c r="BF11" i="15"/>
  <c r="BF9" i="15"/>
  <c r="BF3" i="15"/>
  <c r="BF27" i="15"/>
  <c r="BF19" i="15"/>
  <c r="BN28" i="15"/>
  <c r="BN20" i="15"/>
  <c r="BN12" i="15"/>
  <c r="BN4" i="15"/>
  <c r="BN26" i="15"/>
  <c r="BN18" i="15"/>
  <c r="BN10" i="15"/>
  <c r="BN2" i="15"/>
  <c r="BN25" i="15"/>
  <c r="BN17" i="15"/>
  <c r="BN9" i="15"/>
  <c r="BN32" i="15"/>
  <c r="BN24" i="15"/>
  <c r="BN16" i="15"/>
  <c r="BN8" i="15"/>
  <c r="BN31" i="15"/>
  <c r="BN15" i="15"/>
  <c r="BN29" i="15"/>
  <c r="BN13" i="15"/>
  <c r="BN27" i="15"/>
  <c r="BN11" i="15"/>
  <c r="BN23" i="15"/>
  <c r="BN7" i="15"/>
  <c r="BN22" i="15"/>
  <c r="BN6" i="15"/>
  <c r="BN21" i="15"/>
  <c r="BN5" i="15"/>
  <c r="BN30" i="15"/>
  <c r="BN19" i="15"/>
  <c r="BN14" i="15"/>
  <c r="BN3" i="15"/>
  <c r="CD25" i="15"/>
  <c r="CD17" i="15"/>
  <c r="CD9" i="15"/>
  <c r="CD32" i="15"/>
  <c r="CD24" i="15"/>
  <c r="CD16" i="15"/>
  <c r="CD8" i="15"/>
  <c r="CD31" i="15"/>
  <c r="CD23" i="15"/>
  <c r="CD15" i="15"/>
  <c r="CD7" i="15"/>
  <c r="CD30" i="15"/>
  <c r="CD22" i="15"/>
  <c r="CD14" i="15"/>
  <c r="CD6" i="15"/>
  <c r="CD20" i="15"/>
  <c r="CD4" i="15"/>
  <c r="CD18" i="15"/>
  <c r="CD2" i="15"/>
  <c r="CD29" i="15"/>
  <c r="CD13" i="15"/>
  <c r="CD28" i="15"/>
  <c r="CD12" i="15"/>
  <c r="CD11" i="15"/>
  <c r="CD5" i="15"/>
  <c r="CD3" i="15"/>
  <c r="CD27" i="15"/>
  <c r="CD26" i="15"/>
  <c r="CD21" i="15"/>
  <c r="CD19" i="15"/>
  <c r="CD10" i="15"/>
  <c r="CL29" i="15"/>
  <c r="CL21" i="15"/>
  <c r="CL13" i="15"/>
  <c r="CL5" i="15"/>
  <c r="CL28" i="15"/>
  <c r="CL20" i="15"/>
  <c r="CL12" i="15"/>
  <c r="CL4" i="15"/>
  <c r="CL27" i="15"/>
  <c r="CL19" i="15"/>
  <c r="CL11" i="15"/>
  <c r="CL3" i="15"/>
  <c r="CL26" i="15"/>
  <c r="CL18" i="15"/>
  <c r="CL10" i="15"/>
  <c r="CL2" i="15"/>
  <c r="CL25" i="15"/>
  <c r="CL17" i="15"/>
  <c r="CL9" i="15"/>
  <c r="CL32" i="15"/>
  <c r="CL24" i="15"/>
  <c r="CL16" i="15"/>
  <c r="CL8" i="15"/>
  <c r="CL31" i="15"/>
  <c r="CL30" i="15"/>
  <c r="CL23" i="15"/>
  <c r="CL22" i="15"/>
  <c r="CL14" i="15"/>
  <c r="CL6" i="15"/>
  <c r="CL15" i="15"/>
  <c r="CL7" i="15"/>
  <c r="CQ26" i="15"/>
  <c r="CQ18" i="15"/>
  <c r="CQ10" i="15"/>
  <c r="CQ2" i="15"/>
  <c r="CQ25" i="15"/>
  <c r="CQ17" i="15"/>
  <c r="CQ9" i="15"/>
  <c r="CQ32" i="15"/>
  <c r="CQ24" i="15"/>
  <c r="CQ16" i="15"/>
  <c r="CQ8" i="15"/>
  <c r="CQ31" i="15"/>
  <c r="CQ23" i="15"/>
  <c r="CQ15" i="15"/>
  <c r="CQ7" i="15"/>
  <c r="CQ30" i="15"/>
  <c r="CQ22" i="15"/>
  <c r="CQ14" i="15"/>
  <c r="CQ6" i="15"/>
  <c r="CQ29" i="15"/>
  <c r="CQ21" i="15"/>
  <c r="CQ13" i="15"/>
  <c r="CQ5" i="15"/>
  <c r="CQ4" i="15"/>
  <c r="CQ3" i="15"/>
  <c r="CQ28" i="15"/>
  <c r="CQ27" i="15"/>
  <c r="CQ20" i="15"/>
  <c r="CQ19" i="15"/>
  <c r="CQ12" i="15"/>
  <c r="CQ11" i="15"/>
  <c r="CY26" i="15"/>
  <c r="CY18" i="15"/>
  <c r="CY10" i="15"/>
  <c r="CY2" i="15"/>
  <c r="CY25" i="15"/>
  <c r="CY17" i="15"/>
  <c r="CY9" i="15"/>
  <c r="CY32" i="15"/>
  <c r="CY24" i="15"/>
  <c r="CY16" i="15"/>
  <c r="CY8" i="15"/>
  <c r="CY31" i="15"/>
  <c r="CY23" i="15"/>
  <c r="CY15" i="15"/>
  <c r="CY7" i="15"/>
  <c r="CY30" i="15"/>
  <c r="CY22" i="15"/>
  <c r="CY14" i="15"/>
  <c r="CY6" i="15"/>
  <c r="CY29" i="15"/>
  <c r="CY21" i="15"/>
  <c r="CY13" i="15"/>
  <c r="CY5" i="15"/>
  <c r="CY12" i="15"/>
  <c r="CY11" i="15"/>
  <c r="CY4" i="15"/>
  <c r="CY3" i="15"/>
  <c r="CY28" i="15"/>
  <c r="CY27" i="15"/>
  <c r="CY20" i="15"/>
  <c r="CY19" i="15"/>
  <c r="D32" i="15"/>
  <c r="D24" i="15"/>
  <c r="D16" i="15"/>
  <c r="D8" i="15"/>
  <c r="D31" i="15"/>
  <c r="D30" i="15"/>
  <c r="D22" i="15"/>
  <c r="D14" i="15"/>
  <c r="D6" i="15"/>
  <c r="D15" i="15"/>
  <c r="D29" i="15"/>
  <c r="D21" i="15"/>
  <c r="D13" i="15"/>
  <c r="D5" i="15"/>
  <c r="D28" i="15"/>
  <c r="D20" i="15"/>
  <c r="D12" i="15"/>
  <c r="D4" i="15"/>
  <c r="D23" i="15"/>
  <c r="D27" i="15"/>
  <c r="D19" i="15"/>
  <c r="D11" i="15"/>
  <c r="D3" i="15"/>
  <c r="D26" i="15"/>
  <c r="D18" i="15"/>
  <c r="D10" i="15"/>
  <c r="D2" i="15"/>
  <c r="D7" i="15"/>
  <c r="D25" i="15"/>
  <c r="D17" i="15"/>
  <c r="D9" i="15"/>
  <c r="L28" i="15"/>
  <c r="L20" i="15"/>
  <c r="L12" i="15"/>
  <c r="L4" i="15"/>
  <c r="L25" i="15"/>
  <c r="L17" i="15"/>
  <c r="L9" i="15"/>
  <c r="L32" i="15"/>
  <c r="L30" i="15"/>
  <c r="L29" i="15"/>
  <c r="L21" i="15"/>
  <c r="L13" i="15"/>
  <c r="L23" i="15"/>
  <c r="L10" i="15"/>
  <c r="L19" i="15"/>
  <c r="L7" i="15"/>
  <c r="L22" i="15"/>
  <c r="L18" i="15"/>
  <c r="L6" i="15"/>
  <c r="L31" i="15"/>
  <c r="L16" i="15"/>
  <c r="L5" i="15"/>
  <c r="L27" i="15"/>
  <c r="L15" i="15"/>
  <c r="L3" i="15"/>
  <c r="L26" i="15"/>
  <c r="L14" i="15"/>
  <c r="L2" i="15"/>
  <c r="L24" i="15"/>
  <c r="L11" i="15"/>
  <c r="L8" i="15"/>
  <c r="AG28" i="15"/>
  <c r="AG20" i="15"/>
  <c r="AG12" i="15"/>
  <c r="AG4" i="15"/>
  <c r="AG26" i="15"/>
  <c r="AG18" i="15"/>
  <c r="AG10" i="15"/>
  <c r="AG2" i="15"/>
  <c r="AG25" i="15"/>
  <c r="AG17" i="15"/>
  <c r="AG9" i="15"/>
  <c r="AG32" i="15"/>
  <c r="AG24" i="15"/>
  <c r="AG16" i="15"/>
  <c r="AG8" i="15"/>
  <c r="AG31" i="15"/>
  <c r="AG23" i="15"/>
  <c r="AG15" i="15"/>
  <c r="AG7" i="15"/>
  <c r="AG30" i="15"/>
  <c r="AG22" i="15"/>
  <c r="AG14" i="15"/>
  <c r="AG6" i="15"/>
  <c r="AG13" i="15"/>
  <c r="AG5" i="15"/>
  <c r="AG3" i="15"/>
  <c r="AG29" i="15"/>
  <c r="AG27" i="15"/>
  <c r="AG21" i="15"/>
  <c r="AG19" i="15"/>
  <c r="AG11" i="15"/>
  <c r="AO28" i="15"/>
  <c r="AO20" i="15"/>
  <c r="AO12" i="15"/>
  <c r="AO4" i="15"/>
  <c r="AO26" i="15"/>
  <c r="AO18" i="15"/>
  <c r="AO10" i="15"/>
  <c r="AO2" i="15"/>
  <c r="AO25" i="15"/>
  <c r="AO17" i="15"/>
  <c r="AO9" i="15"/>
  <c r="AO32" i="15"/>
  <c r="AO24" i="15"/>
  <c r="AO16" i="15"/>
  <c r="AO8" i="15"/>
  <c r="AO31" i="15"/>
  <c r="AO23" i="15"/>
  <c r="AO15" i="15"/>
  <c r="AO7" i="15"/>
  <c r="AO30" i="15"/>
  <c r="AO22" i="15"/>
  <c r="AO14" i="15"/>
  <c r="AO6" i="15"/>
  <c r="AO21" i="15"/>
  <c r="AO13" i="15"/>
  <c r="AO11" i="15"/>
  <c r="AO5" i="15"/>
  <c r="AO3" i="15"/>
  <c r="AO29" i="15"/>
  <c r="AO27" i="15"/>
  <c r="AO19" i="15"/>
  <c r="BX3" i="15"/>
  <c r="BY3" i="15"/>
  <c r="BZ3" i="15"/>
  <c r="CA3" i="15"/>
  <c r="CC3" i="15"/>
  <c r="BT3" i="15"/>
  <c r="BU3" i="15"/>
  <c r="BQ3" i="15"/>
  <c r="BV3" i="15"/>
  <c r="BR3" i="15"/>
  <c r="CB3" i="15"/>
  <c r="BW3" i="15"/>
  <c r="BS3" i="15"/>
  <c r="DD5" i="15"/>
  <c r="DO5" i="15"/>
  <c r="DP5" i="15"/>
  <c r="DM5" i="15"/>
  <c r="DI5" i="15"/>
  <c r="DJ5" i="15"/>
  <c r="DF5" i="15"/>
  <c r="DK5" i="15"/>
  <c r="DG5" i="15"/>
  <c r="DN5" i="15"/>
  <c r="DL5" i="15"/>
  <c r="DH5" i="15"/>
  <c r="DE5" i="15"/>
  <c r="AU31" i="15"/>
  <c r="AU27" i="15"/>
  <c r="AU23" i="15"/>
  <c r="AU19" i="15"/>
  <c r="AU15" i="15"/>
  <c r="AU11" i="15"/>
  <c r="AU7" i="15"/>
  <c r="AU3" i="15"/>
  <c r="AU30" i="15"/>
  <c r="AU26" i="15"/>
  <c r="AU22" i="15"/>
  <c r="AU18" i="15"/>
  <c r="AU14" i="15"/>
  <c r="AU10" i="15"/>
  <c r="AU6" i="15"/>
  <c r="AU2" i="15"/>
  <c r="AU25" i="15"/>
  <c r="AU9" i="15"/>
  <c r="AU21" i="15"/>
  <c r="AU5" i="15"/>
  <c r="AU20" i="15"/>
  <c r="AU4" i="15"/>
  <c r="AU17" i="15"/>
  <c r="AU32" i="15"/>
  <c r="AU16" i="15"/>
  <c r="AU29" i="15"/>
  <c r="AU13" i="15"/>
  <c r="AU28" i="15"/>
  <c r="AU12" i="15"/>
  <c r="AU8" i="15"/>
  <c r="AU24" i="15"/>
  <c r="CA22" i="15"/>
  <c r="BS22" i="15"/>
  <c r="CB22" i="15"/>
  <c r="BT22" i="15"/>
  <c r="CC22" i="15"/>
  <c r="BU22" i="15"/>
  <c r="BV22" i="15"/>
  <c r="BR22" i="15"/>
  <c r="BW22" i="15"/>
  <c r="BX22" i="15"/>
  <c r="BY22" i="15"/>
  <c r="BZ22" i="15"/>
  <c r="BQ22" i="15"/>
  <c r="CA6" i="15"/>
  <c r="CB6" i="15"/>
  <c r="BT6" i="15"/>
  <c r="CC6" i="15"/>
  <c r="BU6" i="15"/>
  <c r="BV6" i="15"/>
  <c r="BR6" i="15"/>
  <c r="BW6" i="15"/>
  <c r="BX6" i="15"/>
  <c r="BS6" i="15"/>
  <c r="BY6" i="15"/>
  <c r="BQ6" i="15"/>
  <c r="BZ6" i="15"/>
  <c r="CB7" i="15"/>
  <c r="BT7" i="15"/>
  <c r="CC7" i="15"/>
  <c r="BU7" i="15"/>
  <c r="BV7" i="15"/>
  <c r="BW7" i="15"/>
  <c r="BQ7" i="15"/>
  <c r="BX7" i="15"/>
  <c r="BS7" i="15"/>
  <c r="BY7" i="15"/>
  <c r="BZ7" i="15"/>
  <c r="CA7" i="15"/>
  <c r="BR7" i="15"/>
  <c r="CB15" i="15"/>
  <c r="BT15" i="15"/>
  <c r="CC15" i="15"/>
  <c r="BU15" i="15"/>
  <c r="BV15" i="15"/>
  <c r="BW15" i="15"/>
  <c r="BY15" i="15"/>
  <c r="BQ15" i="15"/>
  <c r="CA15" i="15"/>
  <c r="BR15" i="15"/>
  <c r="BS15" i="15"/>
  <c r="BX15" i="15"/>
  <c r="BZ15" i="15"/>
  <c r="CC24" i="15"/>
  <c r="BU24" i="15"/>
  <c r="BV24" i="15"/>
  <c r="BW24" i="15"/>
  <c r="BX24" i="15"/>
  <c r="BR24" i="15"/>
  <c r="BT24" i="15"/>
  <c r="BY24" i="15"/>
  <c r="BZ24" i="15"/>
  <c r="BS24" i="15"/>
  <c r="CA24" i="15"/>
  <c r="CB24" i="15"/>
  <c r="BQ24" i="15"/>
  <c r="CC32" i="15"/>
  <c r="BU32" i="15"/>
  <c r="BV32" i="15"/>
  <c r="BW32" i="15"/>
  <c r="BX32" i="15"/>
  <c r="BZ32" i="15"/>
  <c r="BR32" i="15"/>
  <c r="CB32" i="15"/>
  <c r="BS32" i="15"/>
  <c r="BY32" i="15"/>
  <c r="BQ32" i="15"/>
  <c r="CA32" i="15"/>
  <c r="BT32" i="15"/>
  <c r="DD9" i="15"/>
  <c r="DO9" i="15"/>
  <c r="DP9" i="15"/>
  <c r="DM9" i="15"/>
  <c r="DI9" i="15"/>
  <c r="DN9" i="15"/>
  <c r="DJ9" i="15"/>
  <c r="DF9" i="15"/>
  <c r="DK9" i="15"/>
  <c r="DG9" i="15"/>
  <c r="DL9" i="15"/>
  <c r="DH9" i="15"/>
  <c r="DE9" i="15"/>
  <c r="DD17" i="15"/>
  <c r="DO17" i="15"/>
  <c r="DP17" i="15"/>
  <c r="DI17" i="15"/>
  <c r="DJ17" i="15"/>
  <c r="DF17" i="15"/>
  <c r="DM17" i="15"/>
  <c r="DN17" i="15"/>
  <c r="DK17" i="15"/>
  <c r="DG17" i="15"/>
  <c r="DL17" i="15"/>
  <c r="DH17" i="15"/>
  <c r="DE17" i="15"/>
  <c r="DO25" i="15"/>
  <c r="DD25" i="15"/>
  <c r="DP25" i="15"/>
  <c r="DN25" i="15"/>
  <c r="DI25" i="15"/>
  <c r="DJ25" i="15"/>
  <c r="DF25" i="15"/>
  <c r="DK25" i="15"/>
  <c r="DG25" i="15"/>
  <c r="DM25" i="15"/>
  <c r="DL25" i="15"/>
  <c r="DH25" i="15"/>
  <c r="DE25" i="15"/>
  <c r="AQ30" i="15"/>
  <c r="AQ22" i="15"/>
  <c r="AQ14" i="15"/>
  <c r="AQ6" i="15"/>
  <c r="AQ28" i="15"/>
  <c r="AQ20" i="15"/>
  <c r="AQ12" i="15"/>
  <c r="AQ4" i="15"/>
  <c r="AQ27" i="15"/>
  <c r="AQ19" i="15"/>
  <c r="AQ11" i="15"/>
  <c r="AQ3" i="15"/>
  <c r="AQ26" i="15"/>
  <c r="AQ18" i="15"/>
  <c r="AQ10" i="15"/>
  <c r="AQ2" i="15"/>
  <c r="AQ25" i="15"/>
  <c r="AQ17" i="15"/>
  <c r="AQ9" i="15"/>
  <c r="AQ32" i="15"/>
  <c r="AQ24" i="15"/>
  <c r="AQ16" i="15"/>
  <c r="AQ8" i="15"/>
  <c r="AQ23" i="15"/>
  <c r="AQ15" i="15"/>
  <c r="AQ13" i="15"/>
  <c r="AQ7" i="15"/>
  <c r="AQ5" i="15"/>
  <c r="AQ31" i="15"/>
  <c r="AQ29" i="15"/>
  <c r="AQ21" i="15"/>
  <c r="AY31" i="15"/>
  <c r="AY27" i="15"/>
  <c r="AY23" i="15"/>
  <c r="AY19" i="15"/>
  <c r="AY15" i="15"/>
  <c r="AY11" i="15"/>
  <c r="AY7" i="15"/>
  <c r="AY3" i="15"/>
  <c r="AY30" i="15"/>
  <c r="AY26" i="15"/>
  <c r="AY22" i="15"/>
  <c r="AY18" i="15"/>
  <c r="AY14" i="15"/>
  <c r="AY10" i="15"/>
  <c r="AY6" i="15"/>
  <c r="AY2" i="15"/>
  <c r="AY29" i="15"/>
  <c r="AY13" i="15"/>
  <c r="AY25" i="15"/>
  <c r="AY9" i="15"/>
  <c r="AY24" i="15"/>
  <c r="AY8" i="15"/>
  <c r="AY21" i="15"/>
  <c r="AY5" i="15"/>
  <c r="AY20" i="15"/>
  <c r="AY4" i="15"/>
  <c r="AY17" i="15"/>
  <c r="AY32" i="15"/>
  <c r="AY16" i="15"/>
  <c r="AY12" i="15"/>
  <c r="AY28" i="15"/>
  <c r="BG29" i="15"/>
  <c r="BG27" i="15"/>
  <c r="BG28" i="15"/>
  <c r="BG19" i="15"/>
  <c r="BG11" i="15"/>
  <c r="BG3" i="15"/>
  <c r="BG25" i="15"/>
  <c r="BG17" i="15"/>
  <c r="BG9" i="15"/>
  <c r="BG24" i="15"/>
  <c r="BG16" i="15"/>
  <c r="BG8" i="15"/>
  <c r="BG23" i="15"/>
  <c r="BG15" i="15"/>
  <c r="BG7" i="15"/>
  <c r="BG32" i="15"/>
  <c r="BG22" i="15"/>
  <c r="BG14" i="15"/>
  <c r="BG6" i="15"/>
  <c r="BG31" i="15"/>
  <c r="BG21" i="15"/>
  <c r="BG13" i="15"/>
  <c r="BG5" i="15"/>
  <c r="BG26" i="15"/>
  <c r="BG18" i="15"/>
  <c r="BG12" i="15"/>
  <c r="BG10" i="15"/>
  <c r="BG4" i="15"/>
  <c r="BG2" i="15"/>
  <c r="BG30" i="15"/>
  <c r="BG20" i="15"/>
  <c r="BO29" i="15"/>
  <c r="BO21" i="15"/>
  <c r="BO13" i="15"/>
  <c r="BO5" i="15"/>
  <c r="BO27" i="15"/>
  <c r="BO19" i="15"/>
  <c r="BO11" i="15"/>
  <c r="BO3" i="15"/>
  <c r="BO26" i="15"/>
  <c r="BO18" i="15"/>
  <c r="BO10" i="15"/>
  <c r="BO2" i="15"/>
  <c r="BO25" i="15"/>
  <c r="BO17" i="15"/>
  <c r="BO9" i="15"/>
  <c r="BO32" i="15"/>
  <c r="BO16" i="15"/>
  <c r="BO30" i="15"/>
  <c r="BO14" i="15"/>
  <c r="BO28" i="15"/>
  <c r="BO12" i="15"/>
  <c r="BO24" i="15"/>
  <c r="BO8" i="15"/>
  <c r="BO23" i="15"/>
  <c r="BO7" i="15"/>
  <c r="BO22" i="15"/>
  <c r="BO6" i="15"/>
  <c r="BO31" i="15"/>
  <c r="BO15" i="15"/>
  <c r="BO4" i="15"/>
  <c r="BO20" i="15"/>
  <c r="CE26" i="15"/>
  <c r="CE18" i="15"/>
  <c r="CE10" i="15"/>
  <c r="CE2" i="15"/>
  <c r="CE25" i="15"/>
  <c r="CE17" i="15"/>
  <c r="CE9" i="15"/>
  <c r="CE32" i="15"/>
  <c r="CE24" i="15"/>
  <c r="CE16" i="15"/>
  <c r="CE8" i="15"/>
  <c r="CE31" i="15"/>
  <c r="CE23" i="15"/>
  <c r="CE15" i="15"/>
  <c r="CE7" i="15"/>
  <c r="CE21" i="15"/>
  <c r="CE5" i="15"/>
  <c r="CE19" i="15"/>
  <c r="CE3" i="15"/>
  <c r="CE30" i="15"/>
  <c r="CE14" i="15"/>
  <c r="CE29" i="15"/>
  <c r="CE13" i="15"/>
  <c r="CE12" i="15"/>
  <c r="CE6" i="15"/>
  <c r="CE4" i="15"/>
  <c r="CE28" i="15"/>
  <c r="CE27" i="15"/>
  <c r="CE22" i="15"/>
  <c r="CE20" i="15"/>
  <c r="CE11" i="15"/>
  <c r="CM30" i="15"/>
  <c r="CM22" i="15"/>
  <c r="CM14" i="15"/>
  <c r="CM6" i="15"/>
  <c r="CM29" i="15"/>
  <c r="CM21" i="15"/>
  <c r="CM13" i="15"/>
  <c r="CM5" i="15"/>
  <c r="CM28" i="15"/>
  <c r="CM20" i="15"/>
  <c r="CM12" i="15"/>
  <c r="CM4" i="15"/>
  <c r="CM27" i="15"/>
  <c r="CM19" i="15"/>
  <c r="CM11" i="15"/>
  <c r="CM3" i="15"/>
  <c r="CM26" i="15"/>
  <c r="CM18" i="15"/>
  <c r="CM10" i="15"/>
  <c r="CM2" i="15"/>
  <c r="CM25" i="15"/>
  <c r="CM17" i="15"/>
  <c r="CM9" i="15"/>
  <c r="CM32" i="15"/>
  <c r="CM31" i="15"/>
  <c r="CM24" i="15"/>
  <c r="CM23" i="15"/>
  <c r="CM16" i="15"/>
  <c r="CM15" i="15"/>
  <c r="CM8" i="15"/>
  <c r="CM7" i="15"/>
  <c r="CR27" i="15"/>
  <c r="CR19" i="15"/>
  <c r="CR11" i="15"/>
  <c r="CR3" i="15"/>
  <c r="CR26" i="15"/>
  <c r="CR18" i="15"/>
  <c r="CR10" i="15"/>
  <c r="CR2" i="15"/>
  <c r="CR25" i="15"/>
  <c r="CR17" i="15"/>
  <c r="CR9" i="15"/>
  <c r="CR32" i="15"/>
  <c r="CR24" i="15"/>
  <c r="CR16" i="15"/>
  <c r="CR8" i="15"/>
  <c r="CR31" i="15"/>
  <c r="CR23" i="15"/>
  <c r="CR15" i="15"/>
  <c r="CR7" i="15"/>
  <c r="CR30" i="15"/>
  <c r="CR22" i="15"/>
  <c r="CR14" i="15"/>
  <c r="CR6" i="15"/>
  <c r="CR5" i="15"/>
  <c r="CR4" i="15"/>
  <c r="CR29" i="15"/>
  <c r="CR28" i="15"/>
  <c r="CR21" i="15"/>
  <c r="CR13" i="15"/>
  <c r="CR12" i="15"/>
  <c r="CR20" i="15"/>
  <c r="CZ27" i="15"/>
  <c r="CZ19" i="15"/>
  <c r="CZ11" i="15"/>
  <c r="CZ3" i="15"/>
  <c r="CZ26" i="15"/>
  <c r="CZ18" i="15"/>
  <c r="CZ10" i="15"/>
  <c r="CZ2" i="15"/>
  <c r="CZ25" i="15"/>
  <c r="CZ17" i="15"/>
  <c r="CZ9" i="15"/>
  <c r="CZ32" i="15"/>
  <c r="CZ24" i="15"/>
  <c r="CZ16" i="15"/>
  <c r="CZ8" i="15"/>
  <c r="CZ31" i="15"/>
  <c r="CZ23" i="15"/>
  <c r="CZ15" i="15"/>
  <c r="CZ7" i="15"/>
  <c r="CZ30" i="15"/>
  <c r="CZ22" i="15"/>
  <c r="CZ14" i="15"/>
  <c r="CZ6" i="15"/>
  <c r="CZ13" i="15"/>
  <c r="CZ12" i="15"/>
  <c r="CZ5" i="15"/>
  <c r="CZ4" i="15"/>
  <c r="CZ29" i="15"/>
  <c r="CZ21" i="15"/>
  <c r="CZ20" i="15"/>
  <c r="CZ28" i="15"/>
  <c r="E25" i="15"/>
  <c r="E17" i="15"/>
  <c r="E9" i="15"/>
  <c r="E31" i="15"/>
  <c r="E23" i="15"/>
  <c r="E15" i="15"/>
  <c r="E7" i="15"/>
  <c r="E30" i="15"/>
  <c r="E22" i="15"/>
  <c r="E14" i="15"/>
  <c r="E6" i="15"/>
  <c r="E32" i="15"/>
  <c r="E29" i="15"/>
  <c r="E21" i="15"/>
  <c r="E13" i="15"/>
  <c r="E5" i="15"/>
  <c r="E28" i="15"/>
  <c r="E20" i="15"/>
  <c r="E12" i="15"/>
  <c r="E4" i="15"/>
  <c r="E16" i="15"/>
  <c r="E27" i="15"/>
  <c r="E19" i="15"/>
  <c r="E11" i="15"/>
  <c r="E3" i="15"/>
  <c r="E24" i="15"/>
  <c r="E26" i="15"/>
  <c r="E18" i="15"/>
  <c r="E10" i="15"/>
  <c r="E2" i="15"/>
  <c r="E8" i="15"/>
  <c r="M29" i="15"/>
  <c r="M21" i="15"/>
  <c r="M13" i="15"/>
  <c r="M5" i="15"/>
  <c r="M27" i="15"/>
  <c r="M19" i="15"/>
  <c r="M11" i="15"/>
  <c r="M26" i="15"/>
  <c r="M18" i="15"/>
  <c r="M10" i="15"/>
  <c r="M2" i="15"/>
  <c r="M25" i="15"/>
  <c r="M17" i="15"/>
  <c r="M9" i="15"/>
  <c r="M31" i="15"/>
  <c r="M23" i="15"/>
  <c r="M15" i="15"/>
  <c r="M7" i="15"/>
  <c r="M30" i="15"/>
  <c r="M22" i="15"/>
  <c r="M14" i="15"/>
  <c r="M6" i="15"/>
  <c r="M12" i="15"/>
  <c r="M4" i="15"/>
  <c r="M32" i="15"/>
  <c r="M3" i="15"/>
  <c r="M28" i="15"/>
  <c r="M24" i="15"/>
  <c r="M20" i="15"/>
  <c r="M8" i="15"/>
  <c r="M16" i="15"/>
  <c r="AH29" i="15"/>
  <c r="AH21" i="15"/>
  <c r="AH13" i="15"/>
  <c r="AH5" i="15"/>
  <c r="AH27" i="15"/>
  <c r="AH19" i="15"/>
  <c r="AH11" i="15"/>
  <c r="AH3" i="15"/>
  <c r="AH26" i="15"/>
  <c r="AH18" i="15"/>
  <c r="AH10" i="15"/>
  <c r="AH2" i="15"/>
  <c r="AH25" i="15"/>
  <c r="AH17" i="15"/>
  <c r="AH9" i="15"/>
  <c r="AH32" i="15"/>
  <c r="AH24" i="15"/>
  <c r="AH16" i="15"/>
  <c r="AH8" i="15"/>
  <c r="AH31" i="15"/>
  <c r="AH23" i="15"/>
  <c r="AH15" i="15"/>
  <c r="AH7" i="15"/>
  <c r="AH14" i="15"/>
  <c r="AH6" i="15"/>
  <c r="AH4" i="15"/>
  <c r="AH30" i="15"/>
  <c r="AH28" i="15"/>
  <c r="AH22" i="15"/>
  <c r="AH20" i="15"/>
  <c r="AH12" i="15"/>
  <c r="AP29" i="15"/>
  <c r="AP21" i="15"/>
  <c r="AP13" i="15"/>
  <c r="AP5" i="15"/>
  <c r="AP27" i="15"/>
  <c r="AP19" i="15"/>
  <c r="AP11" i="15"/>
  <c r="AP3" i="15"/>
  <c r="AP26" i="15"/>
  <c r="AP18" i="15"/>
  <c r="AP10" i="15"/>
  <c r="AP2" i="15"/>
  <c r="AP25" i="15"/>
  <c r="AP17" i="15"/>
  <c r="AP9" i="15"/>
  <c r="AP32" i="15"/>
  <c r="AP24" i="15"/>
  <c r="AP16" i="15"/>
  <c r="AP8" i="15"/>
  <c r="AP31" i="15"/>
  <c r="AP23" i="15"/>
  <c r="AP15" i="15"/>
  <c r="AP7" i="15"/>
  <c r="AP22" i="15"/>
  <c r="AP14" i="15"/>
  <c r="AP12" i="15"/>
  <c r="AP6" i="15"/>
  <c r="AP4" i="15"/>
  <c r="AP30" i="15"/>
  <c r="AP28" i="15"/>
  <c r="AP20" i="15"/>
  <c r="G6" i="14"/>
  <c r="G3" i="14"/>
  <c r="G25" i="14"/>
  <c r="G32" i="14"/>
  <c r="BW2" i="15"/>
  <c r="BX2" i="15"/>
  <c r="BY2" i="15"/>
  <c r="BZ2" i="15"/>
  <c r="CB2" i="15"/>
  <c r="BT2" i="15"/>
  <c r="BU2" i="15"/>
  <c r="BQ2" i="15"/>
  <c r="CA2" i="15"/>
  <c r="BS2" i="15"/>
  <c r="CC2" i="15"/>
  <c r="BR2" i="15"/>
  <c r="BV2" i="15"/>
  <c r="CC8" i="15"/>
  <c r="BU8" i="15"/>
  <c r="BV8" i="15"/>
  <c r="BW8" i="15"/>
  <c r="BX8" i="15"/>
  <c r="BR8" i="15"/>
  <c r="BT8" i="15"/>
  <c r="BS8" i="15"/>
  <c r="BY8" i="15"/>
  <c r="BZ8" i="15"/>
  <c r="CA8" i="15"/>
  <c r="BQ8" i="15"/>
  <c r="CB8" i="15"/>
  <c r="CC16" i="15"/>
  <c r="BU16" i="15"/>
  <c r="BV16" i="15"/>
  <c r="BW16" i="15"/>
  <c r="BX16" i="15"/>
  <c r="BZ16" i="15"/>
  <c r="BR16" i="15"/>
  <c r="CB16" i="15"/>
  <c r="BQ16" i="15"/>
  <c r="BS16" i="15"/>
  <c r="BT16" i="15"/>
  <c r="BY16" i="15"/>
  <c r="CA16" i="15"/>
  <c r="BV25" i="15"/>
  <c r="BW25" i="15"/>
  <c r="BX25" i="15"/>
  <c r="BY25" i="15"/>
  <c r="BS25" i="15"/>
  <c r="BU25" i="15"/>
  <c r="BZ25" i="15"/>
  <c r="CA25" i="15"/>
  <c r="BT25" i="15"/>
  <c r="CB25" i="15"/>
  <c r="CC25" i="15"/>
  <c r="BQ25" i="15"/>
  <c r="BR25" i="15"/>
  <c r="DD2" i="15"/>
  <c r="DP2" i="15"/>
  <c r="DJ2" i="15"/>
  <c r="DF2" i="15"/>
  <c r="DK2" i="15"/>
  <c r="DG2" i="15"/>
  <c r="DO2" i="15"/>
  <c r="DL2" i="15"/>
  <c r="DH2" i="15"/>
  <c r="DM2" i="15"/>
  <c r="DI2" i="15"/>
  <c r="DN2" i="15"/>
  <c r="DE2" i="15"/>
  <c r="DD10" i="15"/>
  <c r="DP10" i="15"/>
  <c r="DO10" i="15"/>
  <c r="DJ10" i="15"/>
  <c r="DF10" i="15"/>
  <c r="DK10" i="15"/>
  <c r="DG10" i="15"/>
  <c r="DL10" i="15"/>
  <c r="DH10" i="15"/>
  <c r="DM10" i="15"/>
  <c r="DI10" i="15"/>
  <c r="DN10" i="15"/>
  <c r="DE10" i="15"/>
  <c r="DD18" i="15"/>
  <c r="DP18" i="15"/>
  <c r="DJ18" i="15"/>
  <c r="DF18" i="15"/>
  <c r="DM18" i="15"/>
  <c r="DK18" i="15"/>
  <c r="DG18" i="15"/>
  <c r="DN18" i="15"/>
  <c r="DO18" i="15"/>
  <c r="DL18" i="15"/>
  <c r="DH18" i="15"/>
  <c r="DI18" i="15"/>
  <c r="DE18" i="15"/>
  <c r="DD26" i="15"/>
  <c r="DP26" i="15"/>
  <c r="DO26" i="15"/>
  <c r="DJ26" i="15"/>
  <c r="DF26" i="15"/>
  <c r="DK26" i="15"/>
  <c r="DG26" i="15"/>
  <c r="DM26" i="15"/>
  <c r="DL26" i="15"/>
  <c r="DH26" i="15"/>
  <c r="DI26" i="15"/>
  <c r="DN26" i="15"/>
  <c r="DE26" i="15"/>
  <c r="AR30" i="15"/>
  <c r="AR26" i="15"/>
  <c r="AR22" i="15"/>
  <c r="AR3" i="15"/>
  <c r="AR29" i="15"/>
  <c r="AR25" i="15"/>
  <c r="AR21" i="15"/>
  <c r="AR32" i="15"/>
  <c r="AR28" i="15"/>
  <c r="AR24" i="15"/>
  <c r="AR20" i="15"/>
  <c r="AR16" i="15"/>
  <c r="AR12" i="15"/>
  <c r="AR31" i="15"/>
  <c r="AR27" i="15"/>
  <c r="AR23" i="15"/>
  <c r="AR19" i="15"/>
  <c r="AR15" i="15"/>
  <c r="AR14" i="15"/>
  <c r="AR9" i="15"/>
  <c r="AR5" i="15"/>
  <c r="AR13" i="15"/>
  <c r="AR8" i="15"/>
  <c r="AR4" i="15"/>
  <c r="AR18" i="15"/>
  <c r="AR11" i="15"/>
  <c r="AR7" i="15"/>
  <c r="AR17" i="15"/>
  <c r="AR2" i="15"/>
  <c r="AR10" i="15"/>
  <c r="AR6" i="15"/>
  <c r="AZ29" i="15"/>
  <c r="AZ25" i="15"/>
  <c r="AZ21" i="15"/>
  <c r="AZ17" i="15"/>
  <c r="AZ32" i="15"/>
  <c r="AZ28" i="15"/>
  <c r="AZ24" i="15"/>
  <c r="AZ20" i="15"/>
  <c r="AZ16" i="15"/>
  <c r="AZ31" i="15"/>
  <c r="AZ27" i="15"/>
  <c r="AZ23" i="15"/>
  <c r="AZ19" i="15"/>
  <c r="AZ30" i="15"/>
  <c r="AZ26" i="15"/>
  <c r="AZ22" i="15"/>
  <c r="AZ18" i="15"/>
  <c r="AZ12" i="15"/>
  <c r="AZ8" i="15"/>
  <c r="AZ4" i="15"/>
  <c r="AZ15" i="15"/>
  <c r="AZ11" i="15"/>
  <c r="AZ7" i="15"/>
  <c r="AZ3" i="15"/>
  <c r="AZ14" i="15"/>
  <c r="AZ10" i="15"/>
  <c r="AZ9" i="15"/>
  <c r="AZ6" i="15"/>
  <c r="AZ5" i="15"/>
  <c r="AZ2" i="15"/>
  <c r="AZ13" i="15"/>
  <c r="BH30" i="15"/>
  <c r="BH22" i="15"/>
  <c r="BH14" i="15"/>
  <c r="BH6" i="15"/>
  <c r="BH28" i="15"/>
  <c r="BH20" i="15"/>
  <c r="BH12" i="15"/>
  <c r="BH4" i="15"/>
  <c r="BH27" i="15"/>
  <c r="BH19" i="15"/>
  <c r="BH11" i="15"/>
  <c r="BH3" i="15"/>
  <c r="BH26" i="15"/>
  <c r="BH18" i="15"/>
  <c r="BH10" i="15"/>
  <c r="BH25" i="15"/>
  <c r="BH9" i="15"/>
  <c r="BH23" i="15"/>
  <c r="BH7" i="15"/>
  <c r="BH21" i="15"/>
  <c r="BH5" i="15"/>
  <c r="BH17" i="15"/>
  <c r="BH2" i="15"/>
  <c r="BH32" i="15"/>
  <c r="BH16" i="15"/>
  <c r="BH31" i="15"/>
  <c r="BH15" i="15"/>
  <c r="BH29" i="15"/>
  <c r="BH24" i="15"/>
  <c r="BH13" i="15"/>
  <c r="BH8" i="15"/>
  <c r="BP30" i="15"/>
  <c r="BP22" i="15"/>
  <c r="BP14" i="15"/>
  <c r="BP6" i="15"/>
  <c r="BP28" i="15"/>
  <c r="BP20" i="15"/>
  <c r="BP12" i="15"/>
  <c r="BP4" i="15"/>
  <c r="BP27" i="15"/>
  <c r="BP19" i="15"/>
  <c r="BP11" i="15"/>
  <c r="BP3" i="15"/>
  <c r="BP26" i="15"/>
  <c r="BP18" i="15"/>
  <c r="BP10" i="15"/>
  <c r="BP2" i="15"/>
  <c r="BP17" i="15"/>
  <c r="BP31" i="15"/>
  <c r="BP15" i="15"/>
  <c r="BP29" i="15"/>
  <c r="BP13" i="15"/>
  <c r="BP25" i="15"/>
  <c r="BP9" i="15"/>
  <c r="BP24" i="15"/>
  <c r="BP8" i="15"/>
  <c r="BP23" i="15"/>
  <c r="BP7" i="15"/>
  <c r="BP32" i="15"/>
  <c r="BP21" i="15"/>
  <c r="BP16" i="15"/>
  <c r="BP5" i="15"/>
  <c r="CF27" i="15"/>
  <c r="CF19" i="15"/>
  <c r="CF11" i="15"/>
  <c r="CF3" i="15"/>
  <c r="CF26" i="15"/>
  <c r="CF18" i="15"/>
  <c r="CF10" i="15"/>
  <c r="CF2" i="15"/>
  <c r="CF25" i="15"/>
  <c r="CF17" i="15"/>
  <c r="CF9" i="15"/>
  <c r="CF32" i="15"/>
  <c r="CF24" i="15"/>
  <c r="CF16" i="15"/>
  <c r="CF8" i="15"/>
  <c r="CF22" i="15"/>
  <c r="CF6" i="15"/>
  <c r="CF20" i="15"/>
  <c r="CF4" i="15"/>
  <c r="CF31" i="15"/>
  <c r="CF15" i="15"/>
  <c r="CF30" i="15"/>
  <c r="CF14" i="15"/>
  <c r="CF13" i="15"/>
  <c r="CF7" i="15"/>
  <c r="CF5" i="15"/>
  <c r="CF29" i="15"/>
  <c r="CF28" i="15"/>
  <c r="CF23" i="15"/>
  <c r="CF12" i="15"/>
  <c r="CF21" i="15"/>
  <c r="CN31" i="15"/>
  <c r="CN23" i="15"/>
  <c r="CN15" i="15"/>
  <c r="CN7" i="15"/>
  <c r="CN30" i="15"/>
  <c r="CN22" i="15"/>
  <c r="CN14" i="15"/>
  <c r="CN6" i="15"/>
  <c r="CN29" i="15"/>
  <c r="CN21" i="15"/>
  <c r="CN13" i="15"/>
  <c r="CN5" i="15"/>
  <c r="CN28" i="15"/>
  <c r="CN20" i="15"/>
  <c r="CN12" i="15"/>
  <c r="CN4" i="15"/>
  <c r="CN27" i="15"/>
  <c r="CN19" i="15"/>
  <c r="CN11" i="15"/>
  <c r="CN3" i="15"/>
  <c r="CN26" i="15"/>
  <c r="CN18" i="15"/>
  <c r="CN10" i="15"/>
  <c r="CN2" i="15"/>
  <c r="CN32" i="15"/>
  <c r="CN25" i="15"/>
  <c r="CN24" i="15"/>
  <c r="CN16" i="15"/>
  <c r="CN8" i="15"/>
  <c r="CN17" i="15"/>
  <c r="CN9" i="15"/>
  <c r="CS28" i="15"/>
  <c r="CS20" i="15"/>
  <c r="CS12" i="15"/>
  <c r="CS4" i="15"/>
  <c r="CS27" i="15"/>
  <c r="CS19" i="15"/>
  <c r="CS11" i="15"/>
  <c r="CS3" i="15"/>
  <c r="CS26" i="15"/>
  <c r="CS18" i="15"/>
  <c r="CS10" i="15"/>
  <c r="CS2" i="15"/>
  <c r="CS25" i="15"/>
  <c r="CS17" i="15"/>
  <c r="CS9" i="15"/>
  <c r="CS32" i="15"/>
  <c r="CS24" i="15"/>
  <c r="CS16" i="15"/>
  <c r="CS8" i="15"/>
  <c r="CS31" i="15"/>
  <c r="CS23" i="15"/>
  <c r="CS15" i="15"/>
  <c r="CS7" i="15"/>
  <c r="CS6" i="15"/>
  <c r="CS5" i="15"/>
  <c r="CS30" i="15"/>
  <c r="CS29" i="15"/>
  <c r="CS22" i="15"/>
  <c r="CS13" i="15"/>
  <c r="CS21" i="15"/>
  <c r="CS14" i="15"/>
  <c r="DA28" i="15"/>
  <c r="DA20" i="15"/>
  <c r="DA12" i="15"/>
  <c r="DA4" i="15"/>
  <c r="DA27" i="15"/>
  <c r="DA19" i="15"/>
  <c r="DA11" i="15"/>
  <c r="DA3" i="15"/>
  <c r="DA26" i="15"/>
  <c r="DA18" i="15"/>
  <c r="DA10" i="15"/>
  <c r="DA2" i="15"/>
  <c r="DA25" i="15"/>
  <c r="DA17" i="15"/>
  <c r="DA9" i="15"/>
  <c r="DA32" i="15"/>
  <c r="DA24" i="15"/>
  <c r="DA16" i="15"/>
  <c r="DA8" i="15"/>
  <c r="DA31" i="15"/>
  <c r="DA23" i="15"/>
  <c r="DA15" i="15"/>
  <c r="DA7" i="15"/>
  <c r="DA14" i="15"/>
  <c r="DA13" i="15"/>
  <c r="DA6" i="15"/>
  <c r="DA5" i="15"/>
  <c r="DA30" i="15"/>
  <c r="DA21" i="15"/>
  <c r="DA29" i="15"/>
  <c r="DA22" i="15"/>
  <c r="F26" i="15"/>
  <c r="F18" i="15"/>
  <c r="F10" i="15"/>
  <c r="F2" i="15"/>
  <c r="F25" i="15"/>
  <c r="F32" i="15"/>
  <c r="F24" i="15"/>
  <c r="F16" i="15"/>
  <c r="F8" i="15"/>
  <c r="F9" i="15"/>
  <c r="F31" i="15"/>
  <c r="F23" i="15"/>
  <c r="F15" i="15"/>
  <c r="F7" i="15"/>
  <c r="F30" i="15"/>
  <c r="F22" i="15"/>
  <c r="F14" i="15"/>
  <c r="F6" i="15"/>
  <c r="F29" i="15"/>
  <c r="F21" i="15"/>
  <c r="F13" i="15"/>
  <c r="F5" i="15"/>
  <c r="F28" i="15"/>
  <c r="F20" i="15"/>
  <c r="F12" i="15"/>
  <c r="F4" i="15"/>
  <c r="F27" i="15"/>
  <c r="F19" i="15"/>
  <c r="F11" i="15"/>
  <c r="F3" i="15"/>
  <c r="F17" i="15"/>
  <c r="N30" i="15"/>
  <c r="N22" i="15"/>
  <c r="N14" i="15"/>
  <c r="N6" i="15"/>
  <c r="N28" i="15"/>
  <c r="N20" i="15"/>
  <c r="N12" i="15"/>
  <c r="N4" i="15"/>
  <c r="N27" i="15"/>
  <c r="N19" i="15"/>
  <c r="N11" i="15"/>
  <c r="N3" i="15"/>
  <c r="N26" i="15"/>
  <c r="N18" i="15"/>
  <c r="N10" i="15"/>
  <c r="N2" i="15"/>
  <c r="N25" i="15"/>
  <c r="N17" i="15"/>
  <c r="N32" i="15"/>
  <c r="N24" i="15"/>
  <c r="N16" i="15"/>
  <c r="N8" i="15"/>
  <c r="N31" i="15"/>
  <c r="N23" i="15"/>
  <c r="N15" i="15"/>
  <c r="N7" i="15"/>
  <c r="N13" i="15"/>
  <c r="N9" i="15"/>
  <c r="N5" i="15"/>
  <c r="N29" i="15"/>
  <c r="N21" i="15"/>
  <c r="AI30" i="15"/>
  <c r="AI22" i="15"/>
  <c r="AI14" i="15"/>
  <c r="AI6" i="15"/>
  <c r="AI28" i="15"/>
  <c r="AI20" i="15"/>
  <c r="AI12" i="15"/>
  <c r="AI4" i="15"/>
  <c r="AI27" i="15"/>
  <c r="AI19" i="15"/>
  <c r="AI11" i="15"/>
  <c r="AI3" i="15"/>
  <c r="AI26" i="15"/>
  <c r="AI18" i="15"/>
  <c r="AI10" i="15"/>
  <c r="AI2" i="15"/>
  <c r="AI25" i="15"/>
  <c r="AI17" i="15"/>
  <c r="AI9" i="15"/>
  <c r="AI32" i="15"/>
  <c r="AI24" i="15"/>
  <c r="AI16" i="15"/>
  <c r="AI8" i="15"/>
  <c r="AI15" i="15"/>
  <c r="AI7" i="15"/>
  <c r="AI5" i="15"/>
  <c r="AI31" i="15"/>
  <c r="AI29" i="15"/>
  <c r="AI23" i="15"/>
  <c r="AI21" i="15"/>
  <c r="AI13" i="15"/>
  <c r="G20" i="14"/>
  <c r="G28" i="14"/>
  <c r="G23" i="14"/>
  <c r="G31" i="14"/>
  <c r="BV9" i="15"/>
  <c r="BW9" i="15"/>
  <c r="BX9" i="15"/>
  <c r="BY9" i="15"/>
  <c r="BU9" i="15"/>
  <c r="BZ9" i="15"/>
  <c r="CA9" i="15"/>
  <c r="CB9" i="15"/>
  <c r="BQ9" i="15"/>
  <c r="BR9" i="15"/>
  <c r="CC9" i="15"/>
  <c r="BS9" i="15"/>
  <c r="BT9" i="15"/>
  <c r="BV17" i="15"/>
  <c r="BW17" i="15"/>
  <c r="BX17" i="15"/>
  <c r="BY17" i="15"/>
  <c r="CA17" i="15"/>
  <c r="CC17" i="15"/>
  <c r="BS17" i="15"/>
  <c r="BR17" i="15"/>
  <c r="BT17" i="15"/>
  <c r="BU17" i="15"/>
  <c r="BZ17" i="15"/>
  <c r="BQ17" i="15"/>
  <c r="CB17" i="15"/>
  <c r="BW26" i="15"/>
  <c r="BX26" i="15"/>
  <c r="BY26" i="15"/>
  <c r="BZ26" i="15"/>
  <c r="BT26" i="15"/>
  <c r="BV26" i="15"/>
  <c r="CA26" i="15"/>
  <c r="CB26" i="15"/>
  <c r="BS26" i="15"/>
  <c r="BU26" i="15"/>
  <c r="CC26" i="15"/>
  <c r="BQ26" i="15"/>
  <c r="BR26" i="15"/>
  <c r="DD3" i="15"/>
  <c r="DK3" i="15"/>
  <c r="DG3" i="15"/>
  <c r="DL3" i="15"/>
  <c r="DH3" i="15"/>
  <c r="DO3" i="15"/>
  <c r="DP3" i="15"/>
  <c r="DM3" i="15"/>
  <c r="DI3" i="15"/>
  <c r="DN3" i="15"/>
  <c r="DJ3" i="15"/>
  <c r="DF3" i="15"/>
  <c r="DE3" i="15"/>
  <c r="DD11" i="15"/>
  <c r="DP11" i="15"/>
  <c r="DN11" i="15"/>
  <c r="DK11" i="15"/>
  <c r="DG11" i="15"/>
  <c r="DL11" i="15"/>
  <c r="DH11" i="15"/>
  <c r="DM11" i="15"/>
  <c r="DI11" i="15"/>
  <c r="DJ11" i="15"/>
  <c r="DF11" i="15"/>
  <c r="DE11" i="15"/>
  <c r="DO11" i="15"/>
  <c r="DD19" i="15"/>
  <c r="DM19" i="15"/>
  <c r="DN19" i="15"/>
  <c r="DK19" i="15"/>
  <c r="DG19" i="15"/>
  <c r="DL19" i="15"/>
  <c r="DH19" i="15"/>
  <c r="DO19" i="15"/>
  <c r="DP19" i="15"/>
  <c r="DI19" i="15"/>
  <c r="DJ19" i="15"/>
  <c r="DF19" i="15"/>
  <c r="DE19" i="15"/>
  <c r="DD27" i="15"/>
  <c r="DM27" i="15"/>
  <c r="DN27" i="15"/>
  <c r="DP27" i="15"/>
  <c r="DK27" i="15"/>
  <c r="DG27" i="15"/>
  <c r="DL27" i="15"/>
  <c r="DH27" i="15"/>
  <c r="DI27" i="15"/>
  <c r="DJ27" i="15"/>
  <c r="DF27" i="15"/>
  <c r="DE27" i="15"/>
  <c r="DO27" i="15"/>
  <c r="AS29" i="15"/>
  <c r="AS25" i="15"/>
  <c r="AS21" i="15"/>
  <c r="AS17" i="15"/>
  <c r="AS13" i="15"/>
  <c r="AS9" i="15"/>
  <c r="AS5" i="15"/>
  <c r="AS32" i="15"/>
  <c r="AS28" i="15"/>
  <c r="AS24" i="15"/>
  <c r="AS20" i="15"/>
  <c r="AS23" i="15"/>
  <c r="AS11" i="15"/>
  <c r="AS19" i="15"/>
  <c r="AS8" i="15"/>
  <c r="AS18" i="15"/>
  <c r="AS7" i="15"/>
  <c r="AS31" i="15"/>
  <c r="AS16" i="15"/>
  <c r="AS6" i="15"/>
  <c r="AS30" i="15"/>
  <c r="AS15" i="15"/>
  <c r="AS4" i="15"/>
  <c r="AS27" i="15"/>
  <c r="AS14" i="15"/>
  <c r="AS3" i="15"/>
  <c r="AS26" i="15"/>
  <c r="AS12" i="15"/>
  <c r="AS10" i="15"/>
  <c r="AS2" i="15"/>
  <c r="AS22" i="15"/>
  <c r="BA30" i="15"/>
  <c r="BA26" i="15"/>
  <c r="BA22" i="15"/>
  <c r="BA18" i="15"/>
  <c r="BA14" i="15"/>
  <c r="BA10" i="15"/>
  <c r="BA6" i="15"/>
  <c r="BA2" i="15"/>
  <c r="BA29" i="15"/>
  <c r="BA25" i="15"/>
  <c r="BA21" i="15"/>
  <c r="BA17" i="15"/>
  <c r="BA13" i="15"/>
  <c r="BA9" i="15"/>
  <c r="BA5" i="15"/>
  <c r="BA32" i="15"/>
  <c r="BA28" i="15"/>
  <c r="BA24" i="15"/>
  <c r="BA20" i="15"/>
  <c r="BA16" i="15"/>
  <c r="BA12" i="15"/>
  <c r="BA8" i="15"/>
  <c r="BA4" i="15"/>
  <c r="BA31" i="15"/>
  <c r="BA27" i="15"/>
  <c r="BA23" i="15"/>
  <c r="BA19" i="15"/>
  <c r="BA15" i="15"/>
  <c r="BA11" i="15"/>
  <c r="BA7" i="15"/>
  <c r="BA3" i="15"/>
  <c r="BI31" i="15"/>
  <c r="BI23" i="15"/>
  <c r="BI15" i="15"/>
  <c r="BI7" i="15"/>
  <c r="BI29" i="15"/>
  <c r="BI21" i="15"/>
  <c r="BI13" i="15"/>
  <c r="BI5" i="15"/>
  <c r="BI28" i="15"/>
  <c r="BI20" i="15"/>
  <c r="BI12" i="15"/>
  <c r="BI4" i="15"/>
  <c r="BI27" i="15"/>
  <c r="BI19" i="15"/>
  <c r="BI11" i="15"/>
  <c r="BI3" i="15"/>
  <c r="BI26" i="15"/>
  <c r="BI10" i="15"/>
  <c r="BI24" i="15"/>
  <c r="BI8" i="15"/>
  <c r="BI22" i="15"/>
  <c r="BI6" i="15"/>
  <c r="BI18" i="15"/>
  <c r="BI2" i="15"/>
  <c r="BI17" i="15"/>
  <c r="BI32" i="15"/>
  <c r="BI16" i="15"/>
  <c r="BI25" i="15"/>
  <c r="BI9" i="15"/>
  <c r="BI30" i="15"/>
  <c r="BI14" i="15"/>
  <c r="CG28" i="15"/>
  <c r="CG20" i="15"/>
  <c r="CG12" i="15"/>
  <c r="CG4" i="15"/>
  <c r="CG27" i="15"/>
  <c r="CG19" i="15"/>
  <c r="CG11" i="15"/>
  <c r="CG3" i="15"/>
  <c r="CG26" i="15"/>
  <c r="CG18" i="15"/>
  <c r="CG10" i="15"/>
  <c r="CG2" i="15"/>
  <c r="CG25" i="15"/>
  <c r="CG17" i="15"/>
  <c r="CG9" i="15"/>
  <c r="CG23" i="15"/>
  <c r="CG7" i="15"/>
  <c r="CG21" i="15"/>
  <c r="CG5" i="15"/>
  <c r="CG32" i="15"/>
  <c r="CG16" i="15"/>
  <c r="CG31" i="15"/>
  <c r="CG15" i="15"/>
  <c r="CG14" i="15"/>
  <c r="CG8" i="15"/>
  <c r="CG6" i="15"/>
  <c r="CG30" i="15"/>
  <c r="CG29" i="15"/>
  <c r="CG24" i="15"/>
  <c r="CG13" i="15"/>
  <c r="CG22" i="15"/>
  <c r="CO32" i="15"/>
  <c r="CO24" i="15"/>
  <c r="CO16" i="15"/>
  <c r="CO8" i="15"/>
  <c r="CO31" i="15"/>
  <c r="CO23" i="15"/>
  <c r="CO15" i="15"/>
  <c r="CO7" i="15"/>
  <c r="CO30" i="15"/>
  <c r="CO22" i="15"/>
  <c r="CO14" i="15"/>
  <c r="CO6" i="15"/>
  <c r="CO29" i="15"/>
  <c r="CO21" i="15"/>
  <c r="CO13" i="15"/>
  <c r="CO5" i="15"/>
  <c r="CO28" i="15"/>
  <c r="CO20" i="15"/>
  <c r="CO12" i="15"/>
  <c r="CO4" i="15"/>
  <c r="CO27" i="15"/>
  <c r="CO19" i="15"/>
  <c r="CO11" i="15"/>
  <c r="CO3" i="15"/>
  <c r="CO2" i="15"/>
  <c r="CO26" i="15"/>
  <c r="CO25" i="15"/>
  <c r="CO18" i="15"/>
  <c r="CO17" i="15"/>
  <c r="CO10" i="15"/>
  <c r="CO9" i="15"/>
  <c r="CT29" i="15"/>
  <c r="CT21" i="15"/>
  <c r="CT13" i="15"/>
  <c r="CT5" i="15"/>
  <c r="CT28" i="15"/>
  <c r="CT20" i="15"/>
  <c r="CT12" i="15"/>
  <c r="CT4" i="15"/>
  <c r="CT27" i="15"/>
  <c r="CT19" i="15"/>
  <c r="CT11" i="15"/>
  <c r="CT3" i="15"/>
  <c r="CT26" i="15"/>
  <c r="CT18" i="15"/>
  <c r="CT10" i="15"/>
  <c r="CT2" i="15"/>
  <c r="CT25" i="15"/>
  <c r="CT17" i="15"/>
  <c r="CT9" i="15"/>
  <c r="CT32" i="15"/>
  <c r="CT24" i="15"/>
  <c r="CT16" i="15"/>
  <c r="CT8" i="15"/>
  <c r="CT7" i="15"/>
  <c r="CT6" i="15"/>
  <c r="CT31" i="15"/>
  <c r="CT30" i="15"/>
  <c r="CT23" i="15"/>
  <c r="CT22" i="15"/>
  <c r="CT15" i="15"/>
  <c r="CT14" i="15"/>
  <c r="DB29" i="15"/>
  <c r="DB21" i="15"/>
  <c r="DB13" i="15"/>
  <c r="DB5" i="15"/>
  <c r="DB28" i="15"/>
  <c r="DB20" i="15"/>
  <c r="DB12" i="15"/>
  <c r="DB4" i="15"/>
  <c r="DB27" i="15"/>
  <c r="DB19" i="15"/>
  <c r="DB11" i="15"/>
  <c r="DB3" i="15"/>
  <c r="DB26" i="15"/>
  <c r="DB18" i="15"/>
  <c r="DB10" i="15"/>
  <c r="DB2" i="15"/>
  <c r="DB25" i="15"/>
  <c r="DB17" i="15"/>
  <c r="DB9" i="15"/>
  <c r="DB32" i="15"/>
  <c r="DB24" i="15"/>
  <c r="DB16" i="15"/>
  <c r="DB8" i="15"/>
  <c r="DB15" i="15"/>
  <c r="DB14" i="15"/>
  <c r="DB7" i="15"/>
  <c r="DB6" i="15"/>
  <c r="DB31" i="15"/>
  <c r="DB30" i="15"/>
  <c r="DB23" i="15"/>
  <c r="DB22" i="15"/>
  <c r="G27" i="15"/>
  <c r="G19" i="15"/>
  <c r="G11" i="15"/>
  <c r="G3" i="15"/>
  <c r="G25" i="15"/>
  <c r="G17" i="15"/>
  <c r="G9" i="15"/>
  <c r="G32" i="15"/>
  <c r="G24" i="15"/>
  <c r="G16" i="15"/>
  <c r="G8" i="15"/>
  <c r="G18" i="15"/>
  <c r="G31" i="15"/>
  <c r="G23" i="15"/>
  <c r="G15" i="15"/>
  <c r="G7" i="15"/>
  <c r="G30" i="15"/>
  <c r="G22" i="15"/>
  <c r="G14" i="15"/>
  <c r="G6" i="15"/>
  <c r="G10" i="15"/>
  <c r="G29" i="15"/>
  <c r="G21" i="15"/>
  <c r="G13" i="15"/>
  <c r="G5" i="15"/>
  <c r="G2" i="15"/>
  <c r="G28" i="15"/>
  <c r="G20" i="15"/>
  <c r="G12" i="15"/>
  <c r="G4" i="15"/>
  <c r="G26" i="15"/>
  <c r="O31" i="15"/>
  <c r="O23" i="15"/>
  <c r="O15" i="15"/>
  <c r="O7" i="15"/>
  <c r="O29" i="15"/>
  <c r="O21" i="15"/>
  <c r="O13" i="15"/>
  <c r="O5" i="15"/>
  <c r="O28" i="15"/>
  <c r="O20" i="15"/>
  <c r="O12" i="15"/>
  <c r="O4" i="15"/>
  <c r="O27" i="15"/>
  <c r="O19" i="15"/>
  <c r="O11" i="15"/>
  <c r="O3" i="15"/>
  <c r="O26" i="15"/>
  <c r="O18" i="15"/>
  <c r="O10" i="15"/>
  <c r="O2" i="15"/>
  <c r="O25" i="15"/>
  <c r="O17" i="15"/>
  <c r="O9" i="15"/>
  <c r="O32" i="15"/>
  <c r="O24" i="15"/>
  <c r="O16" i="15"/>
  <c r="O8" i="15"/>
  <c r="O30" i="15"/>
  <c r="O22" i="15"/>
  <c r="O14" i="15"/>
  <c r="O6" i="15"/>
  <c r="AJ31" i="15"/>
  <c r="AJ23" i="15"/>
  <c r="AJ15" i="15"/>
  <c r="AJ7" i="15"/>
  <c r="AJ29" i="15"/>
  <c r="AJ21" i="15"/>
  <c r="AJ13" i="15"/>
  <c r="AJ5" i="15"/>
  <c r="AJ28" i="15"/>
  <c r="AJ20" i="15"/>
  <c r="AJ12" i="15"/>
  <c r="AJ4" i="15"/>
  <c r="AJ27" i="15"/>
  <c r="AJ19" i="15"/>
  <c r="AJ11" i="15"/>
  <c r="AJ3" i="15"/>
  <c r="AJ26" i="15"/>
  <c r="AJ18" i="15"/>
  <c r="AJ10" i="15"/>
  <c r="AJ2" i="15"/>
  <c r="AJ25" i="15"/>
  <c r="AJ17" i="15"/>
  <c r="AJ9" i="15"/>
  <c r="AJ16" i="15"/>
  <c r="AJ8" i="15"/>
  <c r="AJ6" i="15"/>
  <c r="AJ32" i="15"/>
  <c r="AJ30" i="15"/>
  <c r="AJ24" i="15"/>
  <c r="AJ22" i="15"/>
  <c r="AJ14" i="15"/>
  <c r="G12" i="14"/>
  <c r="G11" i="14"/>
  <c r="G30" i="14"/>
  <c r="BW10" i="15"/>
  <c r="BX10" i="15"/>
  <c r="BY10" i="15"/>
  <c r="BZ10" i="15"/>
  <c r="BT10" i="15"/>
  <c r="BS10" i="15"/>
  <c r="BV10" i="15"/>
  <c r="CA10" i="15"/>
  <c r="CB10" i="15"/>
  <c r="CC10" i="15"/>
  <c r="BQ10" i="15"/>
  <c r="BR10" i="15"/>
  <c r="BU10" i="15"/>
  <c r="BW18" i="15"/>
  <c r="BX18" i="15"/>
  <c r="BY18" i="15"/>
  <c r="BZ18" i="15"/>
  <c r="CB18" i="15"/>
  <c r="BS18" i="15"/>
  <c r="BT18" i="15"/>
  <c r="BQ18" i="15"/>
  <c r="BU18" i="15"/>
  <c r="BV18" i="15"/>
  <c r="CA18" i="15"/>
  <c r="BR18" i="15"/>
  <c r="CC18" i="15"/>
  <c r="BX27" i="15"/>
  <c r="BY27" i="15"/>
  <c r="BZ27" i="15"/>
  <c r="CA27" i="15"/>
  <c r="BS27" i="15"/>
  <c r="BU27" i="15"/>
  <c r="BW27" i="15"/>
  <c r="CB27" i="15"/>
  <c r="CC27" i="15"/>
  <c r="BQ27" i="15"/>
  <c r="BT27" i="15"/>
  <c r="BV27" i="15"/>
  <c r="BR27" i="15"/>
  <c r="DD4" i="15"/>
  <c r="DN4" i="15"/>
  <c r="DO4" i="15"/>
  <c r="DL4" i="15"/>
  <c r="DH4" i="15"/>
  <c r="DM4" i="15"/>
  <c r="DI4" i="15"/>
  <c r="DP4" i="15"/>
  <c r="DJ4" i="15"/>
  <c r="DF4" i="15"/>
  <c r="DK4" i="15"/>
  <c r="DG4" i="15"/>
  <c r="DE4" i="15"/>
  <c r="DD12" i="15"/>
  <c r="DN12" i="15"/>
  <c r="DO12" i="15"/>
  <c r="DL12" i="15"/>
  <c r="DH12" i="15"/>
  <c r="DM12" i="15"/>
  <c r="DI12" i="15"/>
  <c r="DE12" i="15"/>
  <c r="DJ12" i="15"/>
  <c r="DF12" i="15"/>
  <c r="DK12" i="15"/>
  <c r="DG12" i="15"/>
  <c r="DP12" i="15"/>
  <c r="DD20" i="15"/>
  <c r="DN20" i="15"/>
  <c r="DO20" i="15"/>
  <c r="DL20" i="15"/>
  <c r="DH20" i="15"/>
  <c r="DI20" i="15"/>
  <c r="DP20" i="15"/>
  <c r="DE20" i="15"/>
  <c r="DJ20" i="15"/>
  <c r="DF20" i="15"/>
  <c r="DK20" i="15"/>
  <c r="DG20" i="15"/>
  <c r="DM20" i="15"/>
  <c r="DD28" i="15"/>
  <c r="DN28" i="15"/>
  <c r="DO28" i="15"/>
  <c r="DL28" i="15"/>
  <c r="DH28" i="15"/>
  <c r="DI28" i="15"/>
  <c r="DM28" i="15"/>
  <c r="DE28" i="15"/>
  <c r="DJ28" i="15"/>
  <c r="DF28" i="15"/>
  <c r="DK28" i="15"/>
  <c r="DG28" i="15"/>
  <c r="DP28" i="15"/>
  <c r="AT30" i="15"/>
  <c r="AT26" i="15"/>
  <c r="AT22" i="15"/>
  <c r="AT18" i="15"/>
  <c r="AT14" i="15"/>
  <c r="AT10" i="15"/>
  <c r="AT6" i="15"/>
  <c r="AT2" i="15"/>
  <c r="AT29" i="15"/>
  <c r="AT25" i="15"/>
  <c r="AT21" i="15"/>
  <c r="AT17" i="15"/>
  <c r="AT13" i="15"/>
  <c r="AT9" i="15"/>
  <c r="AT5" i="15"/>
  <c r="AT24" i="15"/>
  <c r="AT8" i="15"/>
  <c r="AT20" i="15"/>
  <c r="AT4" i="15"/>
  <c r="AT19" i="15"/>
  <c r="AT3" i="15"/>
  <c r="AT32" i="15"/>
  <c r="AT16" i="15"/>
  <c r="AT31" i="15"/>
  <c r="AT15" i="15"/>
  <c r="AT28" i="15"/>
  <c r="AT12" i="15"/>
  <c r="AT27" i="15"/>
  <c r="AT23" i="15"/>
  <c r="AT11" i="15"/>
  <c r="AT7" i="15"/>
  <c r="BB31" i="15"/>
  <c r="BB27" i="15"/>
  <c r="BB23" i="15"/>
  <c r="BB19" i="15"/>
  <c r="BB15" i="15"/>
  <c r="BB11" i="15"/>
  <c r="BB7" i="15"/>
  <c r="BB3" i="15"/>
  <c r="BB30" i="15"/>
  <c r="BB26" i="15"/>
  <c r="BB22" i="15"/>
  <c r="BB18" i="15"/>
  <c r="BB14" i="15"/>
  <c r="BB10" i="15"/>
  <c r="BB6" i="15"/>
  <c r="BB2" i="15"/>
  <c r="BB29" i="15"/>
  <c r="BB25" i="15"/>
  <c r="BB21" i="15"/>
  <c r="BB17" i="15"/>
  <c r="BB13" i="15"/>
  <c r="BB9" i="15"/>
  <c r="BB5" i="15"/>
  <c r="BB32" i="15"/>
  <c r="BB28" i="15"/>
  <c r="BB24" i="15"/>
  <c r="BB20" i="15"/>
  <c r="BB16" i="15"/>
  <c r="BB12" i="15"/>
  <c r="BB8" i="15"/>
  <c r="BB4" i="15"/>
  <c r="BJ32" i="15"/>
  <c r="BJ24" i="15"/>
  <c r="BJ16" i="15"/>
  <c r="BJ8" i="15"/>
  <c r="BJ30" i="15"/>
  <c r="BJ22" i="15"/>
  <c r="BJ14" i="15"/>
  <c r="BJ6" i="15"/>
  <c r="BJ29" i="15"/>
  <c r="BJ21" i="15"/>
  <c r="BJ13" i="15"/>
  <c r="BJ5" i="15"/>
  <c r="BJ28" i="15"/>
  <c r="BJ20" i="15"/>
  <c r="BJ12" i="15"/>
  <c r="BJ4" i="15"/>
  <c r="BJ27" i="15"/>
  <c r="BJ11" i="15"/>
  <c r="BJ25" i="15"/>
  <c r="BJ9" i="15"/>
  <c r="BJ23" i="15"/>
  <c r="BJ7" i="15"/>
  <c r="BJ19" i="15"/>
  <c r="BJ3" i="15"/>
  <c r="BJ18" i="15"/>
  <c r="BJ2" i="15"/>
  <c r="BJ17" i="15"/>
  <c r="BJ31" i="15"/>
  <c r="BJ26" i="15"/>
  <c r="BJ15" i="15"/>
  <c r="BJ10" i="15"/>
  <c r="CH29" i="15"/>
  <c r="CH21" i="15"/>
  <c r="CH13" i="15"/>
  <c r="CH5" i="15"/>
  <c r="CH28" i="15"/>
  <c r="CH20" i="15"/>
  <c r="CH12" i="15"/>
  <c r="CH4" i="15"/>
  <c r="CH27" i="15"/>
  <c r="CH19" i="15"/>
  <c r="CH11" i="15"/>
  <c r="CH3" i="15"/>
  <c r="CH26" i="15"/>
  <c r="CH18" i="15"/>
  <c r="CH10" i="15"/>
  <c r="CH2" i="15"/>
  <c r="CH24" i="15"/>
  <c r="CH8" i="15"/>
  <c r="CH22" i="15"/>
  <c r="CH6" i="15"/>
  <c r="CH17" i="15"/>
  <c r="CH32" i="15"/>
  <c r="CH16" i="15"/>
  <c r="CH15" i="15"/>
  <c r="CH9" i="15"/>
  <c r="CH7" i="15"/>
  <c r="CH31" i="15"/>
  <c r="CH30" i="15"/>
  <c r="CH25" i="15"/>
  <c r="CH23" i="15"/>
  <c r="CH14" i="15"/>
  <c r="CP25" i="15"/>
  <c r="CP17" i="15"/>
  <c r="CP9" i="15"/>
  <c r="CP32" i="15"/>
  <c r="CP24" i="15"/>
  <c r="CP16" i="15"/>
  <c r="CP8" i="15"/>
  <c r="CP31" i="15"/>
  <c r="CP23" i="15"/>
  <c r="CP15" i="15"/>
  <c r="CP7" i="15"/>
  <c r="CP30" i="15"/>
  <c r="CP22" i="15"/>
  <c r="CP14" i="15"/>
  <c r="CP6" i="15"/>
  <c r="CP29" i="15"/>
  <c r="CP21" i="15"/>
  <c r="CP13" i="15"/>
  <c r="CP5" i="15"/>
  <c r="CP28" i="15"/>
  <c r="CP20" i="15"/>
  <c r="CP12" i="15"/>
  <c r="CP4" i="15"/>
  <c r="CP3" i="15"/>
  <c r="CP2" i="15"/>
  <c r="CP27" i="15"/>
  <c r="CP26" i="15"/>
  <c r="CP18" i="15"/>
  <c r="CP10" i="15"/>
  <c r="CP19" i="15"/>
  <c r="CP11" i="15"/>
  <c r="CU30" i="15"/>
  <c r="CU22" i="15"/>
  <c r="CU14" i="15"/>
  <c r="CU6" i="15"/>
  <c r="CU29" i="15"/>
  <c r="CU21" i="15"/>
  <c r="CU13" i="15"/>
  <c r="CU5" i="15"/>
  <c r="CU28" i="15"/>
  <c r="CU20" i="15"/>
  <c r="CU12" i="15"/>
  <c r="CU4" i="15"/>
  <c r="CU27" i="15"/>
  <c r="CU19" i="15"/>
  <c r="CU11" i="15"/>
  <c r="CU3" i="15"/>
  <c r="CU26" i="15"/>
  <c r="CU18" i="15"/>
  <c r="CU10" i="15"/>
  <c r="CU2" i="15"/>
  <c r="CU25" i="15"/>
  <c r="CU17" i="15"/>
  <c r="CU9" i="15"/>
  <c r="CU8" i="15"/>
  <c r="CU7" i="15"/>
  <c r="CU32" i="15"/>
  <c r="CU31" i="15"/>
  <c r="CU24" i="15"/>
  <c r="CU23" i="15"/>
  <c r="CU15" i="15"/>
  <c r="CU16" i="15"/>
  <c r="DC30" i="15"/>
  <c r="DC22" i="15"/>
  <c r="DC14" i="15"/>
  <c r="DC6" i="15"/>
  <c r="DC29" i="15"/>
  <c r="DC21" i="15"/>
  <c r="DC13" i="15"/>
  <c r="DC5" i="15"/>
  <c r="DC28" i="15"/>
  <c r="DC20" i="15"/>
  <c r="DC12" i="15"/>
  <c r="DC4" i="15"/>
  <c r="DC27" i="15"/>
  <c r="DC19" i="15"/>
  <c r="DC11" i="15"/>
  <c r="DC3" i="15"/>
  <c r="DC26" i="15"/>
  <c r="DC18" i="15"/>
  <c r="DC10" i="15"/>
  <c r="DC2" i="15"/>
  <c r="DC25" i="15"/>
  <c r="DC17" i="15"/>
  <c r="DC9" i="15"/>
  <c r="DC16" i="15"/>
  <c r="DC15" i="15"/>
  <c r="DC8" i="15"/>
  <c r="DC7" i="15"/>
  <c r="DC32" i="15"/>
  <c r="DC31" i="15"/>
  <c r="DC23" i="15"/>
  <c r="DC24" i="15"/>
  <c r="H28" i="15"/>
  <c r="H20" i="15"/>
  <c r="H12" i="15"/>
  <c r="H4" i="15"/>
  <c r="H11" i="15"/>
  <c r="H26" i="15"/>
  <c r="H18" i="15"/>
  <c r="H10" i="15"/>
  <c r="H2" i="15"/>
  <c r="H19" i="15"/>
  <c r="H25" i="15"/>
  <c r="H17" i="15"/>
  <c r="H9" i="15"/>
  <c r="H32" i="15"/>
  <c r="H24" i="15"/>
  <c r="H16" i="15"/>
  <c r="H8" i="15"/>
  <c r="H31" i="15"/>
  <c r="H23" i="15"/>
  <c r="H15" i="15"/>
  <c r="H7" i="15"/>
  <c r="H27" i="15"/>
  <c r="H30" i="15"/>
  <c r="H22" i="15"/>
  <c r="H14" i="15"/>
  <c r="H6" i="15"/>
  <c r="H3" i="15"/>
  <c r="H29" i="15"/>
  <c r="H21" i="15"/>
  <c r="H13" i="15"/>
  <c r="H5" i="15"/>
  <c r="P32" i="15"/>
  <c r="P24" i="15"/>
  <c r="P16" i="15"/>
  <c r="P8" i="15"/>
  <c r="P30" i="15"/>
  <c r="P22" i="15"/>
  <c r="P14" i="15"/>
  <c r="P6" i="15"/>
  <c r="P29" i="15"/>
  <c r="P21" i="15"/>
  <c r="P13" i="15"/>
  <c r="P5" i="15"/>
  <c r="P28" i="15"/>
  <c r="P20" i="15"/>
  <c r="P12" i="15"/>
  <c r="P4" i="15"/>
  <c r="P27" i="15"/>
  <c r="P19" i="15"/>
  <c r="P11" i="15"/>
  <c r="P3" i="15"/>
  <c r="P26" i="15"/>
  <c r="P18" i="15"/>
  <c r="P10" i="15"/>
  <c r="P2" i="15"/>
  <c r="P25" i="15"/>
  <c r="P17" i="15"/>
  <c r="P9" i="15"/>
  <c r="P15" i="15"/>
  <c r="P7" i="15"/>
  <c r="P31" i="15"/>
  <c r="P23" i="15"/>
  <c r="AK32" i="15"/>
  <c r="AK24" i="15"/>
  <c r="AK16" i="15"/>
  <c r="AK8" i="15"/>
  <c r="AK30" i="15"/>
  <c r="AK22" i="15"/>
  <c r="AK14" i="15"/>
  <c r="AK6" i="15"/>
  <c r="AK29" i="15"/>
  <c r="AK21" i="15"/>
  <c r="AK13" i="15"/>
  <c r="AK5" i="15"/>
  <c r="AK28" i="15"/>
  <c r="AK20" i="15"/>
  <c r="AK12" i="15"/>
  <c r="AK4" i="15"/>
  <c r="AK27" i="15"/>
  <c r="AK19" i="15"/>
  <c r="AK11" i="15"/>
  <c r="AK3" i="15"/>
  <c r="AK26" i="15"/>
  <c r="AK18" i="15"/>
  <c r="AK10" i="15"/>
  <c r="AK2" i="15"/>
  <c r="AK17" i="15"/>
  <c r="AK9" i="15"/>
  <c r="AK7" i="15"/>
  <c r="AK31" i="15"/>
  <c r="AK25" i="15"/>
  <c r="AK23" i="15"/>
  <c r="AK15" i="15"/>
  <c r="G19" i="14"/>
  <c r="G10" i="14"/>
  <c r="G26" i="14"/>
  <c r="G5" i="14"/>
  <c r="AF2" i="9"/>
  <c r="Y2" i="9"/>
  <c r="B3" i="12"/>
  <c r="AA2" i="9"/>
  <c r="Z2" i="9"/>
  <c r="AH2" i="9"/>
  <c r="AD2" i="9"/>
  <c r="W2" i="9"/>
  <c r="D3" i="17"/>
  <c r="E3" i="17" s="1"/>
  <c r="X2" i="9"/>
  <c r="E8" i="17"/>
  <c r="D4" i="17"/>
  <c r="E4" i="17" s="1"/>
  <c r="AC2" i="9"/>
  <c r="I11" i="16"/>
  <c r="AG2" i="9"/>
  <c r="J11" i="16"/>
  <c r="K3" i="8"/>
  <c r="K11" i="8"/>
  <c r="K14" i="8"/>
  <c r="C11" i="16"/>
  <c r="K11" i="16"/>
  <c r="D5" i="17"/>
  <c r="K6" i="8"/>
  <c r="D11" i="16"/>
  <c r="L11" i="16"/>
  <c r="K9" i="8"/>
  <c r="K15" i="8"/>
  <c r="E11" i="16"/>
  <c r="M11" i="16"/>
  <c r="K4" i="8"/>
  <c r="K12" i="8"/>
  <c r="F11" i="16"/>
  <c r="N11" i="16"/>
  <c r="E18" i="17"/>
  <c r="K7" i="8"/>
  <c r="G11" i="16"/>
  <c r="O11" i="16"/>
  <c r="K10" i="8"/>
  <c r="K5" i="8"/>
  <c r="K13" i="8"/>
  <c r="E5" i="17" l="1"/>
  <c r="AL2" i="25"/>
  <c r="D2" i="25" s="1"/>
  <c r="Y3" i="15"/>
  <c r="Q3" i="15"/>
  <c r="V3" i="15"/>
  <c r="AC3" i="15"/>
  <c r="U3" i="15"/>
  <c r="AA3" i="15"/>
  <c r="AB3" i="15"/>
  <c r="T3" i="15"/>
  <c r="S3" i="15"/>
  <c r="Z3" i="15"/>
  <c r="X3" i="15"/>
  <c r="R3" i="15"/>
  <c r="W3" i="15"/>
  <c r="H22" i="14"/>
  <c r="I22" i="14" s="1"/>
  <c r="H6" i="14"/>
  <c r="I6" i="14" s="1"/>
  <c r="H8" i="14"/>
  <c r="I8" i="14" s="1"/>
  <c r="H21" i="14"/>
  <c r="I21" i="14" s="1"/>
  <c r="H11" i="14"/>
  <c r="I11" i="14" s="1"/>
  <c r="H16" i="14"/>
  <c r="I16" i="14" s="1"/>
  <c r="H9" i="14"/>
  <c r="I9" i="14" s="1"/>
  <c r="H20" i="14"/>
  <c r="I20" i="14" s="1"/>
  <c r="H24" i="14"/>
  <c r="I24" i="14" s="1"/>
  <c r="I12" i="14"/>
  <c r="H12" i="14"/>
  <c r="H17" i="14"/>
  <c r="I17" i="14" s="1"/>
  <c r="H29" i="14"/>
  <c r="I29" i="14" s="1"/>
  <c r="H3" i="14"/>
  <c r="I3" i="14" s="1"/>
  <c r="H5" i="14"/>
  <c r="I5" i="14" s="1"/>
  <c r="I27" i="14"/>
  <c r="H27" i="14"/>
  <c r="H26" i="14"/>
  <c r="I26" i="14" s="1"/>
  <c r="H31" i="14"/>
  <c r="I31" i="14" s="1"/>
  <c r="H18" i="14"/>
  <c r="I18" i="14" s="1"/>
  <c r="H30" i="14"/>
  <c r="I30" i="14" s="1"/>
  <c r="H10" i="14"/>
  <c r="I10" i="14" s="1"/>
  <c r="H23" i="14"/>
  <c r="I23" i="14" s="1"/>
  <c r="H32" i="14"/>
  <c r="I32" i="14" s="1"/>
  <c r="H33" i="14"/>
  <c r="I33" i="14" s="1"/>
  <c r="H14" i="14"/>
  <c r="I14" i="14" s="1"/>
  <c r="H19" i="14"/>
  <c r="I19" i="14" s="1"/>
  <c r="I28" i="14"/>
  <c r="H28" i="14"/>
  <c r="H25" i="14"/>
  <c r="I25" i="14" s="1"/>
  <c r="H7" i="14"/>
  <c r="I7" i="14" s="1"/>
  <c r="H13" i="14"/>
  <c r="I13" i="14" s="1"/>
  <c r="Z14" i="15"/>
  <c r="R14" i="15"/>
  <c r="Y14" i="15"/>
  <c r="Q14" i="15"/>
  <c r="W14" i="15"/>
  <c r="T14" i="15"/>
  <c r="V14" i="15"/>
  <c r="AB14" i="15"/>
  <c r="AC14" i="15"/>
  <c r="U14" i="15"/>
  <c r="X14" i="15"/>
  <c r="AA14" i="15"/>
  <c r="S14" i="15"/>
  <c r="AL2" i="9"/>
  <c r="D2" i="9" s="1"/>
  <c r="E2" i="17"/>
  <c r="V2" i="15" l="1"/>
  <c r="AA2" i="15"/>
  <c r="S2" i="15"/>
  <c r="X2" i="15"/>
  <c r="Z2" i="15"/>
  <c r="R2" i="15"/>
  <c r="Y2" i="15"/>
  <c r="Q2" i="15"/>
  <c r="T2" i="15"/>
  <c r="AB2" i="15"/>
  <c r="AC2" i="15"/>
  <c r="W2" i="15"/>
  <c r="U2" i="15"/>
  <c r="AB12" i="15"/>
  <c r="T12" i="15"/>
  <c r="Y12" i="15"/>
  <c r="Q12" i="15"/>
  <c r="X12" i="15"/>
  <c r="V12" i="15"/>
  <c r="W12" i="15"/>
  <c r="R12" i="15"/>
  <c r="AC12" i="15"/>
  <c r="Z12" i="15"/>
  <c r="U12" i="15"/>
  <c r="S12" i="15"/>
  <c r="AA12" i="15"/>
  <c r="Z6" i="15"/>
  <c r="R6" i="15"/>
  <c r="W6" i="15"/>
  <c r="T6" i="15"/>
  <c r="V6" i="15"/>
  <c r="AB6" i="15"/>
  <c r="AC6" i="15"/>
  <c r="U6" i="15"/>
  <c r="AA6" i="15"/>
  <c r="Y6" i="15"/>
  <c r="X6" i="15"/>
  <c r="S6" i="15"/>
  <c r="Q6" i="15"/>
  <c r="AB25" i="15"/>
  <c r="T25" i="15"/>
  <c r="AA25" i="15"/>
  <c r="S25" i="15"/>
  <c r="Z25" i="15"/>
  <c r="R25" i="15"/>
  <c r="X25" i="15"/>
  <c r="W25" i="15"/>
  <c r="AC25" i="15"/>
  <c r="V25" i="15"/>
  <c r="U25" i="15"/>
  <c r="Q25" i="15"/>
  <c r="Y25" i="15"/>
  <c r="V10" i="15"/>
  <c r="AA10" i="15"/>
  <c r="S10" i="15"/>
  <c r="Z10" i="15"/>
  <c r="R10" i="15"/>
  <c r="X10" i="15"/>
  <c r="Y10" i="15"/>
  <c r="Q10" i="15"/>
  <c r="U10" i="15"/>
  <c r="T10" i="15"/>
  <c r="AC10" i="15"/>
  <c r="W10" i="15"/>
  <c r="AB10" i="15"/>
  <c r="AC28" i="15"/>
  <c r="U28" i="15"/>
  <c r="AB28" i="15"/>
  <c r="T28" i="15"/>
  <c r="AA28" i="15"/>
  <c r="S28" i="15"/>
  <c r="Y28" i="15"/>
  <c r="Q28" i="15"/>
  <c r="X28" i="15"/>
  <c r="W28" i="15"/>
  <c r="V28" i="15"/>
  <c r="R28" i="15"/>
  <c r="Z28" i="15"/>
  <c r="X21" i="15"/>
  <c r="W21" i="15"/>
  <c r="V21" i="15"/>
  <c r="AB21" i="15"/>
  <c r="T21" i="15"/>
  <c r="Y21" i="15"/>
  <c r="AA21" i="15"/>
  <c r="S21" i="15"/>
  <c r="Z21" i="15"/>
  <c r="R21" i="15"/>
  <c r="Q21" i="15"/>
  <c r="AC21" i="15"/>
  <c r="U21" i="15"/>
  <c r="U20" i="15"/>
  <c r="AB20" i="15"/>
  <c r="T20" i="15"/>
  <c r="AA20" i="15"/>
  <c r="S20" i="15"/>
  <c r="Y20" i="15"/>
  <c r="Q20" i="15"/>
  <c r="AC20" i="15"/>
  <c r="X20" i="15"/>
  <c r="V20" i="15"/>
  <c r="W20" i="15"/>
  <c r="R20" i="15"/>
  <c r="Z20" i="15"/>
  <c r="AA30" i="15"/>
  <c r="S30" i="15"/>
  <c r="Z30" i="15"/>
  <c r="R30" i="15"/>
  <c r="Y30" i="15"/>
  <c r="Q30" i="15"/>
  <c r="W30" i="15"/>
  <c r="V30" i="15"/>
  <c r="AC30" i="15"/>
  <c r="U30" i="15"/>
  <c r="AB30" i="15"/>
  <c r="T30" i="15"/>
  <c r="X30" i="15"/>
  <c r="V23" i="15"/>
  <c r="AC23" i="15"/>
  <c r="U23" i="15"/>
  <c r="AB23" i="15"/>
  <c r="T23" i="15"/>
  <c r="Z23" i="15"/>
  <c r="R23" i="15"/>
  <c r="Y23" i="15"/>
  <c r="Q23" i="15"/>
  <c r="X23" i="15"/>
  <c r="W23" i="15"/>
  <c r="AA23" i="15"/>
  <c r="S23" i="15"/>
  <c r="AA22" i="15"/>
  <c r="S22" i="15"/>
  <c r="Z22" i="15"/>
  <c r="R22" i="15"/>
  <c r="Y22" i="15"/>
  <c r="Q22" i="15"/>
  <c r="W22" i="15"/>
  <c r="AB22" i="15"/>
  <c r="V22" i="15"/>
  <c r="AC22" i="15"/>
  <c r="U22" i="15"/>
  <c r="T22" i="15"/>
  <c r="X22" i="15"/>
  <c r="AA9" i="15"/>
  <c r="S9" i="15"/>
  <c r="X9" i="15"/>
  <c r="AC9" i="15"/>
  <c r="W9" i="15"/>
  <c r="U9" i="15"/>
  <c r="V9" i="15"/>
  <c r="T9" i="15"/>
  <c r="Q9" i="15"/>
  <c r="AB9" i="15"/>
  <c r="Z9" i="15"/>
  <c r="R9" i="15"/>
  <c r="Y9" i="15"/>
  <c r="W18" i="15"/>
  <c r="V18" i="15"/>
  <c r="AC18" i="15"/>
  <c r="U18" i="15"/>
  <c r="AA18" i="15"/>
  <c r="S18" i="15"/>
  <c r="Z18" i="15"/>
  <c r="R18" i="15"/>
  <c r="Y18" i="15"/>
  <c r="Q18" i="15"/>
  <c r="X18" i="15"/>
  <c r="AB18" i="15"/>
  <c r="T18" i="15"/>
  <c r="W13" i="15"/>
  <c r="AB13" i="15"/>
  <c r="T13" i="15"/>
  <c r="AA13" i="15"/>
  <c r="S13" i="15"/>
  <c r="Z13" i="15"/>
  <c r="R13" i="15"/>
  <c r="Y13" i="15"/>
  <c r="Q13" i="15"/>
  <c r="X13" i="15"/>
  <c r="V13" i="15"/>
  <c r="AC13" i="15"/>
  <c r="U13" i="15"/>
  <c r="Y19" i="15"/>
  <c r="Q19" i="15"/>
  <c r="X19" i="15"/>
  <c r="V19" i="15"/>
  <c r="S19" i="15"/>
  <c r="AC19" i="15"/>
  <c r="U19" i="15"/>
  <c r="Z19" i="15"/>
  <c r="AB19" i="15"/>
  <c r="T19" i="15"/>
  <c r="AA19" i="15"/>
  <c r="W19" i="15"/>
  <c r="R19" i="15"/>
  <c r="Y32" i="15"/>
  <c r="Q32" i="15"/>
  <c r="X32" i="15"/>
  <c r="W32" i="15"/>
  <c r="AC32" i="15"/>
  <c r="U32" i="15"/>
  <c r="AB32" i="15"/>
  <c r="T32" i="15"/>
  <c r="R32" i="15"/>
  <c r="AA32" i="15"/>
  <c r="S32" i="15"/>
  <c r="Z32" i="15"/>
  <c r="V32" i="15"/>
  <c r="Z27" i="15"/>
  <c r="R27" i="15"/>
  <c r="Y27" i="15"/>
  <c r="Q27" i="15"/>
  <c r="X27" i="15"/>
  <c r="V27" i="15"/>
  <c r="S27" i="15"/>
  <c r="AC27" i="15"/>
  <c r="U27" i="15"/>
  <c r="AB27" i="15"/>
  <c r="T27" i="15"/>
  <c r="AA27" i="15"/>
  <c r="W27" i="15"/>
  <c r="V31" i="15"/>
  <c r="AC31" i="15"/>
  <c r="U31" i="15"/>
  <c r="AB31" i="15"/>
  <c r="T31" i="15"/>
  <c r="Z31" i="15"/>
  <c r="R31" i="15"/>
  <c r="W31" i="15"/>
  <c r="Y31" i="15"/>
  <c r="Q31" i="15"/>
  <c r="X31" i="15"/>
  <c r="AA31" i="15"/>
  <c r="S31" i="15"/>
  <c r="T17" i="15"/>
  <c r="AA17" i="15"/>
  <c r="S17" i="15"/>
  <c r="Z17" i="15"/>
  <c r="R17" i="15"/>
  <c r="X17" i="15"/>
  <c r="W17" i="15"/>
  <c r="U17" i="15"/>
  <c r="V17" i="15"/>
  <c r="AC17" i="15"/>
  <c r="AB17" i="15"/>
  <c r="Y17" i="15"/>
  <c r="Q17" i="15"/>
  <c r="AB4" i="15"/>
  <c r="T4" i="15"/>
  <c r="Y4" i="15"/>
  <c r="Q4" i="15"/>
  <c r="X4" i="15"/>
  <c r="W4" i="15"/>
  <c r="V4" i="15"/>
  <c r="U4" i="15"/>
  <c r="R4" i="15"/>
  <c r="S4" i="15"/>
  <c r="AC4" i="15"/>
  <c r="AA4" i="15"/>
  <c r="Z4" i="15"/>
  <c r="Y11" i="15"/>
  <c r="Q11" i="15"/>
  <c r="V11" i="15"/>
  <c r="AA11" i="15"/>
  <c r="AC11" i="15"/>
  <c r="U11" i="15"/>
  <c r="AB11" i="15"/>
  <c r="T11" i="15"/>
  <c r="S11" i="15"/>
  <c r="Z11" i="15"/>
  <c r="X11" i="15"/>
  <c r="R11" i="15"/>
  <c r="W11" i="15"/>
  <c r="AC15" i="15"/>
  <c r="U15" i="15"/>
  <c r="AB15" i="15"/>
  <c r="T15" i="15"/>
  <c r="Z15" i="15"/>
  <c r="R15" i="15"/>
  <c r="W15" i="15"/>
  <c r="Y15" i="15"/>
  <c r="Q15" i="15"/>
  <c r="X15" i="15"/>
  <c r="AA15" i="15"/>
  <c r="V15" i="15"/>
  <c r="S15" i="15"/>
  <c r="W5" i="15"/>
  <c r="AB5" i="15"/>
  <c r="T5" i="15"/>
  <c r="Q5" i="15"/>
  <c r="AA5" i="15"/>
  <c r="S5" i="15"/>
  <c r="Z5" i="15"/>
  <c r="R5" i="15"/>
  <c r="Y5" i="15"/>
  <c r="V5" i="15"/>
  <c r="U5" i="15"/>
  <c r="AC5" i="15"/>
  <c r="X5" i="15"/>
  <c r="Y24" i="15"/>
  <c r="Q24" i="15"/>
  <c r="X24" i="15"/>
  <c r="W24" i="15"/>
  <c r="AC24" i="15"/>
  <c r="U24" i="15"/>
  <c r="Z24" i="15"/>
  <c r="AB24" i="15"/>
  <c r="T24" i="15"/>
  <c r="AA24" i="15"/>
  <c r="S24" i="15"/>
  <c r="R24" i="15"/>
  <c r="V24" i="15"/>
  <c r="W26" i="15"/>
  <c r="V26" i="15"/>
  <c r="AC26" i="15"/>
  <c r="U26" i="15"/>
  <c r="AA26" i="15"/>
  <c r="S26" i="15"/>
  <c r="Z26" i="15"/>
  <c r="R26" i="15"/>
  <c r="Y26" i="15"/>
  <c r="Q26" i="15"/>
  <c r="X26" i="15"/>
  <c r="AB26" i="15"/>
  <c r="T26" i="15"/>
  <c r="Y16" i="15"/>
  <c r="X16" i="15"/>
  <c r="W16" i="15"/>
  <c r="AC16" i="15"/>
  <c r="U16" i="15"/>
  <c r="Z16" i="15"/>
  <c r="AB16" i="15"/>
  <c r="T16" i="15"/>
  <c r="AA16" i="15"/>
  <c r="S16" i="15"/>
  <c r="R16" i="15"/>
  <c r="Q16" i="15"/>
  <c r="V16" i="15"/>
  <c r="X29" i="15"/>
  <c r="W29" i="15"/>
  <c r="V29" i="15"/>
  <c r="AB29" i="15"/>
  <c r="T29" i="15"/>
  <c r="Q29" i="15"/>
  <c r="AA29" i="15"/>
  <c r="S29" i="15"/>
  <c r="Z29" i="15"/>
  <c r="R29" i="15"/>
  <c r="Y29" i="15"/>
  <c r="AC29" i="15"/>
  <c r="U29" i="15"/>
  <c r="X8" i="15"/>
  <c r="AC8" i="15"/>
  <c r="U8" i="15"/>
  <c r="R8" i="15"/>
  <c r="AB8" i="15"/>
  <c r="T8" i="15"/>
  <c r="AA8" i="15"/>
  <c r="S8" i="15"/>
  <c r="Z8" i="15"/>
  <c r="Y8" i="15"/>
  <c r="W8" i="15"/>
  <c r="Q8" i="15"/>
  <c r="V8" i="15"/>
  <c r="AC7" i="15"/>
  <c r="U7" i="15"/>
  <c r="Z7" i="15"/>
  <c r="R7" i="15"/>
  <c r="Y7" i="15"/>
  <c r="Q7" i="15"/>
  <c r="X7" i="15"/>
  <c r="W7" i="15"/>
  <c r="S7" i="15"/>
  <c r="AA7" i="15"/>
  <c r="T7" i="15"/>
  <c r="AB7" i="15"/>
  <c r="V7" i="15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Wen Zheng</author>
  </authors>
  <commentList>
    <comment ref="F2" authorId="0" shapeId="0" xr:uid="{C6122FEA-E44F-4A90-A552-C2CFA87D6A27}">
      <text>
        <r>
          <rPr>
            <b/>
            <sz val="9"/>
            <color indexed="81"/>
            <rFont val="宋体"/>
            <family val="3"/>
            <charset val="134"/>
          </rPr>
          <t>Wen Zheng:</t>
        </r>
        <r>
          <rPr>
            <sz val="9"/>
            <color indexed="81"/>
            <rFont val="宋体"/>
            <family val="3"/>
            <charset val="134"/>
          </rPr>
          <t xml:space="preserve">
参考文献2008年全国警察数为190万，但这里只取年龄结构，未取总数</t>
        </r>
      </text>
    </comment>
  </commentList>
</comments>
</file>

<file path=xl/sharedStrings.xml><?xml version="1.0" encoding="utf-8"?>
<sst xmlns="http://schemas.openxmlformats.org/spreadsheetml/2006/main" count="2461" uniqueCount="783">
  <si>
    <t>No</t>
  </si>
  <si>
    <t>province_CN</t>
  </si>
  <si>
    <t>province</t>
  </si>
  <si>
    <t>Health, social security and social services</t>
  </si>
  <si>
    <t>Data_source</t>
  </si>
  <si>
    <r>
      <rPr>
        <sz val="12"/>
        <color theme="1"/>
        <rFont val="等线"/>
        <family val="3"/>
        <charset val="134"/>
      </rPr>
      <t>北京</t>
    </r>
  </si>
  <si>
    <t>Beijing</t>
  </si>
  <si>
    <t>China Economic Census Yearbook 2018</t>
  </si>
  <si>
    <r>
      <rPr>
        <sz val="12"/>
        <color theme="1"/>
        <rFont val="等线"/>
        <family val="3"/>
        <charset val="134"/>
      </rPr>
      <t>天津</t>
    </r>
  </si>
  <si>
    <t>Tianjin</t>
  </si>
  <si>
    <r>
      <rPr>
        <sz val="12"/>
        <color theme="1"/>
        <rFont val="等线"/>
        <family val="3"/>
        <charset val="134"/>
      </rPr>
      <t>河北</t>
    </r>
  </si>
  <si>
    <t>Hebei</t>
  </si>
  <si>
    <r>
      <rPr>
        <sz val="12"/>
        <color theme="1"/>
        <rFont val="等线"/>
        <family val="3"/>
        <charset val="134"/>
      </rPr>
      <t>山西</t>
    </r>
  </si>
  <si>
    <t>Shanxi</t>
  </si>
  <si>
    <r>
      <rPr>
        <sz val="12"/>
        <color theme="1"/>
        <rFont val="等线"/>
        <family val="3"/>
        <charset val="134"/>
      </rPr>
      <t>内蒙古</t>
    </r>
  </si>
  <si>
    <t>Inner Mongolia</t>
  </si>
  <si>
    <r>
      <rPr>
        <sz val="12"/>
        <color theme="1"/>
        <rFont val="等线"/>
        <family val="3"/>
        <charset val="134"/>
      </rPr>
      <t>辽宁</t>
    </r>
  </si>
  <si>
    <t>Liaoning</t>
  </si>
  <si>
    <r>
      <rPr>
        <sz val="12"/>
        <color theme="1"/>
        <rFont val="等线"/>
        <family val="3"/>
        <charset val="134"/>
      </rPr>
      <t>吉林</t>
    </r>
  </si>
  <si>
    <t>Jilin</t>
  </si>
  <si>
    <r>
      <rPr>
        <sz val="12"/>
        <color theme="1"/>
        <rFont val="等线"/>
        <family val="3"/>
        <charset val="134"/>
      </rPr>
      <t>黑龙江</t>
    </r>
  </si>
  <si>
    <t>Heilongjiang</t>
  </si>
  <si>
    <r>
      <rPr>
        <sz val="12"/>
        <color theme="1"/>
        <rFont val="等线"/>
        <family val="3"/>
        <charset val="134"/>
      </rPr>
      <t>上海</t>
    </r>
  </si>
  <si>
    <t>Shanghai</t>
  </si>
  <si>
    <r>
      <rPr>
        <sz val="12"/>
        <color theme="1"/>
        <rFont val="等线"/>
        <family val="3"/>
        <charset val="134"/>
      </rPr>
      <t>江苏</t>
    </r>
  </si>
  <si>
    <t>Jiangsu</t>
  </si>
  <si>
    <r>
      <rPr>
        <sz val="12"/>
        <color theme="1"/>
        <rFont val="等线"/>
        <family val="3"/>
        <charset val="134"/>
      </rPr>
      <t>浙江</t>
    </r>
  </si>
  <si>
    <t>Zhejiang</t>
  </si>
  <si>
    <r>
      <rPr>
        <sz val="12"/>
        <color theme="1"/>
        <rFont val="等线"/>
        <family val="3"/>
        <charset val="134"/>
      </rPr>
      <t>安徽</t>
    </r>
  </si>
  <si>
    <t>Anhui</t>
  </si>
  <si>
    <r>
      <rPr>
        <sz val="12"/>
        <color theme="1"/>
        <rFont val="等线"/>
        <family val="3"/>
        <charset val="134"/>
      </rPr>
      <t>福建</t>
    </r>
  </si>
  <si>
    <t>Fujian</t>
  </si>
  <si>
    <r>
      <rPr>
        <sz val="12"/>
        <color theme="1"/>
        <rFont val="等线"/>
        <family val="3"/>
        <charset val="134"/>
      </rPr>
      <t>江西</t>
    </r>
  </si>
  <si>
    <t>Jiangxi</t>
  </si>
  <si>
    <r>
      <rPr>
        <sz val="12"/>
        <color theme="1"/>
        <rFont val="等线"/>
        <family val="3"/>
        <charset val="134"/>
      </rPr>
      <t>山东</t>
    </r>
  </si>
  <si>
    <t>Shandong</t>
  </si>
  <si>
    <r>
      <rPr>
        <sz val="12"/>
        <color theme="1"/>
        <rFont val="等线"/>
        <family val="3"/>
        <charset val="134"/>
      </rPr>
      <t>河南</t>
    </r>
  </si>
  <si>
    <t>Henan</t>
  </si>
  <si>
    <r>
      <rPr>
        <sz val="12"/>
        <color theme="1"/>
        <rFont val="等线"/>
        <family val="3"/>
        <charset val="134"/>
      </rPr>
      <t>湖北</t>
    </r>
  </si>
  <si>
    <t>Hubei</t>
  </si>
  <si>
    <r>
      <rPr>
        <sz val="12"/>
        <color theme="1"/>
        <rFont val="等线"/>
        <family val="3"/>
        <charset val="134"/>
      </rPr>
      <t>湖南</t>
    </r>
  </si>
  <si>
    <t>Hunan</t>
  </si>
  <si>
    <r>
      <rPr>
        <sz val="12"/>
        <color theme="1"/>
        <rFont val="等线"/>
        <family val="3"/>
        <charset val="134"/>
      </rPr>
      <t>广东</t>
    </r>
  </si>
  <si>
    <t>Guangdong</t>
  </si>
  <si>
    <r>
      <rPr>
        <sz val="12"/>
        <color theme="1"/>
        <rFont val="等线"/>
        <family val="3"/>
        <charset val="134"/>
      </rPr>
      <t>广西</t>
    </r>
  </si>
  <si>
    <t>Guangxi</t>
  </si>
  <si>
    <r>
      <rPr>
        <sz val="12"/>
        <color theme="1"/>
        <rFont val="等线"/>
        <family val="3"/>
        <charset val="134"/>
      </rPr>
      <t>海南</t>
    </r>
  </si>
  <si>
    <t>Hainan</t>
  </si>
  <si>
    <r>
      <rPr>
        <sz val="12"/>
        <color theme="1"/>
        <rFont val="等线"/>
        <family val="3"/>
        <charset val="134"/>
      </rPr>
      <t>重庆</t>
    </r>
  </si>
  <si>
    <t>Chongqing</t>
  </si>
  <si>
    <r>
      <rPr>
        <sz val="12"/>
        <color theme="1"/>
        <rFont val="等线"/>
        <family val="3"/>
        <charset val="134"/>
      </rPr>
      <t>四川</t>
    </r>
  </si>
  <si>
    <t>Sichuan</t>
  </si>
  <si>
    <r>
      <rPr>
        <sz val="12"/>
        <color theme="1"/>
        <rFont val="等线"/>
        <family val="3"/>
        <charset val="134"/>
      </rPr>
      <t>贵州</t>
    </r>
  </si>
  <si>
    <t>Guizhou</t>
  </si>
  <si>
    <r>
      <rPr>
        <sz val="12"/>
        <color theme="1"/>
        <rFont val="等线"/>
        <family val="3"/>
        <charset val="134"/>
      </rPr>
      <t>云南</t>
    </r>
  </si>
  <si>
    <r>
      <rPr>
        <sz val="12"/>
        <color theme="1"/>
        <rFont val="等线"/>
        <family val="3"/>
        <charset val="134"/>
      </rPr>
      <t>西藏</t>
    </r>
  </si>
  <si>
    <t>Tibet</t>
  </si>
  <si>
    <r>
      <rPr>
        <sz val="12"/>
        <color theme="1"/>
        <rFont val="等线"/>
        <family val="3"/>
        <charset val="134"/>
      </rPr>
      <t>陕西</t>
    </r>
  </si>
  <si>
    <t>Shaanxi</t>
  </si>
  <si>
    <r>
      <rPr>
        <sz val="12"/>
        <color theme="1"/>
        <rFont val="等线"/>
        <family val="3"/>
        <charset val="134"/>
      </rPr>
      <t>甘肃</t>
    </r>
  </si>
  <si>
    <t>Gansu</t>
  </si>
  <si>
    <r>
      <rPr>
        <sz val="12"/>
        <color theme="1"/>
        <rFont val="等线"/>
        <family val="3"/>
        <charset val="134"/>
      </rPr>
      <t>青海</t>
    </r>
  </si>
  <si>
    <t>Qinghai</t>
  </si>
  <si>
    <r>
      <rPr>
        <sz val="12"/>
        <color theme="1"/>
        <rFont val="等线"/>
        <family val="3"/>
        <charset val="134"/>
      </rPr>
      <t>宁夏</t>
    </r>
  </si>
  <si>
    <t>Ningxia</t>
  </si>
  <si>
    <r>
      <rPr>
        <sz val="12"/>
        <color theme="1"/>
        <rFont val="等线"/>
        <family val="3"/>
        <charset val="134"/>
      </rPr>
      <t>新疆</t>
    </r>
  </si>
  <si>
    <t>Xinjiang</t>
  </si>
  <si>
    <t>URL</t>
  </si>
  <si>
    <t>Community workers</t>
  </si>
  <si>
    <t>Agricultural and sideline food processing industry</t>
  </si>
  <si>
    <t>Food manufacturing industry</t>
  </si>
  <si>
    <t>Grocery store staff</t>
  </si>
  <si>
    <t>Convenience store staff</t>
  </si>
  <si>
    <t>Supermarket staff</t>
  </si>
  <si>
    <t>Large supermarket staff</t>
  </si>
  <si>
    <t>Retail</t>
  </si>
  <si>
    <t>The production and supply of electricity, heat, gas and water industry</t>
  </si>
  <si>
    <t>Personnel in the production and supply of electricity and heat</t>
  </si>
  <si>
    <t>Personnel in the production and supply of gas</t>
  </si>
  <si>
    <t>Personnel in the production and supply of water</t>
  </si>
  <si>
    <t>Transportation, storage and postal services</t>
  </si>
  <si>
    <t>Railway transportation staff</t>
  </si>
  <si>
    <t>Road transportation staff</t>
  </si>
  <si>
    <t>Water transportation staff</t>
  </si>
  <si>
    <t>Air transport industry staff</t>
  </si>
  <si>
    <t>Pipeline transportation  staff</t>
  </si>
  <si>
    <t>Multimodal transport and transport agency industry  staff</t>
  </si>
  <si>
    <t>Handling and warehousing staff</t>
  </si>
  <si>
    <t>Postal industry</t>
  </si>
  <si>
    <t>aged organization staff</t>
  </si>
  <si>
    <t>social welfare hospital</t>
  </si>
  <si>
    <t>nursing</t>
  </si>
  <si>
    <t>China Civil Affairs Statistical Yearbook 2019</t>
  </si>
  <si>
    <t>hcw16_19</t>
  </si>
  <si>
    <t>hcw20_24</t>
  </si>
  <si>
    <t>hcw25_29</t>
  </si>
  <si>
    <t>hcw30_34</t>
  </si>
  <si>
    <t>hcw35_39</t>
  </si>
  <si>
    <t>hcw40_44</t>
  </si>
  <si>
    <t>hcw45_49</t>
  </si>
  <si>
    <t>hcw50_54</t>
  </si>
  <si>
    <t>hcw55_59</t>
  </si>
  <si>
    <t>hcw60_64</t>
  </si>
  <si>
    <t>hcw65_69</t>
  </si>
  <si>
    <t>hcw70_74</t>
  </si>
  <si>
    <t>hcw75</t>
  </si>
  <si>
    <t>law16_19</t>
  </si>
  <si>
    <t>law20_24</t>
  </si>
  <si>
    <t>law25_29</t>
  </si>
  <si>
    <t>law30_34</t>
  </si>
  <si>
    <t>law35_39</t>
  </si>
  <si>
    <t>law40_44</t>
  </si>
  <si>
    <t>law45_49</t>
  </si>
  <si>
    <t>law50_54</t>
  </si>
  <si>
    <t>law55_59</t>
  </si>
  <si>
    <t>law60_64</t>
  </si>
  <si>
    <t>law65_69</t>
  </si>
  <si>
    <t>law70_74</t>
  </si>
  <si>
    <t>law75</t>
  </si>
  <si>
    <t>community16_19</t>
  </si>
  <si>
    <t>community20_24</t>
  </si>
  <si>
    <t>community25_29</t>
  </si>
  <si>
    <t>community30_34</t>
  </si>
  <si>
    <t>community35_39</t>
  </si>
  <si>
    <t>community40_44</t>
  </si>
  <si>
    <t>community45_49</t>
  </si>
  <si>
    <t>community50_54</t>
  </si>
  <si>
    <t>community55_59</t>
  </si>
  <si>
    <t>community60_64</t>
  </si>
  <si>
    <t>community65_69</t>
  </si>
  <si>
    <t>community70_74</t>
  </si>
  <si>
    <t>community75</t>
  </si>
  <si>
    <t>agriculture16_19</t>
  </si>
  <si>
    <t>agriculture20_24</t>
  </si>
  <si>
    <t>agriculture25_29</t>
  </si>
  <si>
    <t>agriculture30_34</t>
  </si>
  <si>
    <t>agriculture35_39</t>
  </si>
  <si>
    <t>agriculture40_44</t>
  </si>
  <si>
    <t>agriculture45_49</t>
  </si>
  <si>
    <t>agriculture50_54</t>
  </si>
  <si>
    <t>agriculture55_59</t>
  </si>
  <si>
    <t>agriculture60_64</t>
  </si>
  <si>
    <t>agriculture65_69</t>
  </si>
  <si>
    <t>agriculture70_74</t>
  </si>
  <si>
    <t>agriculture75</t>
  </si>
  <si>
    <t>food16_19</t>
  </si>
  <si>
    <t>food20_24</t>
  </si>
  <si>
    <t>food25_29</t>
  </si>
  <si>
    <t>food30_34</t>
  </si>
  <si>
    <t>food35_39</t>
  </si>
  <si>
    <t>food40_44</t>
  </si>
  <si>
    <t>food45_49</t>
  </si>
  <si>
    <t>food50_54</t>
  </si>
  <si>
    <t>food55_59</t>
  </si>
  <si>
    <t>food60_64</t>
  </si>
  <si>
    <t>food65_69</t>
  </si>
  <si>
    <t>food70_74</t>
  </si>
  <si>
    <t>food75</t>
  </si>
  <si>
    <t>retail16_19</t>
  </si>
  <si>
    <t>retail20_24</t>
  </si>
  <si>
    <t>retail25_29</t>
  </si>
  <si>
    <t>retail30_34</t>
  </si>
  <si>
    <t>retail35_39</t>
  </si>
  <si>
    <t>retail40_44</t>
  </si>
  <si>
    <t>retail45_49</t>
  </si>
  <si>
    <t>retail50_54</t>
  </si>
  <si>
    <t>retail55_59</t>
  </si>
  <si>
    <t>retail60_64</t>
  </si>
  <si>
    <t>retail65_69</t>
  </si>
  <si>
    <t>retail70_74</t>
  </si>
  <si>
    <t>retail75</t>
  </si>
  <si>
    <t>electricity16_19</t>
  </si>
  <si>
    <t>electricity20_24</t>
  </si>
  <si>
    <t>electricity25_29</t>
  </si>
  <si>
    <t>electricity30_34</t>
  </si>
  <si>
    <t>electricity35_39</t>
  </si>
  <si>
    <t>electricity40_44</t>
  </si>
  <si>
    <t>electricity45_49</t>
  </si>
  <si>
    <t>electricity50_54</t>
  </si>
  <si>
    <t>electricity55_59</t>
  </si>
  <si>
    <t>electricity60_64</t>
  </si>
  <si>
    <t>electricity65_69</t>
  </si>
  <si>
    <t>electricity70_74</t>
  </si>
  <si>
    <t>electricity75</t>
  </si>
  <si>
    <t>transport16_19</t>
  </si>
  <si>
    <t>transport20_24</t>
  </si>
  <si>
    <t>transport25_29</t>
  </si>
  <si>
    <t>transport30_34</t>
  </si>
  <si>
    <t>transport35_39</t>
  </si>
  <si>
    <t>transport40_44</t>
  </si>
  <si>
    <t>transport45_49</t>
  </si>
  <si>
    <t>transport50_54</t>
  </si>
  <si>
    <t>transport55_59</t>
  </si>
  <si>
    <t>transport60_64</t>
  </si>
  <si>
    <t>transport65_69</t>
  </si>
  <si>
    <t>transport70_74</t>
  </si>
  <si>
    <t>transport75</t>
  </si>
  <si>
    <t>nursing16_19</t>
  </si>
  <si>
    <t>nursing20_24</t>
  </si>
  <si>
    <t>nursing25_29</t>
  </si>
  <si>
    <t>nursing30_34</t>
  </si>
  <si>
    <t>nursing35_39</t>
  </si>
  <si>
    <t>nursing40_44</t>
  </si>
  <si>
    <t>nursing45_49</t>
  </si>
  <si>
    <t>nursing50_54</t>
  </si>
  <si>
    <t>nursing55_59</t>
  </si>
  <si>
    <t>nursing60_64</t>
  </si>
  <si>
    <t>nursing65_69</t>
  </si>
  <si>
    <t>nursing70_74</t>
  </si>
  <si>
    <t>nursing75</t>
  </si>
  <si>
    <t>Age</t>
  </si>
  <si>
    <t>Total</t>
  </si>
  <si>
    <t>16_19yrs</t>
  </si>
  <si>
    <t>20_24yrs</t>
  </si>
  <si>
    <t>25_29yrs</t>
  </si>
  <si>
    <t>30_34yrs</t>
  </si>
  <si>
    <t>35_39yrs</t>
  </si>
  <si>
    <t>40_44yrs</t>
  </si>
  <si>
    <t>45_49yrs</t>
  </si>
  <si>
    <t>50_54yrs</t>
  </si>
  <si>
    <t>55_59yrs</t>
  </si>
  <si>
    <t>60_64yrs</t>
  </si>
  <si>
    <t>65_69yrs</t>
  </si>
  <si>
    <t>70_74yrs</t>
  </si>
  <si>
    <t>75+yrs</t>
  </si>
  <si>
    <t>Agricultural and sideline products processing industry_population number in 2010 census</t>
  </si>
  <si>
    <t xml:space="preserve">Agricultural and sideline products processing industry_proportion </t>
  </si>
  <si>
    <t>Food manufacturing industry_population number in 2010 census</t>
  </si>
  <si>
    <t xml:space="preserve">Food manufacturing industry_proportion </t>
  </si>
  <si>
    <t>Retail workers_population number in 2010 census</t>
  </si>
  <si>
    <t>Retail workers_proportion</t>
  </si>
  <si>
    <t>Production and supply of electricity, heat, gas and water_population number in 2010 census</t>
  </si>
  <si>
    <t>Production and supply of electricity, heat, gas and water_proportion</t>
  </si>
  <si>
    <t>Production and supply of electricity and heat_population number in 2010 census</t>
  </si>
  <si>
    <t>Production and supply of electricity and heat_proportion</t>
  </si>
  <si>
    <t>Production and supply of gas_population number in 2010 census</t>
  </si>
  <si>
    <t>Production and supply of gas_proportion</t>
  </si>
  <si>
    <t>Production and supply of water_population number in 2010 census</t>
  </si>
  <si>
    <t>Production and supply of water_proportion</t>
  </si>
  <si>
    <t>Transportation related industry_population number in 2010 census</t>
  </si>
  <si>
    <t>Transportation related industry_proportion</t>
  </si>
  <si>
    <t>Railway transportationindustry_population number in 2010 census</t>
  </si>
  <si>
    <t>Railway transportation industry_proportion</t>
  </si>
  <si>
    <t>Road transportation industry_population number in 2010 census</t>
  </si>
  <si>
    <t>Road transportation industry_proportion</t>
  </si>
  <si>
    <t>Water transportation industry_population number in 2010 census</t>
  </si>
  <si>
    <t>Water transportation industry_proportion</t>
  </si>
  <si>
    <t>Air transport industry industry_population number in 2010 census</t>
  </si>
  <si>
    <t>Air transport industry_proportion</t>
  </si>
  <si>
    <t>Pipeline transportation  industry_population number in 2010 census</t>
  </si>
  <si>
    <t>Pipeline transportation industry_proportion</t>
  </si>
  <si>
    <t>Warehousing industry_population number in 2010 census</t>
  </si>
  <si>
    <t>Warehousing industry_proportion</t>
  </si>
  <si>
    <t>Postal Service industry_population number in 2010 census</t>
  </si>
  <si>
    <t>Postal Service industry_proportion</t>
  </si>
  <si>
    <t>Healthcare workers_population number in 2010 census</t>
  </si>
  <si>
    <t>Healthcare workers_proportion</t>
  </si>
  <si>
    <t>Community workers_proportion</t>
  </si>
  <si>
    <t>Social welfare industry_population number in 2010 census</t>
  </si>
  <si>
    <t>Social welfare industry_proportion</t>
  </si>
  <si>
    <t>Military_population number in 2010 census</t>
  </si>
  <si>
    <t>Military_proportion</t>
  </si>
  <si>
    <t>age0</t>
  </si>
  <si>
    <t>age1_4</t>
  </si>
  <si>
    <t>age5_5</t>
  </si>
  <si>
    <t>age0_14</t>
  </si>
  <si>
    <t>age15_64</t>
  </si>
  <si>
    <t>age65</t>
  </si>
  <si>
    <t>age0_4</t>
  </si>
  <si>
    <t>age5_9</t>
  </si>
  <si>
    <t>age10_14</t>
  </si>
  <si>
    <t>age15_19</t>
  </si>
  <si>
    <t>age20_24</t>
  </si>
  <si>
    <t>age25_29</t>
  </si>
  <si>
    <t>age30_34</t>
  </si>
  <si>
    <t>age35_39</t>
  </si>
  <si>
    <t>age40_44</t>
  </si>
  <si>
    <t>age45_49</t>
  </si>
  <si>
    <t>age50_54</t>
  </si>
  <si>
    <t>age55_59</t>
  </si>
  <si>
    <t>age60_64</t>
  </si>
  <si>
    <t>age65_69</t>
  </si>
  <si>
    <t>age70_74</t>
  </si>
  <si>
    <t>age75_79</t>
  </si>
  <si>
    <t>age80_84</t>
  </si>
  <si>
    <t>age85</t>
  </si>
  <si>
    <t>age85_89</t>
  </si>
  <si>
    <t>age90_94</t>
  </si>
  <si>
    <t>age95_99</t>
  </si>
  <si>
    <t>age100</t>
  </si>
  <si>
    <r>
      <rPr>
        <sz val="11"/>
        <color theme="1"/>
        <rFont val="等线"/>
        <family val="3"/>
        <charset val="134"/>
      </rPr>
      <t>北京</t>
    </r>
  </si>
  <si>
    <t>Beijing Statistical Yearbook 2019</t>
  </si>
  <si>
    <t>http://nj.tjj.beijing.gov.cn/nj/main/2019-tjnj/zk/indexce.htm</t>
  </si>
  <si>
    <r>
      <rPr>
        <sz val="11"/>
        <color theme="1"/>
        <rFont val="等线"/>
        <family val="3"/>
        <charset val="134"/>
      </rPr>
      <t>天津</t>
    </r>
  </si>
  <si>
    <t>1. Tianjin Statistical Yearbook 2019
2. Tabulation the 2010 Population Census of the People's Republic of China</t>
  </si>
  <si>
    <t>http://stats.tj.gov.cn/nianjian/2019nj/zk/indexch.htm</t>
  </si>
  <si>
    <r>
      <rPr>
        <sz val="11"/>
        <color theme="1"/>
        <rFont val="等线"/>
        <family val="3"/>
        <charset val="134"/>
      </rPr>
      <t>河北</t>
    </r>
  </si>
  <si>
    <t>Tabulation the 2010 Population Census of the People's Republic of China</t>
  </si>
  <si>
    <r>
      <rPr>
        <sz val="11"/>
        <color theme="1"/>
        <rFont val="等线"/>
        <family val="3"/>
        <charset val="134"/>
      </rPr>
      <t>山西</t>
    </r>
  </si>
  <si>
    <t>1. Shanxi Statistical Yearbook 2019
2. Tabulation the 2010 Population Census of the People's Republic of China</t>
  </si>
  <si>
    <t>http://tjj.shanxi.gov.cn/tjsj/tjnj/nj2019/indexch.htm</t>
  </si>
  <si>
    <r>
      <rPr>
        <sz val="11"/>
        <color theme="1"/>
        <rFont val="等线"/>
        <family val="3"/>
        <charset val="134"/>
      </rPr>
      <t>内蒙古</t>
    </r>
  </si>
  <si>
    <r>
      <rPr>
        <sz val="11"/>
        <color theme="1"/>
        <rFont val="等线"/>
        <family val="3"/>
        <charset val="134"/>
      </rPr>
      <t>辽宁</t>
    </r>
  </si>
  <si>
    <r>
      <rPr>
        <sz val="11"/>
        <color theme="1"/>
        <rFont val="等线"/>
        <family val="3"/>
        <charset val="134"/>
      </rPr>
      <t>吉林</t>
    </r>
  </si>
  <si>
    <r>
      <rPr>
        <sz val="11"/>
        <color theme="1"/>
        <rFont val="等线"/>
        <family val="3"/>
        <charset val="134"/>
      </rPr>
      <t>黑龙江</t>
    </r>
  </si>
  <si>
    <r>
      <rPr>
        <sz val="11"/>
        <color theme="1"/>
        <rFont val="等线"/>
        <family val="3"/>
        <charset val="134"/>
      </rPr>
      <t>上海</t>
    </r>
  </si>
  <si>
    <r>
      <rPr>
        <sz val="11"/>
        <color theme="1"/>
        <rFont val="等线"/>
        <family val="3"/>
        <charset val="134"/>
      </rPr>
      <t>江苏</t>
    </r>
  </si>
  <si>
    <r>
      <rPr>
        <sz val="11"/>
        <color theme="1"/>
        <rFont val="等线"/>
        <family val="3"/>
        <charset val="134"/>
      </rPr>
      <t>浙江</t>
    </r>
  </si>
  <si>
    <r>
      <rPr>
        <sz val="11"/>
        <color theme="1"/>
        <rFont val="等线"/>
        <family val="3"/>
        <charset val="134"/>
      </rPr>
      <t>安徽</t>
    </r>
  </si>
  <si>
    <r>
      <rPr>
        <sz val="11"/>
        <color theme="1"/>
        <rFont val="等线"/>
        <family val="3"/>
        <charset val="134"/>
      </rPr>
      <t>福建</t>
    </r>
  </si>
  <si>
    <r>
      <rPr>
        <sz val="11"/>
        <color theme="1"/>
        <rFont val="等线"/>
        <family val="3"/>
        <charset val="134"/>
      </rPr>
      <t>江西</t>
    </r>
  </si>
  <si>
    <r>
      <rPr>
        <sz val="11"/>
        <color theme="1"/>
        <rFont val="等线"/>
        <family val="3"/>
        <charset val="134"/>
      </rPr>
      <t>山东</t>
    </r>
  </si>
  <si>
    <r>
      <rPr>
        <sz val="11"/>
        <color theme="1"/>
        <rFont val="等线"/>
        <family val="3"/>
        <charset val="134"/>
      </rPr>
      <t>河南</t>
    </r>
  </si>
  <si>
    <r>
      <rPr>
        <sz val="11"/>
        <color theme="1"/>
        <rFont val="等线"/>
        <family val="3"/>
        <charset val="134"/>
      </rPr>
      <t>湖北</t>
    </r>
  </si>
  <si>
    <r>
      <rPr>
        <sz val="11"/>
        <color theme="1"/>
        <rFont val="等线"/>
        <family val="3"/>
        <charset val="134"/>
      </rPr>
      <t>湖南</t>
    </r>
  </si>
  <si>
    <r>
      <rPr>
        <sz val="11"/>
        <color theme="1"/>
        <rFont val="等线"/>
        <family val="3"/>
        <charset val="134"/>
      </rPr>
      <t>广东</t>
    </r>
  </si>
  <si>
    <r>
      <rPr>
        <sz val="11"/>
        <color theme="1"/>
        <rFont val="等线"/>
        <family val="3"/>
        <charset val="134"/>
      </rPr>
      <t>广西</t>
    </r>
  </si>
  <si>
    <r>
      <rPr>
        <sz val="11"/>
        <color theme="1"/>
        <rFont val="等线"/>
        <family val="3"/>
        <charset val="134"/>
      </rPr>
      <t>海南</t>
    </r>
  </si>
  <si>
    <r>
      <rPr>
        <sz val="11"/>
        <color theme="1"/>
        <rFont val="等线"/>
        <family val="3"/>
        <charset val="134"/>
      </rPr>
      <t>重庆</t>
    </r>
  </si>
  <si>
    <r>
      <rPr>
        <sz val="11"/>
        <color theme="1"/>
        <rFont val="等线"/>
        <family val="3"/>
        <charset val="134"/>
      </rPr>
      <t>四川</t>
    </r>
  </si>
  <si>
    <r>
      <rPr>
        <sz val="11"/>
        <color theme="1"/>
        <rFont val="等线"/>
        <family val="3"/>
        <charset val="134"/>
      </rPr>
      <t>贵州</t>
    </r>
  </si>
  <si>
    <r>
      <rPr>
        <sz val="11"/>
        <color theme="1"/>
        <rFont val="等线"/>
        <family val="3"/>
        <charset val="134"/>
      </rPr>
      <t>云南</t>
    </r>
  </si>
  <si>
    <r>
      <rPr>
        <sz val="11"/>
        <color theme="1"/>
        <rFont val="等线"/>
        <family val="3"/>
        <charset val="134"/>
      </rPr>
      <t>西藏</t>
    </r>
  </si>
  <si>
    <r>
      <rPr>
        <sz val="11"/>
        <color theme="1"/>
        <rFont val="等线"/>
        <family val="3"/>
        <charset val="134"/>
      </rPr>
      <t>陕西</t>
    </r>
  </si>
  <si>
    <r>
      <rPr>
        <sz val="11"/>
        <color theme="1"/>
        <rFont val="等线"/>
        <family val="3"/>
        <charset val="134"/>
      </rPr>
      <t>甘肃</t>
    </r>
  </si>
  <si>
    <r>
      <rPr>
        <sz val="11"/>
        <color theme="1"/>
        <rFont val="等线"/>
        <family val="3"/>
        <charset val="134"/>
      </rPr>
      <t>青海</t>
    </r>
  </si>
  <si>
    <r>
      <rPr>
        <sz val="11"/>
        <color theme="1"/>
        <rFont val="等线"/>
        <family val="3"/>
        <charset val="134"/>
      </rPr>
      <t>宁夏</t>
    </r>
  </si>
  <si>
    <r>
      <rPr>
        <sz val="11"/>
        <color theme="1"/>
        <rFont val="等线"/>
        <family val="3"/>
        <charset val="134"/>
      </rPr>
      <t>新疆</t>
    </r>
  </si>
  <si>
    <t>age90</t>
  </si>
  <si>
    <t>北京</t>
  </si>
  <si>
    <t>河北</t>
  </si>
  <si>
    <t>山西</t>
  </si>
  <si>
    <t>内蒙古</t>
  </si>
  <si>
    <t>辽宁</t>
  </si>
  <si>
    <t>吉林</t>
  </si>
  <si>
    <t>黑龙江</t>
  </si>
  <si>
    <t>上海</t>
  </si>
  <si>
    <t>江苏</t>
  </si>
  <si>
    <t>浙江</t>
  </si>
  <si>
    <t>安徽</t>
  </si>
  <si>
    <t>福建</t>
  </si>
  <si>
    <t>江西</t>
  </si>
  <si>
    <t>山东</t>
  </si>
  <si>
    <t>河南</t>
  </si>
  <si>
    <t>湖北</t>
  </si>
  <si>
    <t>广东</t>
  </si>
  <si>
    <t>重庆</t>
  </si>
  <si>
    <t>四川</t>
  </si>
  <si>
    <t>贵州</t>
  </si>
  <si>
    <t>云南</t>
  </si>
  <si>
    <t>Yunnan</t>
  </si>
  <si>
    <t>西藏</t>
  </si>
  <si>
    <t>青海</t>
  </si>
  <si>
    <t>新疆</t>
  </si>
  <si>
    <t>ID</t>
  </si>
  <si>
    <t>Underlying condition</t>
  </si>
  <si>
    <t>Year</t>
  </si>
  <si>
    <t>Sum_0_59yrs_number</t>
  </si>
  <si>
    <t>0_4yrs_prevalence</t>
  </si>
  <si>
    <t>5_9yrs_prevalence</t>
  </si>
  <si>
    <t>10_14yrs_prevalence</t>
  </si>
  <si>
    <t>15_19yrs_prevalence</t>
  </si>
  <si>
    <t>20_24yrs_prevalence</t>
  </si>
  <si>
    <t>25_29yrs_prevalence</t>
  </si>
  <si>
    <t>30_34yrs_prevalence</t>
  </si>
  <si>
    <t>35_39yrs_prevalence</t>
  </si>
  <si>
    <t>40_44yrs_prevalence</t>
  </si>
  <si>
    <t>45_49yrs_prevalence</t>
  </si>
  <si>
    <t>50_54yrs_prevalence</t>
  </si>
  <si>
    <t>55_59yrs_prevalence</t>
  </si>
  <si>
    <t>60_64yrs_prevalence</t>
  </si>
  <si>
    <t>65_69yrs_prevalence</t>
  </si>
  <si>
    <t>70_74yrs_prevalence</t>
  </si>
  <si>
    <t>75_79yrs_prevalence</t>
  </si>
  <si>
    <t>0_4yrs_number</t>
  </si>
  <si>
    <t>5_9yrs_number</t>
  </si>
  <si>
    <t>10_14yrs_number</t>
  </si>
  <si>
    <t>15_19yrs_number</t>
  </si>
  <si>
    <t>20_24yrs_number</t>
  </si>
  <si>
    <t>25_29yrs_number</t>
  </si>
  <si>
    <t>30_34yrs_number</t>
  </si>
  <si>
    <t>35_39yrs_number</t>
  </si>
  <si>
    <t>40_44yrs_number</t>
  </si>
  <si>
    <t>45_49yrs_number</t>
  </si>
  <si>
    <t>50_54yrs_number</t>
  </si>
  <si>
    <t>55_59yrs_number</t>
  </si>
  <si>
    <t>60_64yrs_number</t>
  </si>
  <si>
    <t>65_69yrs_number</t>
  </si>
  <si>
    <t>70_74yrs_number</t>
  </si>
  <si>
    <t>75_79yrs_number</t>
  </si>
  <si>
    <t>80+yrs_number</t>
  </si>
  <si>
    <t>1. Chinese Census 2016
2. Clark A, Jit M, Warren-Gash C, et al. Global, regional, and national estimates of the population at increased risk of severe COVID-19 due to underlying health conditions in 2020: a modelling study [published online ahead of print, 2020 Jun 15]. Lancet Glob Health. 2020;S2214-109X(20)30264-3.</t>
  </si>
  <si>
    <r>
      <rPr>
        <sz val="12"/>
        <color theme="1"/>
        <rFont val="Cambria"/>
        <family val="1"/>
      </rPr>
      <t>BMI</t>
    </r>
    <r>
      <rPr>
        <sz val="12"/>
        <color theme="1"/>
        <rFont val="等线"/>
        <family val="3"/>
        <charset val="134"/>
      </rPr>
      <t>≥</t>
    </r>
    <r>
      <rPr>
        <sz val="12"/>
        <color theme="1"/>
        <rFont val="Cambria"/>
        <family val="1"/>
      </rPr>
      <t>30</t>
    </r>
  </si>
  <si>
    <t>1.The Global Health Data Exchange website; 2.Chinese Census 2016</t>
  </si>
  <si>
    <t>http://ghdx.healthdata.org/gbd-results-tool</t>
  </si>
  <si>
    <t>Liver cancer due to NASH</t>
  </si>
  <si>
    <t>Chronic kidney disease due to diabetes mellitus type 1</t>
  </si>
  <si>
    <t>Chronic kidney disease due to diabetes mellitus type 2</t>
  </si>
  <si>
    <t>Colon and rectum cancer</t>
  </si>
  <si>
    <t>Lip and oral cavity cancer</t>
  </si>
  <si>
    <t>Nasopharynx cancer</t>
  </si>
  <si>
    <t>Other pharynx cancer</t>
  </si>
  <si>
    <t>Gallbladder and biliary tract cancer</t>
  </si>
  <si>
    <t>Pancreatic cancer</t>
  </si>
  <si>
    <t>Malignant skin melanoma</t>
  </si>
  <si>
    <t>Ovarian cancer</t>
  </si>
  <si>
    <t>Testicular cancer</t>
  </si>
  <si>
    <t>Kidney cancer</t>
  </si>
  <si>
    <t>Bladder cancer</t>
  </si>
  <si>
    <t>Thyroid cancer</t>
  </si>
  <si>
    <t>Mesothelioma</t>
  </si>
  <si>
    <t>Hodgkin lymphoma</t>
  </si>
  <si>
    <t>Non-Hodgkin lymphoma</t>
  </si>
  <si>
    <t>Multiple myeloma</t>
  </si>
  <si>
    <t>Other malignant neoplasms</t>
  </si>
  <si>
    <t>Rheumatic heart disease</t>
  </si>
  <si>
    <t>Ischemic heart disease</t>
  </si>
  <si>
    <t>Sickle cell disorders</t>
  </si>
  <si>
    <t>Alzheimer's disease and other dementias</t>
  </si>
  <si>
    <t>Parkinson's disease</t>
  </si>
  <si>
    <t>Multiple sclerosis</t>
  </si>
  <si>
    <t>Motor neuron disease</t>
  </si>
  <si>
    <t>Other neurological disorders</t>
  </si>
  <si>
    <t>Idiopathic developmental intellectual disability</t>
  </si>
  <si>
    <t>Chronic kidney disease due to glomerulonephritis</t>
  </si>
  <si>
    <t>Chronic kidney disease due to other and unspecified causes</t>
  </si>
  <si>
    <t>Ischemic stroke</t>
  </si>
  <si>
    <t>Intracerebral hemorrhage</t>
  </si>
  <si>
    <t>Subarachnoid hemorrhage</t>
  </si>
  <si>
    <t>Atrial fibrillation and flutter</t>
  </si>
  <si>
    <t>Endocarditis</t>
  </si>
  <si>
    <t>Other cardiovascular and circulatory diseases</t>
  </si>
  <si>
    <t>Chronic obstructive pulmonary disease</t>
  </si>
  <si>
    <t>Larynx cancer</t>
  </si>
  <si>
    <t>Tracheal, bronchus, and lung cancer</t>
  </si>
  <si>
    <t>Breast cancer</t>
  </si>
  <si>
    <t>Cervical cancer</t>
  </si>
  <si>
    <t>Uterine cancer</t>
  </si>
  <si>
    <t>Prostate cancer</t>
  </si>
  <si>
    <t>HIV/AIDS - Drug-susceptible Tuberculosis</t>
  </si>
  <si>
    <t>HIV/AIDS - Multidrug-resistant Tuberculosis without extensive drug resistance</t>
  </si>
  <si>
    <t>HIV/AIDS - Extensively drug-resistant Tuberculosis</t>
  </si>
  <si>
    <t>HIV/AIDS resulting in other diseases</t>
  </si>
  <si>
    <t>Esophageal cancer</t>
  </si>
  <si>
    <t>Stomach cancer</t>
  </si>
  <si>
    <t>Liver cancer due to hepatitis B</t>
  </si>
  <si>
    <t>Liver cancer due to hepatitis C</t>
  </si>
  <si>
    <t>Liver cancer due to alcohol use</t>
  </si>
  <si>
    <t>Liver cancer due to other causes</t>
  </si>
  <si>
    <t>Myelodysplastic, myeloproliferative, and other hematopoietic neoplasms</t>
  </si>
  <si>
    <t>Non-rheumatic calcific aortic valve disease</t>
  </si>
  <si>
    <t>Non-rheumatic degenerative mitral valve disease</t>
  </si>
  <si>
    <t>Other non-rheumatic valve diseases</t>
  </si>
  <si>
    <t>Diabetes mellitus type 1</t>
  </si>
  <si>
    <t>Diabetes mellitus type 2</t>
  </si>
  <si>
    <t>Acute lymphoid leukemia</t>
  </si>
  <si>
    <t>Chronic lymphoid leukemia</t>
  </si>
  <si>
    <t>Acute myeloid leukemia</t>
  </si>
  <si>
    <t>Chronic myeloid leukemia</t>
  </si>
  <si>
    <t>Drug-susceptible tuberculosis</t>
  </si>
  <si>
    <t>Alcoholic cardiomyopathy</t>
  </si>
  <si>
    <t>Myocarditis</t>
  </si>
  <si>
    <t>Other leukemia</t>
  </si>
  <si>
    <t>Other cardiomyopathy</t>
  </si>
  <si>
    <t>Multidrug-resistant tuberculosis without extensive drug resistance</t>
  </si>
  <si>
    <t>Extensively drug-resistant tuberculosis</t>
  </si>
  <si>
    <t>Neural tube defects</t>
  </si>
  <si>
    <t>Congenital heart anomalies</t>
  </si>
  <si>
    <t>Down syndrome</t>
  </si>
  <si>
    <t>Silicosis</t>
  </si>
  <si>
    <t>Asbestosis</t>
  </si>
  <si>
    <t>Coal workers pneumoconiosis</t>
  </si>
  <si>
    <t>Other pneumoconiosis</t>
  </si>
  <si>
    <t>Asthma</t>
  </si>
  <si>
    <t>Interstitial lung disease and pulmonary sarcoidosis</t>
  </si>
  <si>
    <t>Cirrhosis and other chronic liver diseases due to hepatitis B</t>
  </si>
  <si>
    <t>Cirrhosis and other chronic liver diseases due to hepatitis C</t>
  </si>
  <si>
    <t>Cirrhosis and other chronic liver diseases due to alcohol use</t>
  </si>
  <si>
    <t>Cirrhosis and other chronic liver diseases due to other causes</t>
  </si>
  <si>
    <t>Note: Calculation method seen in Sheet “Method"</t>
  </si>
  <si>
    <t>live births</t>
  </si>
  <si>
    <t>induced abortions</t>
  </si>
  <si>
    <t>students in primary schools</t>
  </si>
  <si>
    <t>grade 1</t>
  </si>
  <si>
    <t>grade 2</t>
  </si>
  <si>
    <t>grade 3</t>
  </si>
  <si>
    <t>grade 4</t>
  </si>
  <si>
    <t>grade 5</t>
  </si>
  <si>
    <t>grade 6</t>
  </si>
  <si>
    <t>students in junior secondary schools</t>
  </si>
  <si>
    <t>grade 1_j</t>
  </si>
  <si>
    <t>grade 2_j</t>
  </si>
  <si>
    <t>grade 3_j</t>
  </si>
  <si>
    <t>grade 4_j</t>
  </si>
  <si>
    <t>students in regular senior secondary schools</t>
  </si>
  <si>
    <t>grade 1_s</t>
  </si>
  <si>
    <t>grade 2_s</t>
  </si>
  <si>
    <t>grade 3_s</t>
  </si>
  <si>
    <t>students in secondary vocational schools</t>
  </si>
  <si>
    <t>grade 1_v</t>
  </si>
  <si>
    <t>grade 2_v</t>
  </si>
  <si>
    <t>grade 3_v</t>
  </si>
  <si>
    <t>grade 4_v</t>
  </si>
  <si>
    <t>Ministry of Education of the People's Republic of China</t>
  </si>
  <si>
    <t>http://www.moe.gov.cn/s78/A03/moe_560/jytjsj_2019/gd/index_1.html</t>
  </si>
  <si>
    <t>注：</t>
  </si>
  <si>
    <t>常住人口口径</t>
  </si>
  <si>
    <t>分地区数字不包括现役军人数</t>
  </si>
  <si>
    <t>age</t>
  </si>
  <si>
    <t>Population</t>
  </si>
  <si>
    <t>Population(10,000)</t>
  </si>
  <si>
    <t>Sum</t>
  </si>
  <si>
    <t>Sum_0_59yrs</t>
  </si>
  <si>
    <t>Sum_60+yrs</t>
  </si>
  <si>
    <t>Sum_80+yrs</t>
  </si>
  <si>
    <t>0_4yrs</t>
  </si>
  <si>
    <t>5_9yrs</t>
  </si>
  <si>
    <t>10_14yrs</t>
  </si>
  <si>
    <t>15_19yrs</t>
  </si>
  <si>
    <t>75_79yrs</t>
  </si>
  <si>
    <t>80_84yrs</t>
  </si>
  <si>
    <t>85_89yrs</t>
  </si>
  <si>
    <t>90_94yrs</t>
  </si>
  <si>
    <t>95+yrs</t>
  </si>
  <si>
    <t>Childbearing women giving births_population (sampling ratio 0.820‰)</t>
  </si>
  <si>
    <t>Childbearing women giving births_proportion</t>
  </si>
  <si>
    <t xml:space="preserve"> Healthcare workers_population number in 2010 census</t>
  </si>
  <si>
    <t xml:space="preserve"> Healthcare workers_proportion</t>
  </si>
  <si>
    <t>http://www.stats.gov.cn/tjsj/pcsj/rkpc/6rp/indexch.htm</t>
  </si>
  <si>
    <t>CN</t>
  </si>
  <si>
    <t>En</t>
  </si>
  <si>
    <t>Note</t>
  </si>
  <si>
    <r>
      <rPr>
        <sz val="11"/>
        <color theme="1"/>
        <rFont val="KaiTi"/>
        <family val="3"/>
        <charset val="134"/>
      </rPr>
      <t>农副食品加工业</t>
    </r>
  </si>
  <si>
    <r>
      <rPr>
        <sz val="11"/>
        <rFont val="Cambria"/>
        <family val="1"/>
      </rPr>
      <t xml:space="preserve">  </t>
    </r>
    <r>
      <rPr>
        <sz val="11"/>
        <rFont val="KaiTi"/>
        <family val="3"/>
        <charset val="134"/>
      </rPr>
      <t>食品制造业</t>
    </r>
  </si>
  <si>
    <r>
      <rPr>
        <sz val="11"/>
        <color theme="1"/>
        <rFont val="KaiTi"/>
        <family val="3"/>
        <charset val="134"/>
      </rPr>
      <t>零售业</t>
    </r>
  </si>
  <si>
    <r>
      <rPr>
        <sz val="11"/>
        <color theme="1"/>
        <rFont val="KaiTi"/>
        <family val="3"/>
        <charset val="134"/>
      </rPr>
      <t>零售店</t>
    </r>
  </si>
  <si>
    <r>
      <rPr>
        <sz val="11"/>
        <color theme="1"/>
        <rFont val="KaiTi"/>
        <family val="3"/>
        <charset val="134"/>
      </rPr>
      <t>副食店</t>
    </r>
  </si>
  <si>
    <r>
      <rPr>
        <sz val="11"/>
        <color theme="1"/>
        <rFont val="KaiTi"/>
        <family val="3"/>
        <charset val="134"/>
      </rPr>
      <t>超市</t>
    </r>
  </si>
  <si>
    <r>
      <rPr>
        <sz val="11"/>
        <color theme="1"/>
        <rFont val="KaiTi"/>
        <family val="3"/>
        <charset val="134"/>
      </rPr>
      <t>大型超市</t>
    </r>
  </si>
  <si>
    <r>
      <rPr>
        <sz val="11"/>
        <color theme="1"/>
        <rFont val="KaiTi"/>
        <family val="3"/>
        <charset val="134"/>
      </rPr>
      <t>电力、燃气及水的生产和供应业</t>
    </r>
  </si>
  <si>
    <r>
      <rPr>
        <sz val="11"/>
        <rFont val="Cambria"/>
        <family val="1"/>
      </rPr>
      <t xml:space="preserve">  </t>
    </r>
    <r>
      <rPr>
        <sz val="11"/>
        <rFont val="KaiTi"/>
        <family val="3"/>
        <charset val="134"/>
      </rPr>
      <t>电力、热力生产和供应业</t>
    </r>
  </si>
  <si>
    <r>
      <rPr>
        <sz val="11"/>
        <rFont val="Cambria"/>
        <family val="1"/>
      </rPr>
      <t xml:space="preserve">  </t>
    </r>
    <r>
      <rPr>
        <sz val="11"/>
        <rFont val="KaiTi"/>
        <family val="3"/>
        <charset val="134"/>
      </rPr>
      <t>燃气生产和供应业</t>
    </r>
  </si>
  <si>
    <r>
      <rPr>
        <sz val="11"/>
        <rFont val="Cambria"/>
        <family val="1"/>
      </rPr>
      <t xml:space="preserve">  </t>
    </r>
    <r>
      <rPr>
        <sz val="11"/>
        <rFont val="KaiTi"/>
        <family val="3"/>
        <charset val="134"/>
      </rPr>
      <t>水的生产和供应业</t>
    </r>
  </si>
  <si>
    <r>
      <rPr>
        <sz val="11"/>
        <rFont val="KaiTi"/>
        <family val="3"/>
        <charset val="134"/>
      </rPr>
      <t>交通运输、仓储和邮政业</t>
    </r>
  </si>
  <si>
    <r>
      <rPr>
        <sz val="11"/>
        <rFont val="Cambria"/>
        <family val="1"/>
      </rPr>
      <t xml:space="preserve">  </t>
    </r>
    <r>
      <rPr>
        <sz val="11"/>
        <rFont val="KaiTi"/>
        <family val="3"/>
        <charset val="134"/>
      </rPr>
      <t>铁路运输业</t>
    </r>
  </si>
  <si>
    <r>
      <rPr>
        <sz val="11"/>
        <rFont val="Cambria"/>
        <family val="1"/>
      </rPr>
      <t xml:space="preserve">  </t>
    </r>
    <r>
      <rPr>
        <sz val="11"/>
        <rFont val="KaiTi"/>
        <family val="3"/>
        <charset val="134"/>
      </rPr>
      <t>道路运输业</t>
    </r>
  </si>
  <si>
    <r>
      <rPr>
        <sz val="11"/>
        <rFont val="Cambria"/>
        <family val="1"/>
      </rPr>
      <t xml:space="preserve">  </t>
    </r>
    <r>
      <rPr>
        <sz val="11"/>
        <rFont val="KaiTi"/>
        <family val="3"/>
        <charset val="134"/>
      </rPr>
      <t>水上运输业</t>
    </r>
  </si>
  <si>
    <r>
      <rPr>
        <sz val="11"/>
        <rFont val="Cambria"/>
        <family val="1"/>
      </rPr>
      <t xml:space="preserve">  </t>
    </r>
    <r>
      <rPr>
        <sz val="11"/>
        <rFont val="KaiTi"/>
        <family val="3"/>
        <charset val="134"/>
      </rPr>
      <t>航空运输业</t>
    </r>
  </si>
  <si>
    <r>
      <rPr>
        <sz val="11"/>
        <rFont val="Cambria"/>
        <family val="1"/>
      </rPr>
      <t xml:space="preserve">  </t>
    </r>
    <r>
      <rPr>
        <sz val="11"/>
        <rFont val="KaiTi"/>
        <family val="3"/>
        <charset val="134"/>
      </rPr>
      <t>管道运输业</t>
    </r>
  </si>
  <si>
    <r>
      <rPr>
        <sz val="11"/>
        <rFont val="Cambria"/>
        <family val="1"/>
      </rPr>
      <t xml:space="preserve">  </t>
    </r>
    <r>
      <rPr>
        <sz val="11"/>
        <rFont val="KaiTi"/>
        <family val="3"/>
        <charset val="134"/>
      </rPr>
      <t>多式联运和运输代理业</t>
    </r>
  </si>
  <si>
    <r>
      <rPr>
        <sz val="11"/>
        <rFont val="Cambria"/>
        <family val="1"/>
      </rPr>
      <t xml:space="preserve">  </t>
    </r>
    <r>
      <rPr>
        <sz val="11"/>
        <rFont val="KaiTi"/>
        <family val="3"/>
        <charset val="134"/>
      </rPr>
      <t>装卸搬运和仓储业</t>
    </r>
  </si>
  <si>
    <r>
      <rPr>
        <sz val="11"/>
        <rFont val="Cambria"/>
        <family val="1"/>
      </rPr>
      <t xml:space="preserve">  </t>
    </r>
    <r>
      <rPr>
        <sz val="11"/>
        <rFont val="KaiTi"/>
        <family val="3"/>
        <charset val="134"/>
      </rPr>
      <t>邮政业</t>
    </r>
  </si>
  <si>
    <r>
      <rPr>
        <sz val="11"/>
        <color theme="1"/>
        <rFont val="KaiTi"/>
        <family val="3"/>
        <charset val="134"/>
      </rPr>
      <t>包括邮政基本服务（信件、印刷品、包裹、汇兑等），快递服务和其他寄递服务</t>
    </r>
  </si>
  <si>
    <r>
      <rPr>
        <sz val="11"/>
        <rFont val="KaiTi"/>
        <family val="3"/>
        <charset val="134"/>
      </rPr>
      <t>卫生</t>
    </r>
  </si>
  <si>
    <t>基层群众自治组织</t>
  </si>
  <si>
    <r>
      <rPr>
        <sz val="11"/>
        <rFont val="KaiTi"/>
        <family val="3"/>
        <charset val="134"/>
      </rPr>
      <t>社会福利业</t>
    </r>
  </si>
  <si>
    <t>Social welfare industry</t>
  </si>
  <si>
    <r>
      <rPr>
        <sz val="11"/>
        <rFont val="KaiTi"/>
        <family val="3"/>
        <charset val="134"/>
      </rPr>
      <t>养老机构</t>
    </r>
  </si>
  <si>
    <t>aged organization</t>
  </si>
  <si>
    <r>
      <rPr>
        <sz val="11"/>
        <color theme="1"/>
        <rFont val="KaiTi"/>
        <family val="3"/>
        <charset val="134"/>
      </rPr>
      <t>为老年人与残疾人提供住宿服务的机构，包括社会福利院，农村特困人员救助供养机构，其他养老机构（</t>
    </r>
    <r>
      <rPr>
        <sz val="11"/>
        <color theme="1"/>
        <rFont val="Cambria"/>
        <family val="1"/>
      </rPr>
      <t>2019</t>
    </r>
    <r>
      <rPr>
        <sz val="11"/>
        <color theme="1"/>
        <rFont val="KaiTi"/>
        <family val="3"/>
        <charset val="134"/>
      </rPr>
      <t>年口径）。或者分为城市养老服务机构，农村养老服务机构，社会福利院，光荣院，荣誉军人康复疗养院，复员军人疗养院，军休所（</t>
    </r>
    <r>
      <rPr>
        <sz val="11"/>
        <color theme="1"/>
        <rFont val="Cambria"/>
        <family val="1"/>
      </rPr>
      <t>2017</t>
    </r>
    <r>
      <rPr>
        <sz val="11"/>
        <color theme="1"/>
        <rFont val="KaiTi"/>
        <family val="3"/>
        <charset val="134"/>
      </rPr>
      <t>年口径）</t>
    </r>
  </si>
  <si>
    <r>
      <rPr>
        <sz val="11"/>
        <rFont val="KaiTi"/>
        <family val="3"/>
        <charset val="134"/>
      </rPr>
      <t>社会福利医院</t>
    </r>
  </si>
  <si>
    <t>Social welfare hospital</t>
  </si>
  <si>
    <r>
      <rPr>
        <sz val="11"/>
        <color theme="1"/>
        <rFont val="KaiTi"/>
        <family val="3"/>
        <charset val="134"/>
      </rPr>
      <t>为智障与精神疾病病人提供住宿服务的机构，包括社会福利医院（</t>
    </r>
    <r>
      <rPr>
        <sz val="11"/>
        <color theme="1"/>
        <rFont val="Cambria"/>
        <family val="1"/>
      </rPr>
      <t>2019</t>
    </r>
    <r>
      <rPr>
        <sz val="11"/>
        <color theme="1"/>
        <rFont val="KaiTi"/>
        <family val="3"/>
        <charset val="134"/>
      </rPr>
      <t>年口径），福利类精神病院和医院，复退军人精神病院（</t>
    </r>
    <r>
      <rPr>
        <sz val="11"/>
        <color theme="1"/>
        <rFont val="Cambria"/>
        <family val="1"/>
      </rPr>
      <t>2017</t>
    </r>
    <r>
      <rPr>
        <sz val="11"/>
        <color theme="1"/>
        <rFont val="KaiTi"/>
        <family val="3"/>
        <charset val="134"/>
      </rPr>
      <t>年口径）</t>
    </r>
  </si>
  <si>
    <r>
      <rPr>
        <sz val="11"/>
        <color theme="1"/>
        <rFont val="KaiTi"/>
        <family val="3"/>
        <charset val="134"/>
      </rPr>
      <t>小学学生数</t>
    </r>
  </si>
  <si>
    <r>
      <rPr>
        <sz val="11"/>
        <color theme="1"/>
        <rFont val="KaiTi"/>
        <family val="3"/>
        <charset val="134"/>
      </rPr>
      <t>初中学生数</t>
    </r>
  </si>
  <si>
    <r>
      <rPr>
        <sz val="11"/>
        <color theme="1"/>
        <rFont val="KaiTi"/>
        <family val="3"/>
        <charset val="134"/>
      </rPr>
      <t>普通高中学生数</t>
    </r>
  </si>
  <si>
    <r>
      <rPr>
        <sz val="11"/>
        <color theme="1"/>
        <rFont val="KaiTi"/>
        <family val="3"/>
        <charset val="134"/>
      </rPr>
      <t>中等职业学校（机构）学生数</t>
    </r>
  </si>
  <si>
    <t>Police/10,000</t>
    <phoneticPr fontId="24" type="noConversion"/>
  </si>
  <si>
    <t>Population/10,000</t>
    <phoneticPr fontId="24" type="noConversion"/>
  </si>
  <si>
    <t>Police_08</t>
    <phoneticPr fontId="26" type="noConversion"/>
  </si>
  <si>
    <t>Police_17</t>
    <phoneticPr fontId="24" type="noConversion"/>
  </si>
  <si>
    <t>province</t>
    <phoneticPr fontId="24" type="noConversion"/>
  </si>
  <si>
    <t>14.3-14.1</t>
    <phoneticPr fontId="24" type="noConversion"/>
  </si>
  <si>
    <r>
      <rPr>
        <b/>
        <sz val="12"/>
        <color theme="1"/>
        <rFont val="宋体"/>
        <family val="3"/>
        <charset val="134"/>
      </rPr>
      <t>全国</t>
    </r>
    <phoneticPr fontId="24" type="noConversion"/>
  </si>
  <si>
    <r>
      <rPr>
        <sz val="11"/>
        <color theme="1"/>
        <rFont val="等线"/>
        <family val="3"/>
        <charset val="134"/>
      </rPr>
      <t>李勤</t>
    </r>
    <r>
      <rPr>
        <sz val="11"/>
        <color theme="1"/>
        <rFont val="Cambria"/>
        <family val="1"/>
      </rPr>
      <t xml:space="preserve">. </t>
    </r>
    <r>
      <rPr>
        <sz val="11"/>
        <color theme="1"/>
        <rFont val="等线"/>
        <family val="3"/>
        <charset val="134"/>
      </rPr>
      <t>基于大数据的警察人力资源优化配置研究</t>
    </r>
    <r>
      <rPr>
        <sz val="11"/>
        <color theme="1"/>
        <rFont val="Cambria"/>
        <family val="1"/>
      </rPr>
      <t>[D].</t>
    </r>
    <r>
      <rPr>
        <sz val="11"/>
        <color theme="1"/>
        <rFont val="等线"/>
        <family val="3"/>
        <charset val="134"/>
      </rPr>
      <t>中国人民公安大学</t>
    </r>
    <r>
      <rPr>
        <sz val="11"/>
        <color theme="1"/>
        <rFont val="Cambria"/>
        <family val="1"/>
      </rPr>
      <t>,2020</t>
    </r>
    <r>
      <rPr>
        <sz val="11"/>
        <color theme="1"/>
        <rFont val="等线"/>
        <family val="3"/>
        <charset val="134"/>
      </rPr>
      <t>；</t>
    </r>
    <r>
      <rPr>
        <sz val="11"/>
        <color theme="1"/>
        <rFont val="Cambria"/>
        <family val="1"/>
      </rPr>
      <t>2008</t>
    </r>
    <r>
      <rPr>
        <sz val="11"/>
        <color theme="1"/>
        <rFont val="等线"/>
        <family val="3"/>
        <charset val="134"/>
      </rPr>
      <t>年全国统计年鉴</t>
    </r>
    <phoneticPr fontId="24" type="noConversion"/>
  </si>
  <si>
    <r>
      <rPr>
        <sz val="12"/>
        <color theme="1"/>
        <rFont val="等线"/>
        <family val="3"/>
        <charset val="134"/>
      </rPr>
      <t>北京</t>
    </r>
  </si>
  <si>
    <r>
      <rPr>
        <sz val="12"/>
        <color theme="1"/>
        <rFont val="等线"/>
        <family val="3"/>
        <charset val="134"/>
      </rPr>
      <t>天津</t>
    </r>
  </si>
  <si>
    <r>
      <rPr>
        <sz val="11"/>
        <color theme="1"/>
        <rFont val="等线"/>
        <family val="3"/>
        <charset val="134"/>
      </rPr>
      <t>李勤</t>
    </r>
    <r>
      <rPr>
        <sz val="11"/>
        <color theme="1"/>
        <rFont val="Cambria"/>
        <family val="1"/>
      </rPr>
      <t xml:space="preserve">. </t>
    </r>
    <r>
      <rPr>
        <sz val="11"/>
        <color theme="1"/>
        <rFont val="等线"/>
        <family val="3"/>
        <charset val="134"/>
      </rPr>
      <t>基于大数据的警察人力资源优化配置研究</t>
    </r>
    <r>
      <rPr>
        <sz val="11"/>
        <color theme="1"/>
        <rFont val="Cambria"/>
        <family val="1"/>
      </rPr>
      <t>[D].</t>
    </r>
    <r>
      <rPr>
        <sz val="11"/>
        <color theme="1"/>
        <rFont val="等线"/>
        <family val="3"/>
        <charset val="134"/>
      </rPr>
      <t>中国人民公安大学</t>
    </r>
    <r>
      <rPr>
        <sz val="11"/>
        <color theme="1"/>
        <rFont val="Cambria"/>
        <family val="1"/>
      </rPr>
      <t>,2020</t>
    </r>
    <r>
      <rPr>
        <sz val="11"/>
        <color theme="1"/>
        <rFont val="等线"/>
        <family val="3"/>
        <charset val="134"/>
      </rPr>
      <t>；</t>
    </r>
    <r>
      <rPr>
        <sz val="11"/>
        <color theme="1"/>
        <rFont val="Cambria"/>
        <family val="1"/>
      </rPr>
      <t>2008</t>
    </r>
    <r>
      <rPr>
        <sz val="11"/>
        <color theme="1"/>
        <rFont val="等线"/>
        <family val="3"/>
        <charset val="134"/>
      </rPr>
      <t>年全国统计年鉴</t>
    </r>
    <r>
      <rPr>
        <sz val="11"/>
        <color theme="1"/>
        <rFont val="等线"/>
        <family val="2"/>
        <charset val="134"/>
        <scheme val="minor"/>
      </rPr>
      <t/>
    </r>
  </si>
  <si>
    <r>
      <rPr>
        <sz val="12"/>
        <color theme="1"/>
        <rFont val="等线"/>
        <family val="3"/>
        <charset val="134"/>
      </rPr>
      <t>河北</t>
    </r>
  </si>
  <si>
    <r>
      <rPr>
        <sz val="12"/>
        <color theme="1"/>
        <rFont val="等线"/>
        <family val="3"/>
        <charset val="134"/>
      </rPr>
      <t>山西</t>
    </r>
  </si>
  <si>
    <r>
      <rPr>
        <sz val="12"/>
        <color theme="1"/>
        <rFont val="等线"/>
        <family val="3"/>
        <charset val="134"/>
      </rPr>
      <t>内蒙古</t>
    </r>
  </si>
  <si>
    <r>
      <rPr>
        <sz val="12"/>
        <color theme="1"/>
        <rFont val="等线"/>
        <family val="3"/>
        <charset val="134"/>
      </rPr>
      <t>辽宁</t>
    </r>
  </si>
  <si>
    <r>
      <rPr>
        <sz val="12"/>
        <color theme="1"/>
        <rFont val="等线"/>
        <family val="3"/>
        <charset val="134"/>
      </rPr>
      <t>吉林</t>
    </r>
  </si>
  <si>
    <r>
      <rPr>
        <sz val="12"/>
        <color theme="1"/>
        <rFont val="等线"/>
        <family val="3"/>
        <charset val="134"/>
      </rPr>
      <t>黑龙江</t>
    </r>
  </si>
  <si>
    <r>
      <rPr>
        <sz val="12"/>
        <color theme="1"/>
        <rFont val="等线"/>
        <family val="3"/>
        <charset val="134"/>
      </rPr>
      <t>上海</t>
    </r>
  </si>
  <si>
    <r>
      <rPr>
        <sz val="12"/>
        <color theme="1"/>
        <rFont val="等线"/>
        <family val="3"/>
        <charset val="134"/>
      </rPr>
      <t>江苏</t>
    </r>
  </si>
  <si>
    <r>
      <rPr>
        <sz val="12"/>
        <color theme="1"/>
        <rFont val="等线"/>
        <family val="3"/>
        <charset val="134"/>
      </rPr>
      <t>浙江</t>
    </r>
  </si>
  <si>
    <r>
      <rPr>
        <sz val="12"/>
        <color theme="1"/>
        <rFont val="等线"/>
        <family val="3"/>
        <charset val="134"/>
      </rPr>
      <t>安徽</t>
    </r>
  </si>
  <si>
    <r>
      <rPr>
        <sz val="12"/>
        <color theme="1"/>
        <rFont val="等线"/>
        <family val="3"/>
        <charset val="134"/>
      </rPr>
      <t>福建</t>
    </r>
  </si>
  <si>
    <r>
      <rPr>
        <sz val="12"/>
        <color theme="1"/>
        <rFont val="等线"/>
        <family val="3"/>
        <charset val="134"/>
      </rPr>
      <t>江西</t>
    </r>
  </si>
  <si>
    <r>
      <rPr>
        <sz val="12"/>
        <color theme="1"/>
        <rFont val="等线"/>
        <family val="3"/>
        <charset val="134"/>
      </rPr>
      <t>山东</t>
    </r>
  </si>
  <si>
    <r>
      <rPr>
        <sz val="12"/>
        <color theme="1"/>
        <rFont val="等线"/>
        <family val="3"/>
        <charset val="134"/>
      </rPr>
      <t>河南</t>
    </r>
  </si>
  <si>
    <r>
      <rPr>
        <sz val="12"/>
        <color theme="1"/>
        <rFont val="等线"/>
        <family val="3"/>
        <charset val="134"/>
      </rPr>
      <t>湖北</t>
    </r>
  </si>
  <si>
    <r>
      <rPr>
        <sz val="12"/>
        <color theme="1"/>
        <rFont val="等线"/>
        <family val="3"/>
        <charset val="134"/>
      </rPr>
      <t>湖南</t>
    </r>
  </si>
  <si>
    <r>
      <rPr>
        <sz val="12"/>
        <color theme="1"/>
        <rFont val="等线"/>
        <family val="3"/>
        <charset val="134"/>
      </rPr>
      <t>广东</t>
    </r>
  </si>
  <si>
    <r>
      <rPr>
        <sz val="12"/>
        <color theme="1"/>
        <rFont val="等线"/>
        <family val="3"/>
        <charset val="134"/>
      </rPr>
      <t>广西</t>
    </r>
  </si>
  <si>
    <r>
      <rPr>
        <sz val="12"/>
        <color theme="1"/>
        <rFont val="等线"/>
        <family val="3"/>
        <charset val="134"/>
      </rPr>
      <t>海南</t>
    </r>
  </si>
  <si>
    <r>
      <rPr>
        <sz val="12"/>
        <color theme="1"/>
        <rFont val="等线"/>
        <family val="3"/>
        <charset val="134"/>
      </rPr>
      <t>重庆</t>
    </r>
  </si>
  <si>
    <r>
      <rPr>
        <sz val="12"/>
        <color theme="1"/>
        <rFont val="等线"/>
        <family val="3"/>
        <charset val="134"/>
      </rPr>
      <t>四川</t>
    </r>
  </si>
  <si>
    <r>
      <rPr>
        <sz val="12"/>
        <color theme="1"/>
        <rFont val="等线"/>
        <family val="3"/>
        <charset val="134"/>
      </rPr>
      <t>贵州</t>
    </r>
  </si>
  <si>
    <r>
      <rPr>
        <sz val="12"/>
        <color theme="1"/>
        <rFont val="等线"/>
        <family val="3"/>
        <charset val="134"/>
      </rPr>
      <t>云南</t>
    </r>
  </si>
  <si>
    <r>
      <rPr>
        <sz val="12"/>
        <color theme="1"/>
        <rFont val="等线"/>
        <family val="3"/>
        <charset val="134"/>
      </rPr>
      <t>西藏</t>
    </r>
  </si>
  <si>
    <r>
      <rPr>
        <sz val="12"/>
        <color theme="1"/>
        <rFont val="等线"/>
        <family val="3"/>
        <charset val="134"/>
      </rPr>
      <t>陕西</t>
    </r>
  </si>
  <si>
    <r>
      <rPr>
        <sz val="12"/>
        <color theme="1"/>
        <rFont val="等线"/>
        <family val="3"/>
        <charset val="134"/>
      </rPr>
      <t>甘肃</t>
    </r>
  </si>
  <si>
    <r>
      <rPr>
        <sz val="12"/>
        <color theme="1"/>
        <rFont val="等线"/>
        <family val="3"/>
        <charset val="134"/>
      </rPr>
      <t>青海</t>
    </r>
  </si>
  <si>
    <r>
      <rPr>
        <sz val="12"/>
        <color theme="1"/>
        <rFont val="等线"/>
        <family val="3"/>
        <charset val="134"/>
      </rPr>
      <t>宁夏</t>
    </r>
  </si>
  <si>
    <r>
      <rPr>
        <sz val="12"/>
        <color theme="1"/>
        <rFont val="等线"/>
        <family val="3"/>
        <charset val="134"/>
      </rPr>
      <t>新疆</t>
    </r>
  </si>
  <si>
    <t>age80</t>
    <phoneticPr fontId="24" type="noConversion"/>
  </si>
  <si>
    <r>
      <rPr>
        <sz val="12"/>
        <color theme="1"/>
        <rFont val="宋体"/>
        <family val="3"/>
        <charset val="134"/>
      </rPr>
      <t>湖南</t>
    </r>
  </si>
  <si>
    <r>
      <rPr>
        <sz val="12"/>
        <color theme="1"/>
        <rFont val="宋体"/>
        <family val="3"/>
        <charset val="134"/>
      </rPr>
      <t>广西</t>
    </r>
  </si>
  <si>
    <r>
      <rPr>
        <sz val="12"/>
        <color theme="1"/>
        <rFont val="宋体"/>
        <family val="3"/>
        <charset val="134"/>
      </rPr>
      <t>海南</t>
    </r>
  </si>
  <si>
    <r>
      <rPr>
        <sz val="12"/>
        <color theme="1"/>
        <rFont val="宋体"/>
        <family val="3"/>
        <charset val="134"/>
      </rPr>
      <t>甘肃</t>
    </r>
  </si>
  <si>
    <r>
      <rPr>
        <sz val="12"/>
        <color theme="1"/>
        <rFont val="宋体"/>
        <family val="3"/>
        <charset val="134"/>
      </rPr>
      <t>宁夏</t>
    </r>
  </si>
  <si>
    <t>95+</t>
    <phoneticPr fontId="26" type="noConversion"/>
  </si>
  <si>
    <t>Data source</t>
    <phoneticPr fontId="26" type="noConversion"/>
  </si>
  <si>
    <t>Population</t>
    <phoneticPr fontId="26" type="noConversion"/>
  </si>
  <si>
    <t>Age</t>
    <phoneticPr fontId="26" type="noConversion"/>
  </si>
  <si>
    <t>Proportion</t>
    <phoneticPr fontId="24" type="noConversion"/>
  </si>
  <si>
    <t>18-19</t>
    <phoneticPr fontId="24" type="noConversion"/>
  </si>
  <si>
    <t>age18_19</t>
    <phoneticPr fontId="24" type="noConversion"/>
  </si>
  <si>
    <t>5-</t>
  </si>
  <si>
    <t>6-</t>
  </si>
  <si>
    <t>7-</t>
  </si>
  <si>
    <t>8-</t>
  </si>
  <si>
    <t>9-</t>
  </si>
  <si>
    <t>总计</t>
  </si>
  <si>
    <t>5/9 %</t>
    <phoneticPr fontId="24" type="noConversion"/>
  </si>
  <si>
    <t>广西</t>
    <phoneticPr fontId="24" type="noConversion"/>
  </si>
  <si>
    <t>宁夏</t>
  </si>
  <si>
    <t>甘肃</t>
  </si>
  <si>
    <t>海南</t>
  </si>
  <si>
    <t>湖南</t>
  </si>
  <si>
    <t>陕西</t>
  </si>
  <si>
    <t>天津</t>
  </si>
  <si>
    <t>Province</t>
    <phoneticPr fontId="24" type="noConversion"/>
  </si>
  <si>
    <t>China Health Statistical Yearbook (CHSY) in 2020</t>
    <phoneticPr fontId="24" type="noConversion"/>
  </si>
  <si>
    <t>Brain and central nervous system cancer</t>
    <phoneticPr fontId="24" type="noConversion"/>
  </si>
  <si>
    <t>Lower extremity peripheral arterial disease</t>
    <phoneticPr fontId="24" type="noConversion"/>
  </si>
  <si>
    <t>80+yrs_prevalence</t>
    <phoneticPr fontId="24" type="noConversion"/>
  </si>
  <si>
    <t>URL</t>
    <phoneticPr fontId="24" type="noConversion"/>
  </si>
  <si>
    <t>China Statistical Yearbook 2020</t>
  </si>
  <si>
    <t>http://www.stats.gov.cn/tjsj/ndsj/2020/indexch.htm</t>
  </si>
  <si>
    <t>http://nj.tjj.beijing.gov.cn/nj/main/2020-tjnj/zk/indexch.htm</t>
    <phoneticPr fontId="24" type="noConversion"/>
  </si>
  <si>
    <t>Beijing statistical Yearbook 2020</t>
    <phoneticPr fontId="24" type="noConversion"/>
  </si>
  <si>
    <t>Jiangsu statistical Yearbook 2020</t>
    <phoneticPr fontId="24" type="noConversion"/>
  </si>
  <si>
    <t>http://tj.jiangsu.gov.cn/2020/nj03/nj0307.htm</t>
  </si>
  <si>
    <t>population in the end of 2019 (10,000)</t>
    <phoneticPr fontId="24" type="noConversion"/>
  </si>
  <si>
    <t>http://tjj.ah.gov.cn/oldfiles/tjj/tjjweb/tjnj/2020/cn.html</t>
  </si>
  <si>
    <t>Anhui statistical Yearbook 2020</t>
    <phoneticPr fontId="24" type="noConversion"/>
  </si>
  <si>
    <t>Fujian statistical Yearbook 2020</t>
    <phoneticPr fontId="24" type="noConversion"/>
  </si>
  <si>
    <t>http://tjj.fujian.gov.cn/tongjinianjian/dz2020/index.htm</t>
  </si>
  <si>
    <t>Population (0.780‰)</t>
    <phoneticPr fontId="24" type="noConversion"/>
  </si>
  <si>
    <t>China Statistical Yearbook 2020</t>
    <phoneticPr fontId="24" type="noConversion"/>
  </si>
  <si>
    <t>北京</t>
    <phoneticPr fontId="24" type="noConversion"/>
  </si>
  <si>
    <t>山东</t>
    <phoneticPr fontId="24" type="noConversion"/>
  </si>
  <si>
    <t>河北</t>
    <phoneticPr fontId="24" type="noConversion"/>
  </si>
  <si>
    <t>山西</t>
    <phoneticPr fontId="24" type="noConversion"/>
  </si>
  <si>
    <t>辽宁</t>
    <phoneticPr fontId="24" type="noConversion"/>
  </si>
  <si>
    <t>河南</t>
    <phoneticPr fontId="24" type="noConversion"/>
  </si>
  <si>
    <t>黑龙江</t>
    <phoneticPr fontId="24" type="noConversion"/>
  </si>
  <si>
    <t>陕西</t>
    <phoneticPr fontId="24" type="noConversion"/>
  </si>
  <si>
    <t>湖北</t>
    <phoneticPr fontId="24" type="noConversion"/>
  </si>
  <si>
    <t>内蒙古</t>
    <phoneticPr fontId="24" type="noConversion"/>
  </si>
  <si>
    <t>吉林</t>
    <phoneticPr fontId="24" type="noConversion"/>
  </si>
  <si>
    <t>江苏</t>
    <phoneticPr fontId="24" type="noConversion"/>
  </si>
  <si>
    <t>浙江</t>
    <phoneticPr fontId="24" type="noConversion"/>
  </si>
  <si>
    <t>安徽</t>
    <phoneticPr fontId="24" type="noConversion"/>
  </si>
  <si>
    <t>四川</t>
    <phoneticPr fontId="24" type="noConversion"/>
  </si>
  <si>
    <t>江西</t>
    <phoneticPr fontId="24" type="noConversion"/>
  </si>
  <si>
    <t>天津</t>
    <phoneticPr fontId="24" type="noConversion"/>
  </si>
  <si>
    <t>广东</t>
    <phoneticPr fontId="24" type="noConversion"/>
  </si>
  <si>
    <t>甘肃</t>
    <phoneticPr fontId="24" type="noConversion"/>
  </si>
  <si>
    <t>新疆</t>
    <phoneticPr fontId="24" type="noConversion"/>
  </si>
  <si>
    <t>福建</t>
    <phoneticPr fontId="24" type="noConversion"/>
  </si>
  <si>
    <t>重庆</t>
    <phoneticPr fontId="24" type="noConversion"/>
  </si>
  <si>
    <t>云南</t>
    <phoneticPr fontId="24" type="noConversion"/>
  </si>
  <si>
    <t>宁夏</t>
    <phoneticPr fontId="24" type="noConversion"/>
  </si>
  <si>
    <t>贵州</t>
    <phoneticPr fontId="24" type="noConversion"/>
  </si>
  <si>
    <t>青海</t>
    <phoneticPr fontId="24" type="noConversion"/>
  </si>
  <si>
    <t>海南</t>
    <phoneticPr fontId="24" type="noConversion"/>
  </si>
  <si>
    <t>上海</t>
    <phoneticPr fontId="24" type="noConversion"/>
  </si>
  <si>
    <t>西藏</t>
    <phoneticPr fontId="24" type="noConversion"/>
  </si>
  <si>
    <t>湖南</t>
    <phoneticPr fontId="24" type="noConversion"/>
  </si>
  <si>
    <t>Data_source</t>
    <phoneticPr fontId="24" type="noConversion"/>
  </si>
  <si>
    <t>《中国留学回国就业蓝皮书》</t>
  </si>
  <si>
    <t>Year</t>
    <phoneticPr fontId="26" type="noConversion"/>
  </si>
  <si>
    <t>Population_in_Chinese</t>
    <phoneticPr fontId="24" type="noConversion"/>
  </si>
  <si>
    <t>Populatoin_in_English</t>
    <phoneticPr fontId="24" type="noConversion"/>
  </si>
  <si>
    <r>
      <rPr>
        <sz val="12"/>
        <color theme="1"/>
        <rFont val="KaiTi"/>
        <family val="3"/>
        <charset val="134"/>
      </rPr>
      <t>出国留学</t>
    </r>
    <phoneticPr fontId="24" type="noConversion"/>
  </si>
  <si>
    <t>Those studying abroad</t>
    <phoneticPr fontId="24" type="noConversion"/>
  </si>
  <si>
    <r>
      <rPr>
        <sz val="12"/>
        <color theme="1"/>
        <rFont val="KaiTi"/>
        <family val="3"/>
        <charset val="134"/>
      </rPr>
      <t>出国务工</t>
    </r>
    <phoneticPr fontId="24" type="noConversion"/>
  </si>
  <si>
    <t>Those working abroad</t>
    <phoneticPr fontId="24" type="noConversion"/>
  </si>
  <si>
    <t>Population</t>
    <phoneticPr fontId="24" type="noConversion"/>
  </si>
  <si>
    <r>
      <rPr>
        <sz val="12"/>
        <color theme="1"/>
        <rFont val="微软雅黑"/>
        <family val="1"/>
        <charset val="134"/>
      </rPr>
      <t>《</t>
    </r>
    <r>
      <rPr>
        <sz val="12"/>
        <color theme="1"/>
        <rFont val="Cambria"/>
        <family val="1"/>
      </rPr>
      <t>2020</t>
    </r>
    <r>
      <rPr>
        <sz val="12"/>
        <color theme="1"/>
        <rFont val="KaiTi"/>
        <family val="3"/>
        <charset val="134"/>
      </rPr>
      <t>年</t>
    </r>
    <r>
      <rPr>
        <sz val="12"/>
        <color theme="1"/>
        <rFont val="Cambria"/>
        <family val="1"/>
      </rPr>
      <t>1-10</t>
    </r>
    <r>
      <rPr>
        <sz val="12"/>
        <color theme="1"/>
        <rFont val="KaiTi"/>
        <family val="3"/>
        <charset val="134"/>
      </rPr>
      <t>月我国对外劳务合作业务简明统计</t>
    </r>
    <r>
      <rPr>
        <sz val="12"/>
        <color theme="1"/>
        <rFont val="微软雅黑"/>
        <family val="3"/>
        <charset val="134"/>
      </rPr>
      <t>》</t>
    </r>
    <phoneticPr fontId="24" type="noConversion"/>
  </si>
  <si>
    <t>《中国留学回国就业蓝皮书》；
中华人民共和国教育部</t>
    <phoneticPr fontId="24" type="noConversion"/>
  </si>
  <si>
    <t>URL</t>
    <phoneticPr fontId="26" type="noConversion"/>
  </si>
  <si>
    <t xml:space="preserve">www.moe.gov.cn/jyb_xwfb/s5147/202004/t20200401_437149.html </t>
    <phoneticPr fontId="24" type="noConversion"/>
  </si>
  <si>
    <t>http://hzs.mofcom.gov.cn/article/date/202011/20201103018497.shtml</t>
    <phoneticPr fontId="24" type="noConversion"/>
  </si>
  <si>
    <t>abroad20_24</t>
    <phoneticPr fontId="24" type="noConversion"/>
  </si>
  <si>
    <t>abroad25_29</t>
    <phoneticPr fontId="24" type="noConversion"/>
  </si>
  <si>
    <t>abroad30_34</t>
    <phoneticPr fontId="24" type="noConversion"/>
  </si>
  <si>
    <t>abroad35_39</t>
    <phoneticPr fontId="24" type="noConversion"/>
  </si>
  <si>
    <t>abroad40_44</t>
    <phoneticPr fontId="24" type="noConversion"/>
  </si>
  <si>
    <t>study proportion</t>
    <phoneticPr fontId="24" type="noConversion"/>
  </si>
  <si>
    <t>work population</t>
    <phoneticPr fontId="24" type="noConversion"/>
  </si>
  <si>
    <t>http://images.mofcom.gov.cn/fec/202011/20201109103333170.pdf</t>
  </si>
  <si>
    <t>URL</t>
    <phoneticPr fontId="24" type="noConversion"/>
  </si>
  <si>
    <t>Annual report on China international labour cooperation 2019-2020</t>
    <phoneticPr fontId="24" type="noConversion"/>
  </si>
  <si>
    <t>http://tjj.gxzf.gov.cn//tjsj/tjnj/material/tjnj20200415/2020/zk/indexch.htm</t>
  </si>
  <si>
    <t>http://tjj.cq.gov.cn/zwgk_233/tjnj/2020/indexch.htm</t>
  </si>
  <si>
    <t>http://tjj.jiangxi.gov.cn/resource/nj/2020CD/indexch.htm</t>
  </si>
  <si>
    <t>Jiangxi statistical Yearbook 2020</t>
    <phoneticPr fontId="24" type="noConversion"/>
  </si>
  <si>
    <t>Armed police</t>
    <phoneticPr fontId="24" type="noConversion"/>
  </si>
  <si>
    <t>sum</t>
    <phoneticPr fontId="24" type="noConversion"/>
  </si>
  <si>
    <t>(18-19)/(16-19)</t>
    <phoneticPr fontId="24" type="noConversion"/>
  </si>
  <si>
    <t>http://tjj.hlj.gov.cn/app/tongjnj/2020/zk/indexch.htm</t>
  </si>
  <si>
    <t>Heilongjiang statistical Yearbook 2020</t>
    <phoneticPr fontId="24" type="noConversion"/>
  </si>
  <si>
    <t>China Population &amp; Employment Statistics Yearbook 2020</t>
  </si>
  <si>
    <t>URL</t>
    <phoneticPr fontId="24" type="noConversion"/>
  </si>
  <si>
    <t>http://www.stats.gov.cn/tjsj/pcsj/jjpc/4jp/indexch.htm</t>
  </si>
  <si>
    <t>http://oss.henan.gov.cn/sbgt-wztipt/attachment/hntjj/hntj/lib/tjnj/2020nj/zk/indexch.htm</t>
  </si>
  <si>
    <t>Henan statistical Yearbook 2020</t>
    <phoneticPr fontId="24" type="noConversion"/>
  </si>
  <si>
    <t>http://tjj.hebei.gov.cn/res/hetj/upload/file/20210519/%E5%85%AC%E6%8A%A5%E5%9B%9B_101721.pdf</t>
  </si>
  <si>
    <t>http://tjj.jl.gov.cn/tjsj/tjgb/pcjqtgb/202105/t20210524_8079042.html</t>
  </si>
  <si>
    <t>http://stats.tj.gov.cn/tjsj_52032/tjgb/202105/t20210521_5457266.html</t>
  </si>
  <si>
    <t>Communiqué of the Seventh National Census in Tianjin</t>
    <phoneticPr fontId="24" type="noConversion"/>
  </si>
  <si>
    <t>Communiqué of the Seventh National Census in Hebei</t>
    <phoneticPr fontId="24" type="noConversion"/>
  </si>
  <si>
    <t>age15_59</t>
    <phoneticPr fontId="24" type="noConversion"/>
  </si>
  <si>
    <t>Communiqué of the Seventh National Census in Jilin</t>
    <phoneticPr fontId="24" type="noConversion"/>
  </si>
  <si>
    <t>http://tjj.shanxi.gov.cn/tjsj/tjgb/202105/t20210526_113660.shtml</t>
  </si>
  <si>
    <t>Communiqué of the Seventh National Census in Shanxi</t>
    <phoneticPr fontId="24" type="noConversion"/>
  </si>
  <si>
    <t>http://tj.nmg.gov.cn/tjyw/tjgb/202105/t20210526_1596842.html</t>
  </si>
  <si>
    <t>Communiqué of the Seventh National Census in Inner Mongolia</t>
    <phoneticPr fontId="24" type="noConversion"/>
  </si>
  <si>
    <t>Communiqué of the Seventh National Census in Liaoning</t>
    <phoneticPr fontId="24" type="noConversion"/>
  </si>
  <si>
    <t>http://tjj.ln.gov.cn/tjsj/tjgb/rkpcgb/202105/t20210530_4139312.html</t>
  </si>
  <si>
    <t>http://tjj.sh.gov.cn/tjgb/20210517/cc22f48611f24627bc5ee2ae96ca56d4.html</t>
  </si>
  <si>
    <t>Communiqué of the Seventh National Census in Shanghai</t>
    <phoneticPr fontId="24" type="noConversion"/>
  </si>
  <si>
    <t>http://tjj.zj.gov.cn/art/2021/5/13/art_1229129205_4632764.html</t>
  </si>
  <si>
    <t>Communiqué of the Seventh National Census in Zhejiang</t>
    <phoneticPr fontId="24" type="noConversion"/>
  </si>
  <si>
    <t>Communiqué of the Seventh National Census in Hubei</t>
    <phoneticPr fontId="24" type="noConversion"/>
  </si>
  <si>
    <t>http://tjj.hubei.gov.cn/tjsj/tjgb/pcgb/qrp/202105/t20210526_3560276.shtml</t>
  </si>
  <si>
    <t>http://tjj.shandong.gov.cn/art/2021/5/21/art_156112_10287520.html</t>
  </si>
  <si>
    <t>Communiqué of the Seventh National Census in Shandong</t>
    <phoneticPr fontId="24" type="noConversion"/>
  </si>
  <si>
    <t>Communiqué of the Seventh National Census in Hunan</t>
    <phoneticPr fontId="24" type="noConversion"/>
  </si>
  <si>
    <t>http://tjj.hunan.gov.cn/hntj/m/tjgb_1/202105/t20210519_19054787.html</t>
  </si>
  <si>
    <t>Communiqué of the Seventh National Census in Guangdong</t>
    <phoneticPr fontId="24" type="noConversion"/>
  </si>
  <si>
    <t>http://stats.gd.gov.cn/tjgb/content/post_3283432.html</t>
  </si>
  <si>
    <t>Communiqué of the Seventh National Census in Guangxi</t>
    <phoneticPr fontId="24" type="noConversion"/>
  </si>
  <si>
    <t>Communiqué of the Seventh National Census in Hainan</t>
    <phoneticPr fontId="24" type="noConversion"/>
  </si>
  <si>
    <t>http://stats.hainan.gov.cn/tjj/ztzl/rkpc/pcyw/202105/t20210512_2977792.html</t>
  </si>
  <si>
    <t>http://hgk.guizhou.gov.cn/publish/articles/c8/2021/05/a683/a683.html?locationhref=http%3A%2F%2Fhgk.guizhou.gov.cn%2Fpublish%2Fchannels%2Fc8%2Fc8_1psSuffix&amp;pagesize=15&amp;curpage=1&amp;curainum=3</t>
  </si>
  <si>
    <t>http://tjj.sc.gov.cn/scstjj/tjgb/2021/5/26/71a9e35493564e019268b2de2cd0a986.shtml</t>
  </si>
  <si>
    <t>Communiqué of the Seventh National Census in Chongqing</t>
    <phoneticPr fontId="24" type="noConversion"/>
  </si>
  <si>
    <t>Communiqué of the Seventh National Census in Sichuan</t>
    <phoneticPr fontId="24" type="noConversion"/>
  </si>
  <si>
    <t>Communiqué of the Seventh National Census in Guizhou</t>
    <phoneticPr fontId="24" type="noConversion"/>
  </si>
  <si>
    <t>Communiqué of the Seventh National Census in Yunan</t>
    <phoneticPr fontId="24" type="noConversion"/>
  </si>
  <si>
    <t>http://stats.yn.gov.cn/phone/tjsj/jjxx/202105/t20210517_1051976.html</t>
  </si>
  <si>
    <t>http://tjj.xizang.gov.cn/xxgk/tjxx/tjgb/202105/t20210520_202889.html</t>
  </si>
  <si>
    <t>Communiqué of the Seventh National Census in Tibet</t>
    <phoneticPr fontId="24" type="noConversion"/>
  </si>
  <si>
    <t>Communiqué of the Seventh National Census in Shaanxi</t>
    <phoneticPr fontId="24" type="noConversion"/>
  </si>
  <si>
    <t>http://tjj.shaanxi.gov.cn/tjsj/ndsj/tjgb/qs_444/202105/t20210528_2177395.html</t>
  </si>
  <si>
    <t>http://tjj.gansu.gov.cn/tjj/c109457/202105/4767501165d9432188e89ec403a96839.shtml</t>
  </si>
  <si>
    <t>Communiqué of the Seventh National Census in Gansu</t>
    <phoneticPr fontId="24" type="noConversion"/>
  </si>
  <si>
    <t>http://tjj.qinghai.gov.cn/tjData/surveyBulletin/202107/t20210701_73828.html</t>
  </si>
  <si>
    <t>Communiqué of the Seventh National Census in Qinghai</t>
    <phoneticPr fontId="24" type="noConversion"/>
  </si>
  <si>
    <t>http://tj.nx.gov.cn/tjsj_htr/tjgb_htr/202105/t20210525_2854368.html</t>
  </si>
  <si>
    <t>Communiqué of the Seventh National Census in Ningxia</t>
    <phoneticPr fontId="24" type="noConversion"/>
  </si>
  <si>
    <t>http://tjj.xinjiang.gov.cn/tjj/tjgn/202106/edf2c44c34f645b2b475c8910afc9b19.shtml</t>
  </si>
  <si>
    <t>Communiqué of the Seventh National Census in Xinjiang</t>
    <phoneticPr fontId="24" type="noConversion"/>
  </si>
  <si>
    <t>Diabetes mellitus type 1 without complications</t>
  </si>
  <si>
    <t>Diabetes mellitus type 2 without complications</t>
  </si>
  <si>
    <t>Idiopathic epilepsy</t>
  </si>
  <si>
    <t>Diabetes mellitus type 1 with complications</t>
  </si>
  <si>
    <t>Diabetes mellitus type 2 with complications</t>
  </si>
  <si>
    <t>J. Lu, et al. Prevalence, awareness, treatment, and control of hypertension in China: data from 1·7 million adults in a population-based screening study (China PEACE Million Persons Project). Lancet 2017; 390: 2549–58</t>
    <phoneticPr fontId="24" type="noConversion"/>
  </si>
  <si>
    <t>Any contraindication (&gt;=1 underlying diseases)</t>
    <phoneticPr fontId="24" type="noConversion"/>
  </si>
  <si>
    <t>Any comorbidity (&gt;=1 underlying diseases)</t>
    <phoneticPr fontId="24" type="noConversion"/>
  </si>
  <si>
    <t>Chronic kidney disease due to hypertension</t>
    <phoneticPr fontId="24" type="noConversion"/>
  </si>
  <si>
    <t>Controlled hypertension_Chronic kidney disease due to hypertension</t>
    <phoneticPr fontId="24" type="noConversion"/>
  </si>
  <si>
    <t>Hypertensive heart disease</t>
    <phoneticPr fontId="24" type="noConversion"/>
  </si>
  <si>
    <t>Controlled hypertension_Hypertensive heart disease</t>
    <phoneticPr fontId="24" type="noConversion"/>
  </si>
  <si>
    <t>Uncontrolled hypertension_Chronic kidney disease due to hypertension</t>
    <phoneticPr fontId="24" type="noConversion"/>
  </si>
  <si>
    <t>Uncontrolled hypertension_Hypertensive heart disease</t>
    <phoneticPr fontId="2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</si>
</sst>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 * #,##0.00_ ;_ * \-#,##0.00_ ;_ * &quot;-&quot;??_ ;_ @_ "/>
    <numFmt numFmtId="176" formatCode="#,##0_);[Red]\(#,##0\)"/>
    <numFmt numFmtId="177" formatCode="#,##0_ "/>
    <numFmt numFmtId="178" formatCode="#,##0_);\(#,##0\)"/>
  </numFmts>
  <fonts count="39" x14ac:knownFonts="1">
    <font>
      <sz val="11"/>
      <color theme="1"/>
      <name val="等线"/>
      <charset val="134"/>
      <scheme val="minor"/>
    </font>
    <font>
      <sz val="11"/>
      <color theme="1"/>
      <name val="等线"/>
      <family val="2"/>
      <scheme val="minor"/>
    </font>
    <font>
      <sz val="11"/>
      <color theme="1"/>
      <name val="等线"/>
      <family val="2"/>
      <charset val="134"/>
      <scheme val="minor"/>
    </font>
    <font>
      <sz val="11"/>
      <color theme="1"/>
      <name val="KaiTi"/>
      <family val="3"/>
      <charset val="134"/>
    </font>
    <font>
      <sz val="11"/>
      <color theme="1"/>
      <name val="Cambria"/>
      <family val="1"/>
    </font>
    <font>
      <sz val="11"/>
      <name val="Cambria"/>
      <family val="1"/>
    </font>
    <font>
      <sz val="11"/>
      <color rgb="FF000000"/>
      <name val="Cambria"/>
      <family val="1"/>
    </font>
    <font>
      <sz val="11"/>
      <name val="KaiTi"/>
      <family val="3"/>
      <charset val="134"/>
    </font>
    <font>
      <sz val="10"/>
      <name val="Cambria"/>
      <family val="1"/>
    </font>
    <font>
      <b/>
      <sz val="12"/>
      <color theme="1"/>
      <name val="Cambria"/>
      <family val="1"/>
    </font>
    <font>
      <sz val="12"/>
      <name val="Cambria"/>
      <family val="1"/>
    </font>
    <font>
      <sz val="12"/>
      <color theme="1"/>
      <name val="Cambria"/>
      <family val="1"/>
    </font>
    <font>
      <b/>
      <sz val="12"/>
      <name val="Cambria"/>
      <family val="1"/>
    </font>
    <font>
      <sz val="12"/>
      <color theme="1"/>
      <name val="KaiTi"/>
      <family val="3"/>
      <charset val="134"/>
    </font>
    <font>
      <b/>
      <sz val="11"/>
      <color theme="1"/>
      <name val="等线"/>
      <family val="3"/>
      <charset val="134"/>
      <scheme val="minor"/>
    </font>
    <font>
      <b/>
      <sz val="11"/>
      <color theme="1"/>
      <name val="Cambria"/>
      <family val="1"/>
    </font>
    <font>
      <u/>
      <sz val="12"/>
      <color theme="10"/>
      <name val="Cambria"/>
      <family val="1"/>
    </font>
    <font>
      <u/>
      <sz val="11"/>
      <color theme="10"/>
      <name val="等线"/>
      <family val="3"/>
      <charset val="134"/>
      <scheme val="minor"/>
    </font>
    <font>
      <b/>
      <sz val="12"/>
      <color rgb="FF000000"/>
      <name val="Cambria"/>
      <family val="1"/>
    </font>
    <font>
      <sz val="11"/>
      <color theme="1"/>
      <name val="等线"/>
      <family val="3"/>
      <charset val="134"/>
      <scheme val="minor"/>
    </font>
    <font>
      <sz val="10"/>
      <name val="Arial"/>
      <family val="2"/>
    </font>
    <font>
      <sz val="12"/>
      <name val="宋体"/>
      <family val="3"/>
      <charset val="134"/>
    </font>
    <font>
      <sz val="11"/>
      <color theme="1"/>
      <name val="等线"/>
      <family val="3"/>
      <charset val="134"/>
    </font>
    <font>
      <sz val="12"/>
      <color theme="1"/>
      <name val="等线"/>
      <family val="3"/>
      <charset val="134"/>
    </font>
    <font>
      <sz val="9"/>
      <name val="等线"/>
      <family val="3"/>
      <charset val="134"/>
      <scheme val="minor"/>
    </font>
    <font>
      <b/>
      <sz val="12"/>
      <color theme="1"/>
      <name val="宋体"/>
      <family val="3"/>
      <charset val="134"/>
    </font>
    <font>
      <sz val="9"/>
      <name val="等线"/>
      <family val="2"/>
      <charset val="134"/>
      <scheme val="minor"/>
    </font>
    <font>
      <sz val="12"/>
      <name val="宋体"/>
      <family val="3"/>
      <charset val="134"/>
    </font>
    <font>
      <b/>
      <sz val="12"/>
      <color rgb="FFFF0000"/>
      <name val="Cambria"/>
      <family val="1"/>
    </font>
    <font>
      <sz val="12"/>
      <color theme="1"/>
      <name val="等线"/>
      <family val="3"/>
      <charset val="134"/>
      <scheme val="minor"/>
    </font>
    <font>
      <sz val="12"/>
      <color theme="1"/>
      <name val="宋体"/>
      <family val="3"/>
      <charset val="134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sz val="9"/>
      <name val="等线"/>
      <family val="3"/>
      <charset val="134"/>
      <scheme val="minor"/>
    </font>
    <font>
      <sz val="12"/>
      <color rgb="FFFF0000"/>
      <name val="Cambria"/>
      <family val="1"/>
    </font>
    <font>
      <sz val="12"/>
      <color theme="1"/>
      <name val="Cambria"/>
      <family val="1"/>
      <charset val="134"/>
    </font>
    <font>
      <sz val="12"/>
      <color theme="1"/>
      <name val="微软雅黑"/>
      <family val="1"/>
      <charset val="134"/>
    </font>
    <font>
      <sz val="12"/>
      <color theme="1"/>
      <name val="微软雅黑"/>
      <family val="3"/>
      <charset val="134"/>
    </font>
    <font>
      <sz val="12"/>
      <name val="宋体"/>
      <family val="3"/>
      <charset val="134"/>
    </font>
  </fonts>
  <fills count="11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7" tint="0.7998290963469344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85351115451523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C0000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">
    <xf numFmtId="0" fontId="0" fillId="0" borderId="0">
      <alignment vertical="center"/>
    </xf>
    <xf numFmtId="43" fontId="19" fillId="0" borderId="0" applyFont="0" applyFill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9" fontId="19" fillId="0" borderId="0" applyFont="0" applyFill="0" applyBorder="0" applyAlignment="0" applyProtection="0">
      <alignment vertical="center"/>
    </xf>
    <xf numFmtId="0" fontId="21" fillId="0" borderId="0"/>
    <xf numFmtId="0" fontId="20" fillId="0" borderId="0"/>
    <xf numFmtId="0" fontId="19" fillId="0" borderId="0">
      <alignment vertical="center"/>
    </xf>
    <xf numFmtId="0" fontId="19" fillId="0" borderId="0">
      <alignment vertical="center"/>
    </xf>
    <xf numFmtId="0" fontId="27" fillId="0" borderId="0" applyProtection="0">
      <alignment vertical="center"/>
    </xf>
    <xf numFmtId="0" fontId="2" fillId="0" borderId="0">
      <alignment vertical="center"/>
    </xf>
    <xf numFmtId="0" fontId="1" fillId="0" borderId="0"/>
    <xf numFmtId="0" fontId="38" fillId="0" borderId="0"/>
    <xf numFmtId="0" fontId="21" fillId="0" borderId="0"/>
  </cellStyleXfs>
  <cellXfs count="158">
    <xf numFmtId="0" fontId="0" fillId="0" borderId="0" xfId="0">
      <alignment vertical="center"/>
    </xf>
    <xf numFmtId="0" fontId="3" fillId="0" borderId="0" xfId="0" applyFont="1" applyFill="1" applyAlignment="1">
      <alignment horizontal="left" vertical="center"/>
    </xf>
    <xf numFmtId="0" fontId="4" fillId="0" borderId="0" xfId="0" applyFont="1" applyFill="1" applyAlignment="1">
      <alignment horizontal="left" vertical="center"/>
    </xf>
    <xf numFmtId="0" fontId="4" fillId="0" borderId="0" xfId="0" applyFont="1">
      <alignment vertical="center"/>
    </xf>
    <xf numFmtId="0" fontId="4" fillId="0" borderId="0" xfId="0" applyFont="1" applyFill="1" applyBorder="1" applyAlignment="1">
      <alignment horizontal="left" vertical="center"/>
    </xf>
    <xf numFmtId="0" fontId="4" fillId="0" borderId="0" xfId="0" applyFont="1" applyBorder="1">
      <alignment vertical="center"/>
    </xf>
    <xf numFmtId="49" fontId="5" fillId="0" borderId="0" xfId="0" applyNumberFormat="1" applyFont="1" applyFill="1" applyBorder="1" applyAlignment="1">
      <alignment horizontal="left" vertical="center"/>
    </xf>
    <xf numFmtId="0" fontId="6" fillId="0" borderId="0" xfId="0" applyFont="1" applyFill="1" applyBorder="1" applyAlignment="1">
      <alignment horizontal="left" vertical="center"/>
    </xf>
    <xf numFmtId="49" fontId="7" fillId="0" borderId="0" xfId="0" applyNumberFormat="1" applyFont="1" applyFill="1" applyBorder="1" applyAlignment="1">
      <alignment horizontal="left" vertical="center"/>
    </xf>
    <xf numFmtId="0" fontId="8" fillId="0" borderId="0" xfId="0" applyFont="1" applyBorder="1">
      <alignment vertical="center"/>
    </xf>
    <xf numFmtId="0" fontId="19" fillId="0" borderId="0" xfId="7">
      <alignment vertical="center"/>
    </xf>
    <xf numFmtId="0" fontId="9" fillId="2" borderId="1" xfId="7" applyFont="1" applyFill="1" applyBorder="1" applyAlignment="1">
      <alignment horizontal="center" vertical="center" wrapText="1"/>
    </xf>
    <xf numFmtId="10" fontId="9" fillId="2" borderId="1" xfId="4" applyNumberFormat="1" applyFont="1" applyFill="1" applyBorder="1" applyAlignment="1">
      <alignment horizontal="center" vertical="center" wrapText="1"/>
    </xf>
    <xf numFmtId="0" fontId="9" fillId="0" borderId="1" xfId="7" applyFont="1" applyFill="1" applyBorder="1" applyAlignment="1">
      <alignment horizontal="center" vertical="center" wrapText="1"/>
    </xf>
    <xf numFmtId="0" fontId="9" fillId="2" borderId="1" xfId="7" applyFont="1" applyFill="1" applyBorder="1" applyAlignment="1">
      <alignment vertical="center"/>
    </xf>
    <xf numFmtId="0" fontId="10" fillId="2" borderId="1" xfId="7" applyFont="1" applyFill="1" applyBorder="1" applyAlignment="1">
      <alignment horizontal="right" vertical="center"/>
    </xf>
    <xf numFmtId="10" fontId="10" fillId="2" borderId="1" xfId="4" applyNumberFormat="1" applyFont="1" applyFill="1" applyBorder="1" applyAlignment="1">
      <alignment horizontal="right" vertical="center"/>
    </xf>
    <xf numFmtId="0" fontId="11" fillId="2" borderId="1" xfId="7" applyFont="1" applyFill="1" applyBorder="1" applyAlignment="1">
      <alignment vertical="center"/>
    </xf>
    <xf numFmtId="10" fontId="11" fillId="2" borderId="1" xfId="4" applyNumberFormat="1" applyFont="1" applyFill="1" applyBorder="1">
      <alignment vertical="center"/>
    </xf>
    <xf numFmtId="10" fontId="9" fillId="0" borderId="1" xfId="4" applyNumberFormat="1" applyFont="1" applyFill="1" applyBorder="1" applyAlignment="1">
      <alignment horizontal="center" vertical="center" wrapText="1"/>
    </xf>
    <xf numFmtId="0" fontId="12" fillId="2" borderId="1" xfId="7" applyFont="1" applyFill="1" applyBorder="1" applyAlignment="1">
      <alignment horizontal="center" vertical="center" wrapText="1"/>
    </xf>
    <xf numFmtId="0" fontId="11" fillId="2" borderId="1" xfId="4" applyNumberFormat="1" applyFont="1" applyFill="1" applyBorder="1">
      <alignment vertical="center"/>
    </xf>
    <xf numFmtId="0" fontId="10" fillId="0" borderId="1" xfId="7" applyFont="1" applyBorder="1" applyAlignment="1">
      <alignment horizontal="right" vertical="center"/>
    </xf>
    <xf numFmtId="10" fontId="11" fillId="2" borderId="1" xfId="7" applyNumberFormat="1" applyFont="1" applyFill="1" applyBorder="1" applyAlignment="1">
      <alignment vertical="center"/>
    </xf>
    <xf numFmtId="0" fontId="9" fillId="3" borderId="1" xfId="7" applyFont="1" applyFill="1" applyBorder="1" applyAlignment="1">
      <alignment horizontal="center" vertical="center" wrapText="1"/>
    </xf>
    <xf numFmtId="176" fontId="9" fillId="0" borderId="1" xfId="7" applyNumberFormat="1" applyFont="1" applyFill="1" applyBorder="1" applyAlignment="1">
      <alignment horizontal="center" vertical="center" wrapText="1"/>
    </xf>
    <xf numFmtId="0" fontId="10" fillId="0" borderId="1" xfId="7" applyFont="1" applyFill="1" applyBorder="1" applyAlignment="1">
      <alignment horizontal="right" vertical="center"/>
    </xf>
    <xf numFmtId="176" fontId="11" fillId="2" borderId="1" xfId="4" applyNumberFormat="1" applyFont="1" applyFill="1" applyBorder="1">
      <alignment vertical="center"/>
    </xf>
    <xf numFmtId="3" fontId="11" fillId="2" borderId="1" xfId="4" applyNumberFormat="1" applyFont="1" applyFill="1" applyBorder="1">
      <alignment vertical="center"/>
    </xf>
    <xf numFmtId="0" fontId="11" fillId="0" borderId="1" xfId="7" applyFont="1" applyFill="1" applyBorder="1" applyAlignment="1">
      <alignment vertical="center"/>
    </xf>
    <xf numFmtId="176" fontId="11" fillId="2" borderId="1" xfId="7" applyNumberFormat="1" applyFont="1" applyFill="1" applyBorder="1" applyAlignment="1">
      <alignment vertical="center"/>
    </xf>
    <xf numFmtId="176" fontId="11" fillId="0" borderId="1" xfId="0" applyNumberFormat="1" applyFont="1" applyFill="1" applyBorder="1" applyAlignment="1">
      <alignment vertical="center"/>
    </xf>
    <xf numFmtId="0" fontId="19" fillId="0" borderId="1" xfId="7" applyBorder="1">
      <alignment vertical="center"/>
    </xf>
    <xf numFmtId="0" fontId="9" fillId="2" borderId="2" xfId="7" applyFont="1" applyFill="1" applyBorder="1" applyAlignment="1">
      <alignment horizontal="center" vertical="center" wrapText="1"/>
    </xf>
    <xf numFmtId="0" fontId="11" fillId="0" borderId="0" xfId="7" applyFont="1" applyFill="1">
      <alignment vertical="center"/>
    </xf>
    <xf numFmtId="0" fontId="19" fillId="0" borderId="0" xfId="7" applyAlignment="1">
      <alignment vertical="center"/>
    </xf>
    <xf numFmtId="0" fontId="9" fillId="0" borderId="0" xfId="7" applyFont="1" applyAlignment="1">
      <alignment vertical="center"/>
    </xf>
    <xf numFmtId="0" fontId="11" fillId="0" borderId="0" xfId="7" applyFont="1" applyAlignment="1">
      <alignment vertical="center"/>
    </xf>
    <xf numFmtId="0" fontId="19" fillId="0" borderId="0" xfId="7" applyAlignment="1">
      <alignment horizontal="right" vertical="center"/>
    </xf>
    <xf numFmtId="176" fontId="9" fillId="0" borderId="0" xfId="7" applyNumberFormat="1" applyFont="1">
      <alignment vertical="center"/>
    </xf>
    <xf numFmtId="0" fontId="9" fillId="0" borderId="0" xfId="7" applyFont="1" applyAlignment="1">
      <alignment vertical="center" wrapText="1"/>
    </xf>
    <xf numFmtId="176" fontId="9" fillId="0" borderId="0" xfId="7" applyNumberFormat="1" applyFont="1" applyAlignment="1">
      <alignment horizontal="left" vertical="center"/>
    </xf>
    <xf numFmtId="0" fontId="11" fillId="0" borderId="0" xfId="7" applyFont="1">
      <alignment vertical="center"/>
    </xf>
    <xf numFmtId="3" fontId="11" fillId="0" borderId="0" xfId="7" applyNumberFormat="1" applyFont="1">
      <alignment vertical="center"/>
    </xf>
    <xf numFmtId="10" fontId="11" fillId="0" borderId="0" xfId="4" applyNumberFormat="1" applyFont="1" applyFill="1">
      <alignment vertical="center"/>
    </xf>
    <xf numFmtId="177" fontId="11" fillId="0" borderId="0" xfId="7" applyNumberFormat="1" applyFont="1">
      <alignment vertical="center"/>
    </xf>
    <xf numFmtId="177" fontId="19" fillId="0" borderId="0" xfId="7" applyNumberFormat="1">
      <alignment vertical="center"/>
    </xf>
    <xf numFmtId="10" fontId="13" fillId="0" borderId="0" xfId="4" applyNumberFormat="1" applyFont="1" applyFill="1">
      <alignment vertical="center"/>
    </xf>
    <xf numFmtId="0" fontId="14" fillId="0" borderId="0" xfId="0" applyFont="1">
      <alignment vertical="center"/>
    </xf>
    <xf numFmtId="0" fontId="15" fillId="0" borderId="0" xfId="0" applyFont="1" applyBorder="1">
      <alignment vertical="center"/>
    </xf>
    <xf numFmtId="176" fontId="9" fillId="0" borderId="0" xfId="7" applyNumberFormat="1" applyFont="1" applyFill="1" applyBorder="1" applyAlignment="1">
      <alignment horizontal="left" vertical="center"/>
    </xf>
    <xf numFmtId="0" fontId="9" fillId="0" borderId="0" xfId="0" applyFont="1">
      <alignment vertical="center"/>
    </xf>
    <xf numFmtId="0" fontId="11" fillId="0" borderId="0" xfId="0" applyFont="1">
      <alignment vertical="center"/>
    </xf>
    <xf numFmtId="0" fontId="9" fillId="0" borderId="0" xfId="0" applyFont="1" applyBorder="1">
      <alignment vertical="center"/>
    </xf>
    <xf numFmtId="0" fontId="16" fillId="0" borderId="0" xfId="2" applyFont="1" applyBorder="1">
      <alignment vertical="center"/>
    </xf>
    <xf numFmtId="0" fontId="12" fillId="0" borderId="0" xfId="8" applyFont="1" applyAlignment="1">
      <alignment horizontal="left" vertical="center"/>
    </xf>
    <xf numFmtId="176" fontId="9" fillId="0" borderId="0" xfId="8" applyNumberFormat="1" applyFont="1" applyAlignment="1">
      <alignment horizontal="left" vertical="center"/>
    </xf>
    <xf numFmtId="0" fontId="10" fillId="0" borderId="0" xfId="8" applyFont="1" applyAlignment="1">
      <alignment horizontal="left" vertical="center"/>
    </xf>
    <xf numFmtId="0" fontId="19" fillId="0" borderId="0" xfId="8" applyFill="1">
      <alignment vertical="center"/>
    </xf>
    <xf numFmtId="0" fontId="19" fillId="0" borderId="0" xfId="8">
      <alignment vertical="center"/>
    </xf>
    <xf numFmtId="0" fontId="19" fillId="0" borderId="0" xfId="8" applyAlignment="1">
      <alignment vertical="center" wrapText="1"/>
    </xf>
    <xf numFmtId="10" fontId="0" fillId="0" borderId="0" xfId="4" applyNumberFormat="1" applyFont="1">
      <alignment vertical="center"/>
    </xf>
    <xf numFmtId="0" fontId="19" fillId="0" borderId="0" xfId="8" applyAlignment="1">
      <alignment vertical="center"/>
    </xf>
    <xf numFmtId="176" fontId="9" fillId="0" borderId="0" xfId="8" applyNumberFormat="1" applyFont="1">
      <alignment vertical="center"/>
    </xf>
    <xf numFmtId="0" fontId="9" fillId="0" borderId="0" xfId="8" applyFont="1" applyAlignment="1">
      <alignment vertical="center" wrapText="1"/>
    </xf>
    <xf numFmtId="0" fontId="9" fillId="0" borderId="0" xfId="8" applyFont="1">
      <alignment vertical="center"/>
    </xf>
    <xf numFmtId="0" fontId="9" fillId="0" borderId="0" xfId="8" applyFont="1" applyFill="1">
      <alignment vertical="center"/>
    </xf>
    <xf numFmtId="10" fontId="9" fillId="4" borderId="0" xfId="4" applyNumberFormat="1" applyFont="1" applyFill="1">
      <alignment vertical="center"/>
    </xf>
    <xf numFmtId="176" fontId="11" fillId="0" borderId="0" xfId="8" applyNumberFormat="1" applyFont="1">
      <alignment vertical="center"/>
    </xf>
    <xf numFmtId="0" fontId="11" fillId="0" borderId="0" xfId="8" applyFont="1">
      <alignment vertical="center"/>
    </xf>
    <xf numFmtId="176" fontId="11" fillId="5" borderId="0" xfId="8" applyNumberFormat="1" applyFont="1" applyFill="1">
      <alignment vertical="center"/>
    </xf>
    <xf numFmtId="10" fontId="11" fillId="5" borderId="0" xfId="4" applyNumberFormat="1" applyFont="1" applyFill="1">
      <alignment vertical="center"/>
    </xf>
    <xf numFmtId="0" fontId="11" fillId="0" borderId="0" xfId="8" applyFont="1" applyFill="1">
      <alignment vertical="center"/>
    </xf>
    <xf numFmtId="176" fontId="11" fillId="6" borderId="0" xfId="8" applyNumberFormat="1" applyFont="1" applyFill="1">
      <alignment vertical="center"/>
    </xf>
    <xf numFmtId="10" fontId="11" fillId="4" borderId="0" xfId="4" applyNumberFormat="1" applyFont="1" applyFill="1">
      <alignment vertical="center"/>
    </xf>
    <xf numFmtId="176" fontId="11" fillId="0" borderId="0" xfId="8" applyNumberFormat="1" applyFont="1" applyFill="1">
      <alignment vertical="center"/>
    </xf>
    <xf numFmtId="0" fontId="9" fillId="4" borderId="0" xfId="8" applyFont="1" applyFill="1">
      <alignment vertical="center"/>
    </xf>
    <xf numFmtId="0" fontId="9" fillId="0" borderId="0" xfId="8" applyFont="1" applyAlignment="1">
      <alignment horizontal="left" vertical="center"/>
    </xf>
    <xf numFmtId="176" fontId="9" fillId="0" borderId="0" xfId="8" applyNumberFormat="1" applyFont="1" applyAlignment="1">
      <alignment vertical="center"/>
    </xf>
    <xf numFmtId="0" fontId="11" fillId="0" borderId="0" xfId="8" applyFont="1" applyAlignment="1">
      <alignment vertical="center"/>
    </xf>
    <xf numFmtId="0" fontId="16" fillId="0" borderId="0" xfId="2" applyFont="1" applyAlignment="1">
      <alignment vertical="center"/>
    </xf>
    <xf numFmtId="0" fontId="11" fillId="0" borderId="0" xfId="8" applyFont="1" applyFill="1" applyAlignment="1">
      <alignment vertical="center"/>
    </xf>
    <xf numFmtId="176" fontId="10" fillId="0" borderId="0" xfId="6" applyNumberFormat="1" applyFont="1" applyAlignment="1">
      <alignment vertical="center"/>
    </xf>
    <xf numFmtId="176" fontId="9" fillId="0" borderId="0" xfId="7" applyNumberFormat="1" applyFont="1" applyFill="1" applyBorder="1" applyAlignment="1">
      <alignment horizontal="center" vertical="center"/>
    </xf>
    <xf numFmtId="176" fontId="15" fillId="0" borderId="0" xfId="0" applyNumberFormat="1" applyFont="1" applyBorder="1">
      <alignment vertical="center"/>
    </xf>
    <xf numFmtId="176" fontId="4" fillId="0" borderId="0" xfId="0" applyNumberFormat="1" applyFont="1" applyBorder="1">
      <alignment vertical="center"/>
    </xf>
    <xf numFmtId="178" fontId="4" fillId="0" borderId="0" xfId="1" applyNumberFormat="1" applyFont="1" applyBorder="1">
      <alignment vertical="center"/>
    </xf>
    <xf numFmtId="176" fontId="8" fillId="0" borderId="0" xfId="0" applyNumberFormat="1" applyFont="1" applyBorder="1" applyAlignment="1">
      <alignment horizontal="right" vertical="center"/>
    </xf>
    <xf numFmtId="176" fontId="11" fillId="0" borderId="0" xfId="7" applyNumberFormat="1" applyFont="1" applyFill="1" applyBorder="1" applyAlignment="1">
      <alignment vertical="center"/>
    </xf>
    <xf numFmtId="0" fontId="0" fillId="0" borderId="0" xfId="0" applyAlignment="1">
      <alignment horizontal="left" vertical="center"/>
    </xf>
    <xf numFmtId="0" fontId="9" fillId="2" borderId="1" xfId="7" applyFont="1" applyFill="1" applyBorder="1" applyAlignment="1">
      <alignment horizontal="left" vertical="center"/>
    </xf>
    <xf numFmtId="10" fontId="9" fillId="2" borderId="1" xfId="4" applyNumberFormat="1" applyFont="1" applyFill="1" applyBorder="1" applyAlignment="1">
      <alignment horizontal="left" vertical="center"/>
    </xf>
    <xf numFmtId="10" fontId="11" fillId="2" borderId="1" xfId="4" applyNumberFormat="1" applyFont="1" applyFill="1" applyBorder="1" applyAlignment="1">
      <alignment vertical="center"/>
    </xf>
    <xf numFmtId="0" fontId="9" fillId="0" borderId="1" xfId="7" applyFont="1" applyFill="1" applyBorder="1" applyAlignment="1">
      <alignment horizontal="left" vertical="center"/>
    </xf>
    <xf numFmtId="10" fontId="9" fillId="0" borderId="1" xfId="4" applyNumberFormat="1" applyFont="1" applyFill="1" applyBorder="1" applyAlignment="1">
      <alignment horizontal="left" vertical="center"/>
    </xf>
    <xf numFmtId="0" fontId="11" fillId="2" borderId="1" xfId="4" applyNumberFormat="1" applyFont="1" applyFill="1" applyBorder="1" applyAlignment="1">
      <alignment vertical="center"/>
    </xf>
    <xf numFmtId="0" fontId="12" fillId="2" borderId="1" xfId="7" applyFont="1" applyFill="1" applyBorder="1" applyAlignment="1">
      <alignment horizontal="left" vertical="center"/>
    </xf>
    <xf numFmtId="0" fontId="9" fillId="3" borderId="1" xfId="7" applyFont="1" applyFill="1" applyBorder="1" applyAlignment="1">
      <alignment horizontal="left" vertical="center"/>
    </xf>
    <xf numFmtId="176" fontId="11" fillId="2" borderId="1" xfId="4" applyNumberFormat="1" applyFont="1" applyFill="1" applyBorder="1" applyAlignment="1">
      <alignment vertical="center"/>
    </xf>
    <xf numFmtId="3" fontId="11" fillId="2" borderId="1" xfId="4" applyNumberFormat="1" applyFont="1" applyFill="1" applyBorder="1" applyAlignment="1">
      <alignment vertical="center"/>
    </xf>
    <xf numFmtId="0" fontId="19" fillId="0" borderId="1" xfId="7" applyBorder="1" applyAlignment="1">
      <alignment vertical="center"/>
    </xf>
    <xf numFmtId="0" fontId="9" fillId="0" borderId="0" xfId="0" applyFont="1" applyFill="1" applyBorder="1">
      <alignment vertical="center"/>
    </xf>
    <xf numFmtId="0" fontId="11" fillId="0" borderId="0" xfId="0" applyFont="1" applyBorder="1">
      <alignment vertical="center"/>
    </xf>
    <xf numFmtId="0" fontId="9" fillId="0" borderId="0" xfId="0" applyFont="1" applyFill="1" applyBorder="1" applyAlignment="1">
      <alignment horizontal="left" vertical="center"/>
    </xf>
    <xf numFmtId="0" fontId="18" fillId="0" borderId="0" xfId="0" applyFont="1" applyFill="1" applyBorder="1" applyAlignment="1">
      <alignment horizontal="left" vertical="center"/>
    </xf>
    <xf numFmtId="176" fontId="9" fillId="0" borderId="0" xfId="0" applyNumberFormat="1" applyFont="1" applyFill="1" applyBorder="1" applyAlignment="1">
      <alignment vertical="center"/>
    </xf>
    <xf numFmtId="0" fontId="11" fillId="0" borderId="0" xfId="0" applyFont="1" applyFill="1" applyBorder="1" applyAlignment="1">
      <alignment vertical="center"/>
    </xf>
    <xf numFmtId="0" fontId="9" fillId="0" borderId="0" xfId="0" applyFont="1" applyBorder="1" applyAlignment="1">
      <alignment vertical="center" wrapText="1"/>
    </xf>
    <xf numFmtId="176" fontId="9" fillId="0" borderId="0" xfId="0" applyNumberFormat="1" applyFont="1" applyFill="1" applyBorder="1" applyAlignment="1">
      <alignment vertical="center" wrapText="1"/>
    </xf>
    <xf numFmtId="0" fontId="9" fillId="0" borderId="0" xfId="0" applyFont="1" applyFill="1" applyBorder="1" applyAlignment="1">
      <alignment vertical="center" wrapText="1"/>
    </xf>
    <xf numFmtId="0" fontId="0" fillId="0" borderId="0" xfId="0" applyAlignment="1">
      <alignment vertical="center" wrapText="1"/>
    </xf>
    <xf numFmtId="176" fontId="4" fillId="0" borderId="0" xfId="0" applyNumberFormat="1" applyFont="1">
      <alignment vertical="center"/>
    </xf>
    <xf numFmtId="3" fontId="4" fillId="0" borderId="0" xfId="0" applyNumberFormat="1" applyFont="1">
      <alignment vertical="center"/>
    </xf>
    <xf numFmtId="0" fontId="0" fillId="0" borderId="0" xfId="0" applyFill="1">
      <alignment vertical="center"/>
    </xf>
    <xf numFmtId="176" fontId="4" fillId="0" borderId="0" xfId="0" applyNumberFormat="1" applyFont="1" applyFill="1" applyBorder="1">
      <alignment vertical="center"/>
    </xf>
    <xf numFmtId="176" fontId="8" fillId="0" borderId="0" xfId="0" applyNumberFormat="1" applyFont="1" applyFill="1" applyBorder="1" applyAlignment="1">
      <alignment horizontal="right" vertical="center"/>
    </xf>
    <xf numFmtId="176" fontId="28" fillId="0" borderId="0" xfId="0" applyNumberFormat="1" applyFont="1" applyFill="1" applyBorder="1" applyAlignment="1">
      <alignment vertical="center"/>
    </xf>
    <xf numFmtId="0" fontId="29" fillId="0" borderId="0" xfId="0" applyFont="1">
      <alignment vertical="center"/>
    </xf>
    <xf numFmtId="176" fontId="11" fillId="0" borderId="0" xfId="0" applyNumberFormat="1" applyFont="1" applyFill="1" applyBorder="1" applyAlignment="1">
      <alignment vertical="center"/>
    </xf>
    <xf numFmtId="0" fontId="29" fillId="0" borderId="0" xfId="0" applyFont="1" applyBorder="1">
      <alignment vertical="center"/>
    </xf>
    <xf numFmtId="176" fontId="11" fillId="0" borderId="0" xfId="0" applyNumberFormat="1" applyFont="1" applyBorder="1">
      <alignment vertical="center"/>
    </xf>
    <xf numFmtId="176" fontId="10" fillId="0" borderId="0" xfId="0" applyNumberFormat="1" applyFont="1" applyBorder="1" applyAlignment="1">
      <alignment horizontal="right" vertical="center"/>
    </xf>
    <xf numFmtId="0" fontId="29" fillId="0" borderId="0" xfId="0" applyFont="1" applyFill="1">
      <alignment vertical="center"/>
    </xf>
    <xf numFmtId="176" fontId="11" fillId="0" borderId="0" xfId="0" applyNumberFormat="1" applyFont="1" applyFill="1" applyBorder="1">
      <alignment vertical="center"/>
    </xf>
    <xf numFmtId="176" fontId="29" fillId="0" borderId="0" xfId="0" applyNumberFormat="1" applyFont="1">
      <alignment vertical="center"/>
    </xf>
    <xf numFmtId="0" fontId="9" fillId="0" borderId="0" xfId="0" applyFont="1" applyFill="1" applyBorder="1" applyAlignment="1">
      <alignment vertical="center"/>
    </xf>
    <xf numFmtId="176" fontId="10" fillId="7" borderId="0" xfId="9" applyNumberFormat="1" applyFont="1" applyFill="1" applyBorder="1" applyAlignment="1">
      <alignment horizontal="right" vertical="center"/>
    </xf>
    <xf numFmtId="0" fontId="11" fillId="4" borderId="0" xfId="0" applyFont="1" applyFill="1" applyBorder="1">
      <alignment vertical="center"/>
    </xf>
    <xf numFmtId="176" fontId="11" fillId="4" borderId="0" xfId="0" applyNumberFormat="1" applyFont="1" applyFill="1" applyBorder="1" applyAlignment="1">
      <alignment vertical="center"/>
    </xf>
    <xf numFmtId="3" fontId="4" fillId="4" borderId="0" xfId="0" applyNumberFormat="1" applyFont="1" applyFill="1">
      <alignment vertical="center"/>
    </xf>
    <xf numFmtId="0" fontId="2" fillId="0" borderId="0" xfId="10">
      <alignment vertical="center"/>
    </xf>
    <xf numFmtId="10" fontId="9" fillId="0" borderId="0" xfId="3" applyNumberFormat="1" applyFont="1" applyAlignment="1">
      <alignment vertical="center"/>
    </xf>
    <xf numFmtId="0" fontId="1" fillId="0" borderId="0" xfId="11"/>
    <xf numFmtId="0" fontId="34" fillId="0" borderId="0" xfId="8" applyFont="1">
      <alignment vertical="center"/>
    </xf>
    <xf numFmtId="176" fontId="17" fillId="0" borderId="0" xfId="2" applyNumberFormat="1" applyFill="1" applyBorder="1" applyAlignment="1">
      <alignment vertical="center"/>
    </xf>
    <xf numFmtId="0" fontId="19" fillId="0" borderId="0" xfId="0" applyFont="1">
      <alignment vertical="center"/>
    </xf>
    <xf numFmtId="0" fontId="9" fillId="8" borderId="1" xfId="0" applyFont="1" applyFill="1" applyBorder="1">
      <alignment vertical="center"/>
    </xf>
    <xf numFmtId="0" fontId="11" fillId="0" borderId="1" xfId="0" applyFont="1" applyBorder="1">
      <alignment vertical="center"/>
    </xf>
    <xf numFmtId="3" fontId="11" fillId="0" borderId="1" xfId="0" applyNumberFormat="1" applyFont="1" applyFill="1" applyBorder="1">
      <alignment vertical="center"/>
    </xf>
    <xf numFmtId="0" fontId="11" fillId="8" borderId="1" xfId="0" applyFont="1" applyFill="1" applyBorder="1">
      <alignment vertical="center"/>
    </xf>
    <xf numFmtId="10" fontId="11" fillId="0" borderId="1" xfId="3" applyNumberFormat="1" applyFont="1" applyBorder="1">
      <alignment vertical="center"/>
    </xf>
    <xf numFmtId="176" fontId="9" fillId="8" borderId="1" xfId="0" applyNumberFormat="1" applyFont="1" applyFill="1" applyBorder="1" applyAlignment="1">
      <alignment vertical="center"/>
    </xf>
    <xf numFmtId="176" fontId="35" fillId="0" borderId="1" xfId="0" applyNumberFormat="1" applyFont="1" applyBorder="1">
      <alignment vertical="center"/>
    </xf>
    <xf numFmtId="0" fontId="19" fillId="0" borderId="0" xfId="0" applyFont="1" applyAlignment="1">
      <alignment vertical="center" wrapText="1"/>
    </xf>
    <xf numFmtId="0" fontId="9" fillId="8" borderId="1" xfId="0" applyFont="1" applyFill="1" applyBorder="1" applyAlignment="1">
      <alignment vertical="center"/>
    </xf>
    <xf numFmtId="0" fontId="4" fillId="0" borderId="1" xfId="0" applyFont="1" applyFill="1" applyBorder="1">
      <alignment vertical="center"/>
    </xf>
    <xf numFmtId="0" fontId="17" fillId="0" borderId="1" xfId="2" applyFill="1" applyBorder="1">
      <alignment vertical="center"/>
    </xf>
    <xf numFmtId="3" fontId="0" fillId="0" borderId="0" xfId="0" applyNumberFormat="1">
      <alignment vertical="center"/>
    </xf>
    <xf numFmtId="176" fontId="10" fillId="0" borderId="0" xfId="0" applyNumberFormat="1" applyFont="1" applyFill="1" applyBorder="1" applyAlignment="1">
      <alignment vertical="center"/>
    </xf>
    <xf numFmtId="0" fontId="15" fillId="0" borderId="0" xfId="0" applyFont="1">
      <alignment vertical="center"/>
    </xf>
    <xf numFmtId="176" fontId="11" fillId="4" borderId="0" xfId="0" applyNumberFormat="1" applyFont="1" applyFill="1" applyBorder="1">
      <alignment vertical="center"/>
    </xf>
    <xf numFmtId="0" fontId="11" fillId="9" borderId="0" xfId="8" applyFont="1" applyFill="1" applyAlignment="1">
      <alignment vertical="center" wrapText="1"/>
    </xf>
    <xf numFmtId="0" fontId="11" fillId="9" borderId="0" xfId="8" applyFont="1" applyFill="1">
      <alignment vertical="center"/>
    </xf>
    <xf numFmtId="0" fontId="10" fillId="9" borderId="0" xfId="8" applyFont="1" applyFill="1">
      <alignment vertical="center"/>
    </xf>
    <xf numFmtId="0" fontId="29" fillId="0" borderId="0" xfId="8" applyFont="1">
      <alignment vertical="center"/>
    </xf>
    <xf numFmtId="10" fontId="11" fillId="0" borderId="0" xfId="4" applyNumberFormat="1" applyFont="1">
      <alignment vertical="center"/>
    </xf>
    <xf numFmtId="0" fontId="29" fillId="0" borderId="0" xfId="8" applyFont="1" applyAlignment="1">
      <alignment vertical="center"/>
    </xf>
    <xf numFmtId="0" fontId="11" fillId="10" borderId="0" xfId="8" applyFont="1" applyFill="1">
      <alignment vertical="center"/>
    </xf>
  </cellXfs>
  <cellStyles count="14">
    <cellStyle name="百分比" xfId="3" builtinId="5"/>
    <cellStyle name="百分比 2" xfId="4" xr:uid="{00000000-0005-0000-0000-000001000000}"/>
    <cellStyle name="常规" xfId="0" builtinId="0"/>
    <cellStyle name="常规 2" xfId="7" xr:uid="{00000000-0005-0000-0000-000003000000}"/>
    <cellStyle name="常规 2 2" xfId="6" xr:uid="{00000000-0005-0000-0000-000004000000}"/>
    <cellStyle name="常规 2_0410" xfId="9" xr:uid="{4E720AAA-A78D-4615-AE58-3A96EABCE2CF}"/>
    <cellStyle name="常规 3" xfId="8" xr:uid="{00000000-0005-0000-0000-000005000000}"/>
    <cellStyle name="常规 4" xfId="10" xr:uid="{5D397067-5F2D-4D15-8D41-9E972535D1BE}"/>
    <cellStyle name="常规 5" xfId="11" xr:uid="{1E70D9B0-3AD4-4174-B254-49638B9285A0}"/>
    <cellStyle name="常规 6" xfId="12" xr:uid="{00000000-0005-0000-0000-000039000000}"/>
    <cellStyle name="常规 7" xfId="13" xr:uid="{00000000-0005-0000-0000-00003A000000}"/>
    <cellStyle name="常规 8" xfId="5" xr:uid="{00000000-0005-0000-0000-000006000000}"/>
    <cellStyle name="超链接" xfId="2" builtinId="8"/>
    <cellStyle name="千位分隔" xfId="1" builtinId="3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6</xdr:col>
      <xdr:colOff>0</xdr:colOff>
      <xdr:row>0</xdr:row>
      <xdr:rowOff>0</xdr:rowOff>
    </xdr:from>
    <xdr:ext cx="114300" cy="114300"/>
    <xdr:pic>
      <xdr:nvPicPr>
        <xdr:cNvPr id="2" name="图片 1" descr="http://data.stats.gov.cn/images/icon-1no.png">
          <a:extLst>
            <a:ext uri="{FF2B5EF4-FFF2-40B4-BE49-F238E27FC236}">
              <a16:creationId xmlns:a16="http://schemas.microsoft.com/office/drawing/2014/main" id="{00000000-0008-0000-04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132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0</xdr:row>
      <xdr:rowOff>0</xdr:rowOff>
    </xdr:from>
    <xdr:ext cx="114300" cy="114300"/>
    <xdr:pic>
      <xdr:nvPicPr>
        <xdr:cNvPr id="3" name="图片 2" descr="http://data.stats.gov.cn/images/icon-1no.png">
          <a:extLst>
            <a:ext uri="{FF2B5EF4-FFF2-40B4-BE49-F238E27FC236}">
              <a16:creationId xmlns:a16="http://schemas.microsoft.com/office/drawing/2014/main" id="{00000000-0008-0000-04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132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0</xdr:row>
      <xdr:rowOff>0</xdr:rowOff>
    </xdr:from>
    <xdr:ext cx="114300" cy="114300"/>
    <xdr:pic>
      <xdr:nvPicPr>
        <xdr:cNvPr id="4" name="图片 3" descr="http://data.stats.gov.cn/images/icon-1no.pn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132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0</xdr:row>
      <xdr:rowOff>0</xdr:rowOff>
    </xdr:from>
    <xdr:ext cx="114300" cy="114300"/>
    <xdr:pic>
      <xdr:nvPicPr>
        <xdr:cNvPr id="5" name="图片 4" descr="http://data.stats.gov.cn/images/icon-1no.png">
          <a:extLst>
            <a:ext uri="{FF2B5EF4-FFF2-40B4-BE49-F238E27FC236}">
              <a16:creationId xmlns:a16="http://schemas.microsoft.com/office/drawing/2014/main" id="{00000000-0008-0000-04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132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0</xdr:row>
      <xdr:rowOff>0</xdr:rowOff>
    </xdr:from>
    <xdr:ext cx="114300" cy="114300"/>
    <xdr:pic>
      <xdr:nvPicPr>
        <xdr:cNvPr id="6" name="图片 5" descr="http://data.stats.gov.cn/images/icon-1no.png">
          <a:extLst>
            <a:ext uri="{FF2B5EF4-FFF2-40B4-BE49-F238E27FC236}">
              <a16:creationId xmlns:a16="http://schemas.microsoft.com/office/drawing/2014/main" id="{00000000-0008-0000-04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132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0</xdr:row>
      <xdr:rowOff>0</xdr:rowOff>
    </xdr:from>
    <xdr:ext cx="114300" cy="114300"/>
    <xdr:pic>
      <xdr:nvPicPr>
        <xdr:cNvPr id="7" name="图片 6" descr="http://data.stats.gov.cn/images/icon-1no.png">
          <a:extLst>
            <a:ext uri="{FF2B5EF4-FFF2-40B4-BE49-F238E27FC236}">
              <a16:creationId xmlns:a16="http://schemas.microsoft.com/office/drawing/2014/main" id="{00000000-0008-0000-04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132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0</xdr:row>
      <xdr:rowOff>0</xdr:rowOff>
    </xdr:from>
    <xdr:ext cx="114300" cy="114300"/>
    <xdr:pic>
      <xdr:nvPicPr>
        <xdr:cNvPr id="8" name="图片 7" descr="http://data.stats.gov.cn/images/icon-1no.png">
          <a:extLst>
            <a:ext uri="{FF2B5EF4-FFF2-40B4-BE49-F238E27FC236}">
              <a16:creationId xmlns:a16="http://schemas.microsoft.com/office/drawing/2014/main" id="{00000000-0008-0000-04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132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6</xdr:col>
      <xdr:colOff>0</xdr:colOff>
      <xdr:row>0</xdr:row>
      <xdr:rowOff>0</xdr:rowOff>
    </xdr:from>
    <xdr:ext cx="114300" cy="114300"/>
    <xdr:pic>
      <xdr:nvPicPr>
        <xdr:cNvPr id="9" name="图片 8" descr="http://data.stats.gov.cn/images/icon-1no.png">
          <a:extLst>
            <a:ext uri="{FF2B5EF4-FFF2-40B4-BE49-F238E27FC236}">
              <a16:creationId xmlns:a16="http://schemas.microsoft.com/office/drawing/2014/main" id="{00000000-0008-0000-04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4132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31</xdr:col>
      <xdr:colOff>0</xdr:colOff>
      <xdr:row>0</xdr:row>
      <xdr:rowOff>0</xdr:rowOff>
    </xdr:from>
    <xdr:ext cx="114300" cy="114300"/>
    <xdr:pic>
      <xdr:nvPicPr>
        <xdr:cNvPr id="2" name="图片 1" descr="http://data.stats.gov.cn/images/icon-1no.png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2664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31</xdr:col>
      <xdr:colOff>0</xdr:colOff>
      <xdr:row>0</xdr:row>
      <xdr:rowOff>0</xdr:rowOff>
    </xdr:from>
    <xdr:ext cx="114300" cy="114300"/>
    <xdr:pic>
      <xdr:nvPicPr>
        <xdr:cNvPr id="3" name="图片 2" descr="http://data.stats.gov.cn/images/icon-1no.png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2664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31</xdr:col>
      <xdr:colOff>0</xdr:colOff>
      <xdr:row>0</xdr:row>
      <xdr:rowOff>0</xdr:rowOff>
    </xdr:from>
    <xdr:ext cx="114300" cy="114300"/>
    <xdr:pic>
      <xdr:nvPicPr>
        <xdr:cNvPr id="4" name="图片 3" descr="http://data.stats.gov.cn/images/icon-1no.png">
          <a:extLst>
            <a:ext uri="{FF2B5EF4-FFF2-40B4-BE49-F238E27FC236}">
              <a16:creationId xmlns:a16="http://schemas.microsoft.com/office/drawing/2014/main" id="{00000000-0008-0000-07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2664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31</xdr:col>
      <xdr:colOff>0</xdr:colOff>
      <xdr:row>0</xdr:row>
      <xdr:rowOff>0</xdr:rowOff>
    </xdr:from>
    <xdr:ext cx="114300" cy="114300"/>
    <xdr:pic>
      <xdr:nvPicPr>
        <xdr:cNvPr id="5" name="图片 4" descr="http://data.stats.gov.cn/images/icon-1no.png">
          <a:extLst>
            <a:ext uri="{FF2B5EF4-FFF2-40B4-BE49-F238E27FC236}">
              <a16:creationId xmlns:a16="http://schemas.microsoft.com/office/drawing/2014/main" id="{00000000-0008-0000-07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2664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31</xdr:col>
      <xdr:colOff>0</xdr:colOff>
      <xdr:row>0</xdr:row>
      <xdr:rowOff>0</xdr:rowOff>
    </xdr:from>
    <xdr:ext cx="114300" cy="114300"/>
    <xdr:pic>
      <xdr:nvPicPr>
        <xdr:cNvPr id="6" name="图片 5" descr="http://data.stats.gov.cn/images/icon-1no.png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2664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31</xdr:col>
      <xdr:colOff>0</xdr:colOff>
      <xdr:row>0</xdr:row>
      <xdr:rowOff>0</xdr:rowOff>
    </xdr:from>
    <xdr:ext cx="114300" cy="114300"/>
    <xdr:pic>
      <xdr:nvPicPr>
        <xdr:cNvPr id="7" name="图片 6" descr="http://data.stats.gov.cn/images/icon-1no.png">
          <a:extLst>
            <a:ext uri="{FF2B5EF4-FFF2-40B4-BE49-F238E27FC236}">
              <a16:creationId xmlns:a16="http://schemas.microsoft.com/office/drawing/2014/main" id="{00000000-0008-0000-07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2664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31</xdr:col>
      <xdr:colOff>0</xdr:colOff>
      <xdr:row>0</xdr:row>
      <xdr:rowOff>0</xdr:rowOff>
    </xdr:from>
    <xdr:ext cx="114300" cy="114300"/>
    <xdr:pic>
      <xdr:nvPicPr>
        <xdr:cNvPr id="8" name="图片 7" descr="http://data.stats.gov.cn/images/icon-1no.png">
          <a:extLst>
            <a:ext uri="{FF2B5EF4-FFF2-40B4-BE49-F238E27FC236}">
              <a16:creationId xmlns:a16="http://schemas.microsoft.com/office/drawing/2014/main" id="{00000000-0008-0000-07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2664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31</xdr:col>
      <xdr:colOff>0</xdr:colOff>
      <xdr:row>0</xdr:row>
      <xdr:rowOff>0</xdr:rowOff>
    </xdr:from>
    <xdr:ext cx="114300" cy="114300"/>
    <xdr:pic>
      <xdr:nvPicPr>
        <xdr:cNvPr id="9" name="图片 8" descr="http://data.stats.gov.cn/images/icon-1no.png">
          <a:extLst>
            <a:ext uri="{FF2B5EF4-FFF2-40B4-BE49-F238E27FC236}">
              <a16:creationId xmlns:a16="http://schemas.microsoft.com/office/drawing/2014/main" id="{00000000-0008-0000-07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32664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34</xdr:col>
      <xdr:colOff>0</xdr:colOff>
      <xdr:row>0</xdr:row>
      <xdr:rowOff>0</xdr:rowOff>
    </xdr:from>
    <xdr:ext cx="114300" cy="114300"/>
    <xdr:pic>
      <xdr:nvPicPr>
        <xdr:cNvPr id="2" name="图片 1" descr="http://data.stats.gov.cn/images/icon-1no.png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733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34</xdr:col>
      <xdr:colOff>0</xdr:colOff>
      <xdr:row>0</xdr:row>
      <xdr:rowOff>0</xdr:rowOff>
    </xdr:from>
    <xdr:ext cx="114300" cy="114300"/>
    <xdr:pic>
      <xdr:nvPicPr>
        <xdr:cNvPr id="3" name="图片 2" descr="http://data.stats.gov.cn/images/icon-1no.png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733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34</xdr:col>
      <xdr:colOff>0</xdr:colOff>
      <xdr:row>0</xdr:row>
      <xdr:rowOff>0</xdr:rowOff>
    </xdr:from>
    <xdr:ext cx="114300" cy="114300"/>
    <xdr:pic>
      <xdr:nvPicPr>
        <xdr:cNvPr id="4" name="图片 3" descr="http://data.stats.gov.cn/images/icon-1no.png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733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34</xdr:col>
      <xdr:colOff>0</xdr:colOff>
      <xdr:row>0</xdr:row>
      <xdr:rowOff>0</xdr:rowOff>
    </xdr:from>
    <xdr:ext cx="114300" cy="114300"/>
    <xdr:pic>
      <xdr:nvPicPr>
        <xdr:cNvPr id="5" name="图片 4" descr="http://data.stats.gov.cn/images/icon-1no.png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733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34</xdr:col>
      <xdr:colOff>0</xdr:colOff>
      <xdr:row>0</xdr:row>
      <xdr:rowOff>0</xdr:rowOff>
    </xdr:from>
    <xdr:ext cx="114300" cy="114300"/>
    <xdr:pic>
      <xdr:nvPicPr>
        <xdr:cNvPr id="6" name="图片 5" descr="http://data.stats.gov.cn/images/icon-1no.png">
          <a:extLst>
            <a:ext uri="{FF2B5EF4-FFF2-40B4-BE49-F238E27FC236}">
              <a16:creationId xmlns:a16="http://schemas.microsoft.com/office/drawing/2014/main" id="{00000000-0008-0000-08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733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34</xdr:col>
      <xdr:colOff>0</xdr:colOff>
      <xdr:row>0</xdr:row>
      <xdr:rowOff>0</xdr:rowOff>
    </xdr:from>
    <xdr:ext cx="114300" cy="114300"/>
    <xdr:pic>
      <xdr:nvPicPr>
        <xdr:cNvPr id="7" name="图片 6" descr="http://data.stats.gov.cn/images/icon-1no.png">
          <a:extLst>
            <a:ext uri="{FF2B5EF4-FFF2-40B4-BE49-F238E27FC236}">
              <a16:creationId xmlns:a16="http://schemas.microsoft.com/office/drawing/2014/main" id="{00000000-0008-0000-08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733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34</xdr:col>
      <xdr:colOff>0</xdr:colOff>
      <xdr:row>0</xdr:row>
      <xdr:rowOff>0</xdr:rowOff>
    </xdr:from>
    <xdr:ext cx="114300" cy="114300"/>
    <xdr:pic>
      <xdr:nvPicPr>
        <xdr:cNvPr id="8" name="图片 7" descr="http://data.stats.gov.cn/images/icon-1no.png">
          <a:extLst>
            <a:ext uri="{FF2B5EF4-FFF2-40B4-BE49-F238E27FC236}">
              <a16:creationId xmlns:a16="http://schemas.microsoft.com/office/drawing/2014/main" id="{00000000-0008-0000-08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733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34</xdr:col>
      <xdr:colOff>0</xdr:colOff>
      <xdr:row>0</xdr:row>
      <xdr:rowOff>0</xdr:rowOff>
    </xdr:from>
    <xdr:ext cx="114300" cy="114300"/>
    <xdr:pic>
      <xdr:nvPicPr>
        <xdr:cNvPr id="9" name="图片 8" descr="http://data.stats.gov.cn/images/icon-1no.png">
          <a:extLst>
            <a:ext uri="{FF2B5EF4-FFF2-40B4-BE49-F238E27FC236}">
              <a16:creationId xmlns:a16="http://schemas.microsoft.com/office/drawing/2014/main" id="{00000000-0008-0000-08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76733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0</xdr:row>
      <xdr:rowOff>0</xdr:rowOff>
    </xdr:from>
    <xdr:ext cx="114300" cy="114300"/>
    <xdr:pic>
      <xdr:nvPicPr>
        <xdr:cNvPr id="2" name="图片 1" descr="http://data.stats.gov.cn/images/icon-1no.png">
          <a:extLst>
            <a:ext uri="{FF2B5EF4-FFF2-40B4-BE49-F238E27FC236}">
              <a16:creationId xmlns:a16="http://schemas.microsoft.com/office/drawing/2014/main" id="{00000000-0008-0000-0C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641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114300" cy="114300"/>
    <xdr:pic>
      <xdr:nvPicPr>
        <xdr:cNvPr id="3" name="图片 2" descr="http://data.stats.gov.cn/images/icon-1no.png">
          <a:extLst>
            <a:ext uri="{FF2B5EF4-FFF2-40B4-BE49-F238E27FC236}">
              <a16:creationId xmlns:a16="http://schemas.microsoft.com/office/drawing/2014/main" id="{00000000-0008-0000-0C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641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114300" cy="114300"/>
    <xdr:pic>
      <xdr:nvPicPr>
        <xdr:cNvPr id="4" name="图片 3" descr="http://data.stats.gov.cn/images/icon-1no.png">
          <a:extLst>
            <a:ext uri="{FF2B5EF4-FFF2-40B4-BE49-F238E27FC236}">
              <a16:creationId xmlns:a16="http://schemas.microsoft.com/office/drawing/2014/main" id="{00000000-0008-0000-0C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641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114300" cy="114300"/>
    <xdr:pic>
      <xdr:nvPicPr>
        <xdr:cNvPr id="5" name="图片 4" descr="http://data.stats.gov.cn/images/icon-1no.png">
          <a:extLst>
            <a:ext uri="{FF2B5EF4-FFF2-40B4-BE49-F238E27FC236}">
              <a16:creationId xmlns:a16="http://schemas.microsoft.com/office/drawing/2014/main" id="{00000000-0008-0000-0C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641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114300" cy="114300"/>
    <xdr:pic>
      <xdr:nvPicPr>
        <xdr:cNvPr id="6" name="图片 5" descr="http://data.stats.gov.cn/images/icon-1no.png">
          <a:extLst>
            <a:ext uri="{FF2B5EF4-FFF2-40B4-BE49-F238E27FC236}">
              <a16:creationId xmlns:a16="http://schemas.microsoft.com/office/drawing/2014/main" id="{00000000-0008-0000-0C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641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114300" cy="114300"/>
    <xdr:pic>
      <xdr:nvPicPr>
        <xdr:cNvPr id="7" name="图片 6" descr="http://data.stats.gov.cn/images/icon-1no.png">
          <a:extLst>
            <a:ext uri="{FF2B5EF4-FFF2-40B4-BE49-F238E27FC236}">
              <a16:creationId xmlns:a16="http://schemas.microsoft.com/office/drawing/2014/main" id="{00000000-0008-0000-0C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641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4</xdr:col>
      <xdr:colOff>0</xdr:colOff>
      <xdr:row>0</xdr:row>
      <xdr:rowOff>0</xdr:rowOff>
    </xdr:from>
    <xdr:ext cx="114300" cy="114300"/>
    <xdr:pic>
      <xdr:nvPicPr>
        <xdr:cNvPr id="8" name="图片 7" descr="http://data.stats.gov.cn/images/icon-1no.png">
          <a:extLst>
            <a:ext uri="{FF2B5EF4-FFF2-40B4-BE49-F238E27FC236}">
              <a16:creationId xmlns:a16="http://schemas.microsoft.com/office/drawing/2014/main" id="{00000000-0008-0000-0C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86410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0</xdr:row>
      <xdr:rowOff>0</xdr:rowOff>
    </xdr:from>
    <xdr:ext cx="114300" cy="114300"/>
    <xdr:pic>
      <xdr:nvPicPr>
        <xdr:cNvPr id="2" name="图片 1" descr="http://data.stats.gov.cn/images/icon-1no.png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2585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0</xdr:row>
      <xdr:rowOff>0</xdr:rowOff>
    </xdr:from>
    <xdr:ext cx="114300" cy="114300"/>
    <xdr:pic>
      <xdr:nvPicPr>
        <xdr:cNvPr id="3" name="图片 2" descr="http://data.stats.gov.cn/images/icon-1no.png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414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0</xdr:row>
      <xdr:rowOff>0</xdr:rowOff>
    </xdr:from>
    <xdr:ext cx="114300" cy="114300"/>
    <xdr:pic>
      <xdr:nvPicPr>
        <xdr:cNvPr id="4" name="图片 3" descr="http://data.stats.gov.cn/images/icon-1no.png">
          <a:extLst>
            <a:ext uri="{FF2B5EF4-FFF2-40B4-BE49-F238E27FC236}">
              <a16:creationId xmlns:a16="http://schemas.microsoft.com/office/drawing/2014/main" id="{00000000-0008-0000-0F00-00000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0375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0</xdr:row>
      <xdr:rowOff>0</xdr:rowOff>
    </xdr:from>
    <xdr:ext cx="114300" cy="114300"/>
    <xdr:pic>
      <xdr:nvPicPr>
        <xdr:cNvPr id="5" name="图片 4" descr="http://data.stats.gov.cn/images/icon-1no.png">
          <a:extLst>
            <a:ext uri="{FF2B5EF4-FFF2-40B4-BE49-F238E27FC236}">
              <a16:creationId xmlns:a16="http://schemas.microsoft.com/office/drawing/2014/main" id="{00000000-0008-0000-0F00-00000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0375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39</xdr:col>
      <xdr:colOff>0</xdr:colOff>
      <xdr:row>0</xdr:row>
      <xdr:rowOff>0</xdr:rowOff>
    </xdr:from>
    <xdr:ext cx="114300" cy="114300"/>
    <xdr:pic>
      <xdr:nvPicPr>
        <xdr:cNvPr id="6" name="图片 5" descr="http://data.stats.gov.cn/images/icon-1no.png">
          <a:extLst>
            <a:ext uri="{FF2B5EF4-FFF2-40B4-BE49-F238E27FC236}">
              <a16:creationId xmlns:a16="http://schemas.microsoft.com/office/drawing/2014/main" id="{00000000-0008-0000-0F00-00000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5038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39</xdr:col>
      <xdr:colOff>0</xdr:colOff>
      <xdr:row>0</xdr:row>
      <xdr:rowOff>0</xdr:rowOff>
    </xdr:from>
    <xdr:ext cx="114300" cy="114300"/>
    <xdr:pic>
      <xdr:nvPicPr>
        <xdr:cNvPr id="7" name="图片 6" descr="http://data.stats.gov.cn/images/icon-1no.png">
          <a:extLst>
            <a:ext uri="{FF2B5EF4-FFF2-40B4-BE49-F238E27FC236}">
              <a16:creationId xmlns:a16="http://schemas.microsoft.com/office/drawing/2014/main" id="{00000000-0008-0000-0F00-00000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5038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39</xdr:col>
      <xdr:colOff>0</xdr:colOff>
      <xdr:row>0</xdr:row>
      <xdr:rowOff>0</xdr:rowOff>
    </xdr:from>
    <xdr:ext cx="114300" cy="114300"/>
    <xdr:pic>
      <xdr:nvPicPr>
        <xdr:cNvPr id="8" name="图片 7" descr="http://data.stats.gov.cn/images/icon-1no.png">
          <a:extLst>
            <a:ext uri="{FF2B5EF4-FFF2-40B4-BE49-F238E27FC236}">
              <a16:creationId xmlns:a16="http://schemas.microsoft.com/office/drawing/2014/main" id="{00000000-0008-0000-0F00-00000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5038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39</xdr:col>
      <xdr:colOff>0</xdr:colOff>
      <xdr:row>0</xdr:row>
      <xdr:rowOff>0</xdr:rowOff>
    </xdr:from>
    <xdr:ext cx="114300" cy="114300"/>
    <xdr:pic>
      <xdr:nvPicPr>
        <xdr:cNvPr id="9" name="图片 8" descr="http://data.stats.gov.cn/images/icon-1no.png">
          <a:extLst>
            <a:ext uri="{FF2B5EF4-FFF2-40B4-BE49-F238E27FC236}">
              <a16:creationId xmlns:a16="http://schemas.microsoft.com/office/drawing/2014/main" id="{00000000-0008-0000-0F00-00000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5038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0</xdr:row>
      <xdr:rowOff>0</xdr:rowOff>
    </xdr:from>
    <xdr:ext cx="114300" cy="114300"/>
    <xdr:pic>
      <xdr:nvPicPr>
        <xdr:cNvPr id="10" name="图片 9" descr="http://data.stats.gov.cn/images/icon-1no.png">
          <a:extLst>
            <a:ext uri="{FF2B5EF4-FFF2-40B4-BE49-F238E27FC236}">
              <a16:creationId xmlns:a16="http://schemas.microsoft.com/office/drawing/2014/main" id="{00000000-0008-0000-0F00-00000A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6110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0</xdr:row>
      <xdr:rowOff>0</xdr:rowOff>
    </xdr:from>
    <xdr:ext cx="114300" cy="114300"/>
    <xdr:pic>
      <xdr:nvPicPr>
        <xdr:cNvPr id="11" name="图片 10" descr="http://data.stats.gov.cn/images/icon-1no.png">
          <a:extLst>
            <a:ext uri="{FF2B5EF4-FFF2-40B4-BE49-F238E27FC236}">
              <a16:creationId xmlns:a16="http://schemas.microsoft.com/office/drawing/2014/main" id="{00000000-0008-0000-0F00-00000B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6110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0</xdr:row>
      <xdr:rowOff>0</xdr:rowOff>
    </xdr:from>
    <xdr:ext cx="114300" cy="114300"/>
    <xdr:pic>
      <xdr:nvPicPr>
        <xdr:cNvPr id="12" name="图片 11" descr="http://data.stats.gov.cn/images/icon-1no.png">
          <a:extLst>
            <a:ext uri="{FF2B5EF4-FFF2-40B4-BE49-F238E27FC236}">
              <a16:creationId xmlns:a16="http://schemas.microsoft.com/office/drawing/2014/main" id="{00000000-0008-0000-0F00-00000C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6110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0</xdr:row>
      <xdr:rowOff>0</xdr:rowOff>
    </xdr:from>
    <xdr:ext cx="114300" cy="114300"/>
    <xdr:pic>
      <xdr:nvPicPr>
        <xdr:cNvPr id="13" name="图片 12" descr="http://data.stats.gov.cn/images/icon-1no.png">
          <a:extLst>
            <a:ext uri="{FF2B5EF4-FFF2-40B4-BE49-F238E27FC236}">
              <a16:creationId xmlns:a16="http://schemas.microsoft.com/office/drawing/2014/main" id="{00000000-0008-0000-0F00-00000D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6110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9</xdr:col>
      <xdr:colOff>0</xdr:colOff>
      <xdr:row>0</xdr:row>
      <xdr:rowOff>0</xdr:rowOff>
    </xdr:from>
    <xdr:ext cx="114300" cy="114300"/>
    <xdr:pic>
      <xdr:nvPicPr>
        <xdr:cNvPr id="14" name="图片 13" descr="http://data.stats.gov.cn/images/icon-1no.png">
          <a:extLst>
            <a:ext uri="{FF2B5EF4-FFF2-40B4-BE49-F238E27FC236}">
              <a16:creationId xmlns:a16="http://schemas.microsoft.com/office/drawing/2014/main" id="{00000000-0008-0000-0F00-00000E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12585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11</xdr:col>
      <xdr:colOff>0</xdr:colOff>
      <xdr:row>0</xdr:row>
      <xdr:rowOff>0</xdr:rowOff>
    </xdr:from>
    <xdr:ext cx="114300" cy="114300"/>
    <xdr:pic>
      <xdr:nvPicPr>
        <xdr:cNvPr id="15" name="图片 14" descr="http://data.stats.gov.cn/images/icon-1no.png">
          <a:extLst>
            <a:ext uri="{FF2B5EF4-FFF2-40B4-BE49-F238E27FC236}">
              <a16:creationId xmlns:a16="http://schemas.microsoft.com/office/drawing/2014/main" id="{00000000-0008-0000-0F00-00000F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1414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0</xdr:row>
      <xdr:rowOff>0</xdr:rowOff>
    </xdr:from>
    <xdr:ext cx="114300" cy="114300"/>
    <xdr:pic>
      <xdr:nvPicPr>
        <xdr:cNvPr id="16" name="图片 15" descr="http://data.stats.gov.cn/images/icon-1no.png">
          <a:extLst>
            <a:ext uri="{FF2B5EF4-FFF2-40B4-BE49-F238E27FC236}">
              <a16:creationId xmlns:a16="http://schemas.microsoft.com/office/drawing/2014/main" id="{00000000-0008-0000-0F00-000010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0375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17</xdr:col>
      <xdr:colOff>0</xdr:colOff>
      <xdr:row>0</xdr:row>
      <xdr:rowOff>0</xdr:rowOff>
    </xdr:from>
    <xdr:ext cx="114300" cy="114300"/>
    <xdr:pic>
      <xdr:nvPicPr>
        <xdr:cNvPr id="17" name="图片 16" descr="http://data.stats.gov.cn/images/icon-1no.png">
          <a:extLst>
            <a:ext uri="{FF2B5EF4-FFF2-40B4-BE49-F238E27FC236}">
              <a16:creationId xmlns:a16="http://schemas.microsoft.com/office/drawing/2014/main" id="{00000000-0008-0000-0F00-000011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210375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39</xdr:col>
      <xdr:colOff>0</xdr:colOff>
      <xdr:row>0</xdr:row>
      <xdr:rowOff>0</xdr:rowOff>
    </xdr:from>
    <xdr:ext cx="114300" cy="114300"/>
    <xdr:pic>
      <xdr:nvPicPr>
        <xdr:cNvPr id="18" name="图片 17" descr="http://data.stats.gov.cn/images/icon-1no.png">
          <a:extLst>
            <a:ext uri="{FF2B5EF4-FFF2-40B4-BE49-F238E27FC236}">
              <a16:creationId xmlns:a16="http://schemas.microsoft.com/office/drawing/2014/main" id="{00000000-0008-0000-0F00-00001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5038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39</xdr:col>
      <xdr:colOff>0</xdr:colOff>
      <xdr:row>0</xdr:row>
      <xdr:rowOff>0</xdr:rowOff>
    </xdr:from>
    <xdr:ext cx="114300" cy="114300"/>
    <xdr:pic>
      <xdr:nvPicPr>
        <xdr:cNvPr id="19" name="图片 18" descr="http://data.stats.gov.cn/images/icon-1no.png">
          <a:extLst>
            <a:ext uri="{FF2B5EF4-FFF2-40B4-BE49-F238E27FC236}">
              <a16:creationId xmlns:a16="http://schemas.microsoft.com/office/drawing/2014/main" id="{00000000-0008-0000-0F00-00001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5038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39</xdr:col>
      <xdr:colOff>0</xdr:colOff>
      <xdr:row>0</xdr:row>
      <xdr:rowOff>0</xdr:rowOff>
    </xdr:from>
    <xdr:ext cx="114300" cy="114300"/>
    <xdr:pic>
      <xdr:nvPicPr>
        <xdr:cNvPr id="20" name="图片 19" descr="http://data.stats.gov.cn/images/icon-1no.png">
          <a:extLst>
            <a:ext uri="{FF2B5EF4-FFF2-40B4-BE49-F238E27FC236}">
              <a16:creationId xmlns:a16="http://schemas.microsoft.com/office/drawing/2014/main" id="{00000000-0008-0000-0F00-000014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5038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39</xdr:col>
      <xdr:colOff>0</xdr:colOff>
      <xdr:row>0</xdr:row>
      <xdr:rowOff>0</xdr:rowOff>
    </xdr:from>
    <xdr:ext cx="114300" cy="114300"/>
    <xdr:pic>
      <xdr:nvPicPr>
        <xdr:cNvPr id="21" name="图片 20" descr="http://data.stats.gov.cn/images/icon-1no.png">
          <a:extLst>
            <a:ext uri="{FF2B5EF4-FFF2-40B4-BE49-F238E27FC236}">
              <a16:creationId xmlns:a16="http://schemas.microsoft.com/office/drawing/2014/main" id="{00000000-0008-0000-0F00-000015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435038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0</xdr:row>
      <xdr:rowOff>0</xdr:rowOff>
    </xdr:from>
    <xdr:ext cx="114300" cy="114300"/>
    <xdr:pic>
      <xdr:nvPicPr>
        <xdr:cNvPr id="22" name="图片 21" descr="http://data.stats.gov.cn/images/icon-1no.png">
          <a:extLst>
            <a:ext uri="{FF2B5EF4-FFF2-40B4-BE49-F238E27FC236}">
              <a16:creationId xmlns:a16="http://schemas.microsoft.com/office/drawing/2014/main" id="{00000000-0008-0000-0F00-000016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6110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0</xdr:row>
      <xdr:rowOff>0</xdr:rowOff>
    </xdr:from>
    <xdr:ext cx="114300" cy="114300"/>
    <xdr:pic>
      <xdr:nvPicPr>
        <xdr:cNvPr id="23" name="图片 22" descr="http://data.stats.gov.cn/images/icon-1no.png">
          <a:extLst>
            <a:ext uri="{FF2B5EF4-FFF2-40B4-BE49-F238E27FC236}">
              <a16:creationId xmlns:a16="http://schemas.microsoft.com/office/drawing/2014/main" id="{00000000-0008-0000-0F00-000017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6110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0</xdr:row>
      <xdr:rowOff>0</xdr:rowOff>
    </xdr:from>
    <xdr:ext cx="114300" cy="114300"/>
    <xdr:pic>
      <xdr:nvPicPr>
        <xdr:cNvPr id="24" name="图片 23" descr="http://data.stats.gov.cn/images/icon-1no.png">
          <a:extLst>
            <a:ext uri="{FF2B5EF4-FFF2-40B4-BE49-F238E27FC236}">
              <a16:creationId xmlns:a16="http://schemas.microsoft.com/office/drawing/2014/main" id="{00000000-0008-0000-0F00-000018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6110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  <xdr:oneCellAnchor>
    <xdr:from>
      <xdr:col>33</xdr:col>
      <xdr:colOff>0</xdr:colOff>
      <xdr:row>0</xdr:row>
      <xdr:rowOff>0</xdr:rowOff>
    </xdr:from>
    <xdr:ext cx="114300" cy="114300"/>
    <xdr:pic>
      <xdr:nvPicPr>
        <xdr:cNvPr id="25" name="图片 24" descr="http://data.stats.gov.cn/images/icon-1no.png">
          <a:extLst>
            <a:ext uri="{FF2B5EF4-FFF2-40B4-BE49-F238E27FC236}">
              <a16:creationId xmlns:a16="http://schemas.microsoft.com/office/drawing/2014/main" id="{00000000-0008-0000-0F00-000019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37611050" y="0"/>
          <a:ext cx="114300" cy="114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nj.tjj.beijing.gov.cn/nj/main/2020-tjnj/zk/indexch.htm" TargetMode="Externa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16.xml.rels><?xml version="1.0" encoding="UTF-8" standalone="yes"?>
<Relationships xmlns="http://schemas.openxmlformats.org/package/2006/relationships"><Relationship Id="rId8" Type="http://schemas.openxmlformats.org/officeDocument/2006/relationships/hyperlink" Target="http://www.moe.gov.cn/s78/A03/moe_560/jytjsj_2019/gd/index_1.html" TargetMode="External"/><Relationship Id="rId13" Type="http://schemas.openxmlformats.org/officeDocument/2006/relationships/hyperlink" Target="http://www.moe.gov.cn/s78/A03/moe_560/jytjsj_2019/gd/index_1.html" TargetMode="External"/><Relationship Id="rId18" Type="http://schemas.openxmlformats.org/officeDocument/2006/relationships/hyperlink" Target="http://www.moe.gov.cn/s78/A03/moe_560/jytjsj_2019/gd/index_1.html" TargetMode="External"/><Relationship Id="rId26" Type="http://schemas.openxmlformats.org/officeDocument/2006/relationships/hyperlink" Target="http://www.moe.gov.cn/s78/A03/moe_560/jytjsj_2019/gd/index_1.html" TargetMode="External"/><Relationship Id="rId3" Type="http://schemas.openxmlformats.org/officeDocument/2006/relationships/hyperlink" Target="http://www.moe.gov.cn/s78/A03/moe_560/jytjsj_2019/gd/index_1.html" TargetMode="External"/><Relationship Id="rId21" Type="http://schemas.openxmlformats.org/officeDocument/2006/relationships/hyperlink" Target="http://www.moe.gov.cn/s78/A03/moe_560/jytjsj_2019/gd/index_1.html" TargetMode="External"/><Relationship Id="rId7" Type="http://schemas.openxmlformats.org/officeDocument/2006/relationships/hyperlink" Target="http://www.moe.gov.cn/s78/A03/moe_560/jytjsj_2019/gd/index_1.html" TargetMode="External"/><Relationship Id="rId12" Type="http://schemas.openxmlformats.org/officeDocument/2006/relationships/hyperlink" Target="http://www.moe.gov.cn/s78/A03/moe_560/jytjsj_2019/gd/index_1.html" TargetMode="External"/><Relationship Id="rId17" Type="http://schemas.openxmlformats.org/officeDocument/2006/relationships/hyperlink" Target="http://www.moe.gov.cn/s78/A03/moe_560/jytjsj_2019/gd/index_1.html" TargetMode="External"/><Relationship Id="rId25" Type="http://schemas.openxmlformats.org/officeDocument/2006/relationships/hyperlink" Target="http://www.moe.gov.cn/s78/A03/moe_560/jytjsj_2019/gd/index_1.html" TargetMode="External"/><Relationship Id="rId2" Type="http://schemas.openxmlformats.org/officeDocument/2006/relationships/hyperlink" Target="http://www.moe.gov.cn/s78/A03/moe_560/jytjsj_2019/gd/index_1.html" TargetMode="External"/><Relationship Id="rId16" Type="http://schemas.openxmlformats.org/officeDocument/2006/relationships/hyperlink" Target="http://www.moe.gov.cn/s78/A03/moe_560/jytjsj_2019/gd/index_1.html" TargetMode="External"/><Relationship Id="rId20" Type="http://schemas.openxmlformats.org/officeDocument/2006/relationships/hyperlink" Target="http://www.moe.gov.cn/s78/A03/moe_560/jytjsj_2019/gd/index_1.html" TargetMode="External"/><Relationship Id="rId29" Type="http://schemas.openxmlformats.org/officeDocument/2006/relationships/hyperlink" Target="http://www.moe.gov.cn/s78/A03/moe_560/jytjsj_2019/gd/index_1.html" TargetMode="External"/><Relationship Id="rId1" Type="http://schemas.openxmlformats.org/officeDocument/2006/relationships/hyperlink" Target="http://www.moe.gov.cn/s78/A03/moe_560/jytjsj_2019/gd/index_1.html" TargetMode="External"/><Relationship Id="rId6" Type="http://schemas.openxmlformats.org/officeDocument/2006/relationships/hyperlink" Target="http://www.moe.gov.cn/s78/A03/moe_560/jytjsj_2019/gd/index_1.html" TargetMode="External"/><Relationship Id="rId11" Type="http://schemas.openxmlformats.org/officeDocument/2006/relationships/hyperlink" Target="http://www.moe.gov.cn/s78/A03/moe_560/jytjsj_2019/gd/index_1.html" TargetMode="External"/><Relationship Id="rId24" Type="http://schemas.openxmlformats.org/officeDocument/2006/relationships/hyperlink" Target="http://www.moe.gov.cn/s78/A03/moe_560/jytjsj_2019/gd/index_1.html" TargetMode="External"/><Relationship Id="rId5" Type="http://schemas.openxmlformats.org/officeDocument/2006/relationships/hyperlink" Target="http://www.moe.gov.cn/s78/A03/moe_560/jytjsj_2019/gd/index_1.html" TargetMode="External"/><Relationship Id="rId15" Type="http://schemas.openxmlformats.org/officeDocument/2006/relationships/hyperlink" Target="http://www.moe.gov.cn/s78/A03/moe_560/jytjsj_2019/gd/index_1.html" TargetMode="External"/><Relationship Id="rId23" Type="http://schemas.openxmlformats.org/officeDocument/2006/relationships/hyperlink" Target="http://www.moe.gov.cn/s78/A03/moe_560/jytjsj_2019/gd/index_1.html" TargetMode="External"/><Relationship Id="rId28" Type="http://schemas.openxmlformats.org/officeDocument/2006/relationships/hyperlink" Target="http://www.moe.gov.cn/s78/A03/moe_560/jytjsj_2019/gd/index_1.html" TargetMode="External"/><Relationship Id="rId10" Type="http://schemas.openxmlformats.org/officeDocument/2006/relationships/hyperlink" Target="http://www.moe.gov.cn/s78/A03/moe_560/jytjsj_2019/gd/index_1.html" TargetMode="External"/><Relationship Id="rId19" Type="http://schemas.openxmlformats.org/officeDocument/2006/relationships/hyperlink" Target="http://www.moe.gov.cn/s78/A03/moe_560/jytjsj_2019/gd/index_1.html" TargetMode="External"/><Relationship Id="rId31" Type="http://schemas.openxmlformats.org/officeDocument/2006/relationships/hyperlink" Target="http://www.moe.gov.cn/s78/A03/moe_560/jytjsj_2019/gd/index_1.html" TargetMode="External"/><Relationship Id="rId4" Type="http://schemas.openxmlformats.org/officeDocument/2006/relationships/hyperlink" Target="http://www.moe.gov.cn/s78/A03/moe_560/jytjsj_2019/gd/index_1.html" TargetMode="External"/><Relationship Id="rId9" Type="http://schemas.openxmlformats.org/officeDocument/2006/relationships/hyperlink" Target="http://www.moe.gov.cn/s78/A03/moe_560/jytjsj_2019/gd/index_1.html" TargetMode="External"/><Relationship Id="rId14" Type="http://schemas.openxmlformats.org/officeDocument/2006/relationships/hyperlink" Target="http://www.moe.gov.cn/s78/A03/moe_560/jytjsj_2019/gd/index_1.html" TargetMode="External"/><Relationship Id="rId22" Type="http://schemas.openxmlformats.org/officeDocument/2006/relationships/hyperlink" Target="http://www.moe.gov.cn/s78/A03/moe_560/jytjsj_2019/gd/index_1.html" TargetMode="External"/><Relationship Id="rId27" Type="http://schemas.openxmlformats.org/officeDocument/2006/relationships/hyperlink" Target="http://www.moe.gov.cn/s78/A03/moe_560/jytjsj_2019/gd/index_1.html" TargetMode="External"/><Relationship Id="rId30" Type="http://schemas.openxmlformats.org/officeDocument/2006/relationships/hyperlink" Target="http://www.moe.gov.cn/s78/A03/moe_560/jytjsj_2019/gd/index_1.html" TargetMode="Externa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hyperlink" Target="http://hzs.mofcom.gov.cn/article/date/202011/20201103018497.s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4"/>
  <sheetViews>
    <sheetView workbookViewId="0">
      <selection activeCell="F1" sqref="F1:F32"/>
    </sheetView>
  </sheetViews>
  <sheetFormatPr defaultColWidth="9" defaultRowHeight="14" x14ac:dyDescent="0.3"/>
  <cols>
    <col min="1" max="1" width="4.25" customWidth="1"/>
    <col min="2" max="2" width="13.33203125" customWidth="1"/>
    <col min="3" max="3" width="15.5" customWidth="1"/>
    <col min="4" max="4" width="16.08203125" customWidth="1"/>
    <col min="5" max="5" width="13.25" customWidth="1"/>
  </cols>
  <sheetData>
    <row r="1" spans="1:6" ht="15" x14ac:dyDescent="0.3">
      <c r="A1" s="53" t="s">
        <v>0</v>
      </c>
      <c r="B1" s="53" t="s">
        <v>1</v>
      </c>
      <c r="C1" s="53" t="s">
        <v>2</v>
      </c>
      <c r="D1" s="103" t="s">
        <v>3</v>
      </c>
      <c r="E1" s="105" t="s">
        <v>4</v>
      </c>
      <c r="F1" s="101" t="s">
        <v>718</v>
      </c>
    </row>
    <row r="2" spans="1:6" ht="15.5" x14ac:dyDescent="0.3">
      <c r="A2" s="102">
        <v>1</v>
      </c>
      <c r="B2" s="102" t="s">
        <v>5</v>
      </c>
      <c r="C2" s="102" t="s">
        <v>6</v>
      </c>
      <c r="D2" s="3">
        <v>332548</v>
      </c>
      <c r="E2" s="106" t="s">
        <v>7</v>
      </c>
      <c r="F2" s="106" t="s">
        <v>719</v>
      </c>
    </row>
    <row r="3" spans="1:6" ht="15.5" x14ac:dyDescent="0.3">
      <c r="A3" s="102">
        <v>2</v>
      </c>
      <c r="B3" s="102" t="s">
        <v>8</v>
      </c>
      <c r="C3" s="102" t="s">
        <v>9</v>
      </c>
      <c r="D3" s="3">
        <v>128245</v>
      </c>
      <c r="E3" s="106" t="s">
        <v>7</v>
      </c>
      <c r="F3" s="106" t="s">
        <v>719</v>
      </c>
    </row>
    <row r="4" spans="1:6" ht="15.5" x14ac:dyDescent="0.3">
      <c r="A4" s="102">
        <v>3</v>
      </c>
      <c r="B4" s="102" t="s">
        <v>10</v>
      </c>
      <c r="C4" s="102" t="s">
        <v>11</v>
      </c>
      <c r="D4" s="3">
        <v>480706</v>
      </c>
      <c r="E4" s="106" t="s">
        <v>7</v>
      </c>
      <c r="F4" s="106" t="s">
        <v>719</v>
      </c>
    </row>
    <row r="5" spans="1:6" ht="15.5" x14ac:dyDescent="0.3">
      <c r="A5" s="102">
        <v>4</v>
      </c>
      <c r="B5" s="102" t="s">
        <v>12</v>
      </c>
      <c r="C5" s="102" t="s">
        <v>13</v>
      </c>
      <c r="D5" s="3">
        <v>263836</v>
      </c>
      <c r="E5" s="106" t="s">
        <v>7</v>
      </c>
      <c r="F5" s="106" t="s">
        <v>719</v>
      </c>
    </row>
    <row r="6" spans="1:6" ht="15.5" x14ac:dyDescent="0.3">
      <c r="A6" s="102">
        <v>5</v>
      </c>
      <c r="B6" s="102" t="s">
        <v>14</v>
      </c>
      <c r="C6" s="102" t="s">
        <v>15</v>
      </c>
      <c r="D6" s="3">
        <v>196932</v>
      </c>
      <c r="E6" s="106" t="s">
        <v>7</v>
      </c>
      <c r="F6" s="106" t="s">
        <v>719</v>
      </c>
    </row>
    <row r="7" spans="1:6" ht="15.5" x14ac:dyDescent="0.3">
      <c r="A7" s="102">
        <v>6</v>
      </c>
      <c r="B7" s="102" t="s">
        <v>16</v>
      </c>
      <c r="C7" s="102" t="s">
        <v>17</v>
      </c>
      <c r="D7" s="3">
        <v>364639</v>
      </c>
      <c r="E7" s="106" t="s">
        <v>7</v>
      </c>
      <c r="F7" s="106" t="s">
        <v>719</v>
      </c>
    </row>
    <row r="8" spans="1:6" ht="15.5" x14ac:dyDescent="0.3">
      <c r="A8" s="102">
        <v>7</v>
      </c>
      <c r="B8" s="102" t="s">
        <v>18</v>
      </c>
      <c r="C8" s="102" t="s">
        <v>19</v>
      </c>
      <c r="D8" s="3">
        <v>207664</v>
      </c>
      <c r="E8" s="106" t="s">
        <v>7</v>
      </c>
      <c r="F8" s="106" t="s">
        <v>719</v>
      </c>
    </row>
    <row r="9" spans="1:6" ht="15.5" x14ac:dyDescent="0.3">
      <c r="A9" s="102">
        <v>8</v>
      </c>
      <c r="B9" s="102" t="s">
        <v>20</v>
      </c>
      <c r="C9" s="102" t="s">
        <v>21</v>
      </c>
      <c r="D9" s="3">
        <v>254232</v>
      </c>
      <c r="E9" s="106" t="s">
        <v>7</v>
      </c>
      <c r="F9" s="106" t="s">
        <v>719</v>
      </c>
    </row>
    <row r="10" spans="1:6" ht="15.5" x14ac:dyDescent="0.3">
      <c r="A10" s="102">
        <v>9</v>
      </c>
      <c r="B10" s="102" t="s">
        <v>22</v>
      </c>
      <c r="C10" s="102" t="s">
        <v>23</v>
      </c>
      <c r="D10" s="3">
        <v>249451</v>
      </c>
      <c r="E10" s="106" t="s">
        <v>7</v>
      </c>
      <c r="F10" s="106" t="s">
        <v>719</v>
      </c>
    </row>
    <row r="11" spans="1:6" ht="15.5" x14ac:dyDescent="0.3">
      <c r="A11" s="102">
        <v>10</v>
      </c>
      <c r="B11" s="102" t="s">
        <v>24</v>
      </c>
      <c r="C11" s="102" t="s">
        <v>25</v>
      </c>
      <c r="D11" s="3">
        <v>652644</v>
      </c>
      <c r="E11" s="106" t="s">
        <v>7</v>
      </c>
      <c r="F11" s="106" t="s">
        <v>719</v>
      </c>
    </row>
    <row r="12" spans="1:6" ht="15.5" x14ac:dyDescent="0.3">
      <c r="A12" s="102">
        <v>11</v>
      </c>
      <c r="B12" s="102" t="s">
        <v>26</v>
      </c>
      <c r="C12" s="102" t="s">
        <v>27</v>
      </c>
      <c r="D12" s="3">
        <v>544110</v>
      </c>
      <c r="E12" s="106" t="s">
        <v>7</v>
      </c>
      <c r="F12" s="106" t="s">
        <v>719</v>
      </c>
    </row>
    <row r="13" spans="1:6" ht="15.5" x14ac:dyDescent="0.3">
      <c r="A13" s="102">
        <v>12</v>
      </c>
      <c r="B13" s="102" t="s">
        <v>28</v>
      </c>
      <c r="C13" s="102" t="s">
        <v>29</v>
      </c>
      <c r="D13" s="3">
        <v>398730</v>
      </c>
      <c r="E13" s="106" t="s">
        <v>7</v>
      </c>
      <c r="F13" s="106" t="s">
        <v>719</v>
      </c>
    </row>
    <row r="14" spans="1:6" ht="15.5" x14ac:dyDescent="0.3">
      <c r="A14" s="102">
        <v>13</v>
      </c>
      <c r="B14" s="102" t="s">
        <v>30</v>
      </c>
      <c r="C14" s="102" t="s">
        <v>31</v>
      </c>
      <c r="D14" s="3">
        <v>275123</v>
      </c>
      <c r="E14" s="106" t="s">
        <v>7</v>
      </c>
      <c r="F14" s="106" t="s">
        <v>719</v>
      </c>
    </row>
    <row r="15" spans="1:6" ht="15.5" x14ac:dyDescent="0.3">
      <c r="A15" s="102">
        <v>14</v>
      </c>
      <c r="B15" s="102" t="s">
        <v>32</v>
      </c>
      <c r="C15" s="102" t="s">
        <v>33</v>
      </c>
      <c r="D15" s="3">
        <v>293954</v>
      </c>
      <c r="E15" s="106" t="s">
        <v>7</v>
      </c>
      <c r="F15" s="106" t="s">
        <v>719</v>
      </c>
    </row>
    <row r="16" spans="1:6" ht="15.5" x14ac:dyDescent="0.3">
      <c r="A16" s="102">
        <v>15</v>
      </c>
      <c r="B16" s="102" t="s">
        <v>34</v>
      </c>
      <c r="C16" s="102" t="s">
        <v>35</v>
      </c>
      <c r="D16" s="3">
        <v>765411</v>
      </c>
      <c r="E16" s="106" t="s">
        <v>7</v>
      </c>
      <c r="F16" s="106" t="s">
        <v>719</v>
      </c>
    </row>
    <row r="17" spans="1:6" ht="15.5" x14ac:dyDescent="0.3">
      <c r="A17" s="102">
        <v>16</v>
      </c>
      <c r="B17" s="102" t="s">
        <v>36</v>
      </c>
      <c r="C17" s="102" t="s">
        <v>37</v>
      </c>
      <c r="D17" s="3">
        <v>699151</v>
      </c>
      <c r="E17" s="106" t="s">
        <v>7</v>
      </c>
      <c r="F17" s="106" t="s">
        <v>719</v>
      </c>
    </row>
    <row r="18" spans="1:6" ht="15.5" x14ac:dyDescent="0.3">
      <c r="A18" s="102">
        <v>17</v>
      </c>
      <c r="B18" s="102" t="s">
        <v>38</v>
      </c>
      <c r="C18" s="102" t="s">
        <v>39</v>
      </c>
      <c r="D18" s="3">
        <v>470965</v>
      </c>
      <c r="E18" s="106" t="s">
        <v>7</v>
      </c>
      <c r="F18" s="106" t="s">
        <v>719</v>
      </c>
    </row>
    <row r="19" spans="1:6" ht="15.5" x14ac:dyDescent="0.3">
      <c r="A19" s="102">
        <v>18</v>
      </c>
      <c r="B19" s="102" t="s">
        <v>40</v>
      </c>
      <c r="C19" s="102" t="s">
        <v>41</v>
      </c>
      <c r="D19" s="3">
        <v>482196</v>
      </c>
      <c r="E19" s="106" t="s">
        <v>7</v>
      </c>
      <c r="F19" s="106" t="s">
        <v>719</v>
      </c>
    </row>
    <row r="20" spans="1:6" ht="15.5" x14ac:dyDescent="0.3">
      <c r="A20" s="102">
        <v>19</v>
      </c>
      <c r="B20" s="102" t="s">
        <v>42</v>
      </c>
      <c r="C20" s="102" t="s">
        <v>43</v>
      </c>
      <c r="D20" s="3">
        <v>851526</v>
      </c>
      <c r="E20" s="106" t="s">
        <v>7</v>
      </c>
      <c r="F20" s="106" t="s">
        <v>719</v>
      </c>
    </row>
    <row r="21" spans="1:6" ht="15.5" x14ac:dyDescent="0.3">
      <c r="A21" s="102">
        <v>20</v>
      </c>
      <c r="B21" s="102" t="s">
        <v>44</v>
      </c>
      <c r="C21" s="102" t="s">
        <v>45</v>
      </c>
      <c r="D21" s="3">
        <v>353701</v>
      </c>
      <c r="E21" s="106" t="s">
        <v>7</v>
      </c>
      <c r="F21" s="106" t="s">
        <v>719</v>
      </c>
    </row>
    <row r="22" spans="1:6" ht="15.5" x14ac:dyDescent="0.3">
      <c r="A22" s="102">
        <v>21</v>
      </c>
      <c r="B22" s="102" t="s">
        <v>46</v>
      </c>
      <c r="C22" s="102" t="s">
        <v>47</v>
      </c>
      <c r="D22" s="3">
        <v>75672</v>
      </c>
      <c r="E22" s="106" t="s">
        <v>7</v>
      </c>
      <c r="F22" s="106" t="s">
        <v>719</v>
      </c>
    </row>
    <row r="23" spans="1:6" ht="15.5" x14ac:dyDescent="0.3">
      <c r="A23" s="102">
        <v>22</v>
      </c>
      <c r="B23" s="102" t="s">
        <v>48</v>
      </c>
      <c r="C23" s="102" t="s">
        <v>49</v>
      </c>
      <c r="D23" s="3">
        <v>243167</v>
      </c>
      <c r="E23" s="106" t="s">
        <v>7</v>
      </c>
      <c r="F23" s="106" t="s">
        <v>719</v>
      </c>
    </row>
    <row r="24" spans="1:6" ht="15.5" x14ac:dyDescent="0.3">
      <c r="A24" s="102">
        <v>23</v>
      </c>
      <c r="B24" s="102" t="s">
        <v>50</v>
      </c>
      <c r="C24" s="102" t="s">
        <v>51</v>
      </c>
      <c r="D24" s="3">
        <v>639890</v>
      </c>
      <c r="E24" s="106" t="s">
        <v>7</v>
      </c>
      <c r="F24" s="106" t="s">
        <v>719</v>
      </c>
    </row>
    <row r="25" spans="1:6" ht="15.5" x14ac:dyDescent="0.3">
      <c r="A25" s="102">
        <v>24</v>
      </c>
      <c r="B25" s="102" t="s">
        <v>52</v>
      </c>
      <c r="C25" s="102" t="s">
        <v>53</v>
      </c>
      <c r="D25" s="3">
        <v>281273</v>
      </c>
      <c r="E25" s="106" t="s">
        <v>7</v>
      </c>
      <c r="F25" s="106" t="s">
        <v>719</v>
      </c>
    </row>
    <row r="26" spans="1:6" ht="15.5" x14ac:dyDescent="0.3">
      <c r="A26" s="102">
        <v>25</v>
      </c>
      <c r="B26" s="102" t="s">
        <v>54</v>
      </c>
      <c r="C26" s="102" t="s">
        <v>350</v>
      </c>
      <c r="D26" s="3">
        <v>339516</v>
      </c>
      <c r="E26" s="106" t="s">
        <v>7</v>
      </c>
      <c r="F26" s="106" t="s">
        <v>719</v>
      </c>
    </row>
    <row r="27" spans="1:6" ht="15.5" x14ac:dyDescent="0.3">
      <c r="A27" s="102">
        <v>26</v>
      </c>
      <c r="B27" s="102" t="s">
        <v>55</v>
      </c>
      <c r="C27" s="102" t="s">
        <v>56</v>
      </c>
      <c r="D27" s="3">
        <v>17649</v>
      </c>
      <c r="E27" s="106" t="s">
        <v>7</v>
      </c>
      <c r="F27" s="106" t="s">
        <v>719</v>
      </c>
    </row>
    <row r="28" spans="1:6" ht="15.5" x14ac:dyDescent="0.3">
      <c r="A28" s="102">
        <v>27</v>
      </c>
      <c r="B28" s="102" t="s">
        <v>57</v>
      </c>
      <c r="C28" s="102" t="s">
        <v>58</v>
      </c>
      <c r="D28" s="3">
        <v>343434</v>
      </c>
      <c r="E28" s="106" t="s">
        <v>7</v>
      </c>
      <c r="F28" s="106" t="s">
        <v>719</v>
      </c>
    </row>
    <row r="29" spans="1:6" ht="15.5" x14ac:dyDescent="0.3">
      <c r="A29" s="102">
        <v>28</v>
      </c>
      <c r="B29" s="102" t="s">
        <v>59</v>
      </c>
      <c r="C29" s="102" t="s">
        <v>60</v>
      </c>
      <c r="D29" s="3">
        <v>179962</v>
      </c>
      <c r="E29" s="106" t="s">
        <v>7</v>
      </c>
      <c r="F29" s="106" t="s">
        <v>719</v>
      </c>
    </row>
    <row r="30" spans="1:6" ht="15.5" x14ac:dyDescent="0.3">
      <c r="A30" s="102">
        <v>29</v>
      </c>
      <c r="B30" s="102" t="s">
        <v>61</v>
      </c>
      <c r="C30" s="102" t="s">
        <v>62</v>
      </c>
      <c r="D30" s="3">
        <v>53344</v>
      </c>
      <c r="E30" s="106" t="s">
        <v>7</v>
      </c>
      <c r="F30" s="106" t="s">
        <v>719</v>
      </c>
    </row>
    <row r="31" spans="1:6" ht="15.5" x14ac:dyDescent="0.3">
      <c r="A31" s="102">
        <v>30</v>
      </c>
      <c r="B31" s="102" t="s">
        <v>63</v>
      </c>
      <c r="C31" s="102" t="s">
        <v>64</v>
      </c>
      <c r="D31" s="3">
        <v>56651</v>
      </c>
      <c r="E31" s="106" t="s">
        <v>7</v>
      </c>
      <c r="F31" s="106" t="s">
        <v>719</v>
      </c>
    </row>
    <row r="32" spans="1:6" ht="15.5" x14ac:dyDescent="0.3">
      <c r="A32" s="102">
        <v>31</v>
      </c>
      <c r="B32" s="102" t="s">
        <v>65</v>
      </c>
      <c r="C32" s="102" t="s">
        <v>66</v>
      </c>
      <c r="D32" s="3">
        <v>217858</v>
      </c>
      <c r="E32" s="106" t="s">
        <v>7</v>
      </c>
      <c r="F32" s="106" t="s">
        <v>719</v>
      </c>
    </row>
    <row r="33" spans="4:4" x14ac:dyDescent="0.3">
      <c r="D33" s="3"/>
    </row>
    <row r="34" spans="4:4" x14ac:dyDescent="0.3">
      <c r="D34" s="3"/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G32"/>
  <sheetViews>
    <sheetView topLeftCell="E1" workbookViewId="0">
      <pane ySplit="1" topLeftCell="A2" activePane="bottomLeft" state="frozen"/>
      <selection pane="bottomLeft" activeCell="AG1" sqref="AG1:AG1048576"/>
    </sheetView>
  </sheetViews>
  <sheetFormatPr defaultColWidth="9" defaultRowHeight="14" x14ac:dyDescent="0.3"/>
  <cols>
    <col min="1" max="1" width="4.25" customWidth="1"/>
    <col min="2" max="2" width="12.83203125" customWidth="1"/>
    <col min="3" max="3" width="13.75" customWidth="1"/>
    <col min="4" max="7" width="10" customWidth="1"/>
    <col min="8" max="8" width="11.08203125" customWidth="1"/>
    <col min="9" max="9" width="10" customWidth="1"/>
    <col min="10" max="10" width="8.58203125" customWidth="1"/>
    <col min="11" max="11" width="9" customWidth="1"/>
    <col min="12" max="26" width="10" customWidth="1"/>
    <col min="27" max="27" width="7.75" customWidth="1"/>
    <col min="28" max="30" width="10" customWidth="1"/>
    <col min="31" max="31" width="8.08203125" customWidth="1"/>
    <col min="32" max="32" width="70.58203125" customWidth="1"/>
    <col min="33" max="33" width="9" style="3"/>
  </cols>
  <sheetData>
    <row r="1" spans="1:33" s="48" customFormat="1" ht="15" x14ac:dyDescent="0.3">
      <c r="A1" s="84" t="s">
        <v>0</v>
      </c>
      <c r="B1" s="84" t="s">
        <v>1</v>
      </c>
      <c r="C1" s="84" t="s">
        <v>2</v>
      </c>
      <c r="D1" s="84" t="s">
        <v>262</v>
      </c>
      <c r="E1" s="84" t="s">
        <v>263</v>
      </c>
      <c r="F1" s="84" t="s">
        <v>264</v>
      </c>
      <c r="G1" s="84" t="s">
        <v>265</v>
      </c>
      <c r="H1" s="84" t="s">
        <v>266</v>
      </c>
      <c r="I1" s="84" t="s">
        <v>267</v>
      </c>
      <c r="J1" s="84" t="s">
        <v>268</v>
      </c>
      <c r="K1" s="84" t="s">
        <v>269</v>
      </c>
      <c r="L1" s="84" t="s">
        <v>270</v>
      </c>
      <c r="M1" s="84" t="s">
        <v>271</v>
      </c>
      <c r="N1" s="84" t="s">
        <v>272</v>
      </c>
      <c r="O1" s="84" t="s">
        <v>273</v>
      </c>
      <c r="P1" s="84" t="s">
        <v>274</v>
      </c>
      <c r="Q1" s="84" t="s">
        <v>275</v>
      </c>
      <c r="R1" s="84" t="s">
        <v>276</v>
      </c>
      <c r="S1" s="84" t="s">
        <v>277</v>
      </c>
      <c r="T1" s="84" t="s">
        <v>278</v>
      </c>
      <c r="U1" s="84" t="s">
        <v>279</v>
      </c>
      <c r="V1" s="84" t="s">
        <v>280</v>
      </c>
      <c r="W1" s="84" t="s">
        <v>281</v>
      </c>
      <c r="X1" s="84" t="s">
        <v>282</v>
      </c>
      <c r="Y1" s="84" t="s">
        <v>283</v>
      </c>
      <c r="Z1" s="84" t="s">
        <v>284</v>
      </c>
      <c r="AA1" s="84" t="s">
        <v>285</v>
      </c>
      <c r="AB1" s="84" t="s">
        <v>286</v>
      </c>
      <c r="AC1" s="84" t="s">
        <v>287</v>
      </c>
      <c r="AD1" s="84" t="s">
        <v>288</v>
      </c>
      <c r="AE1" s="84" t="s">
        <v>289</v>
      </c>
      <c r="AF1" s="83" t="s">
        <v>4</v>
      </c>
      <c r="AG1" s="149" t="s">
        <v>67</v>
      </c>
    </row>
    <row r="2" spans="1:33" ht="15" x14ac:dyDescent="0.3">
      <c r="A2" s="85">
        <v>1</v>
      </c>
      <c r="B2" s="85" t="s">
        <v>290</v>
      </c>
      <c r="C2" s="85" t="s">
        <v>6</v>
      </c>
      <c r="D2" s="85">
        <v>115882</v>
      </c>
      <c r="E2" s="85">
        <v>569998</v>
      </c>
      <c r="F2" s="85">
        <v>79143.367002488652</v>
      </c>
      <c r="K2" s="85">
        <v>501269</v>
      </c>
      <c r="L2" s="85">
        <v>500288</v>
      </c>
      <c r="M2" s="85">
        <v>1071078</v>
      </c>
      <c r="N2" s="85">
        <v>2633028</v>
      </c>
      <c r="O2" s="85">
        <v>2379014</v>
      </c>
      <c r="P2" s="87">
        <v>1824339</v>
      </c>
      <c r="Q2" s="87">
        <v>1720601</v>
      </c>
      <c r="R2" s="87">
        <v>1656355</v>
      </c>
      <c r="S2" s="87">
        <v>1628804</v>
      </c>
      <c r="T2" s="87">
        <v>1347008</v>
      </c>
      <c r="U2" s="87">
        <v>1204596</v>
      </c>
      <c r="V2" s="87">
        <v>751256</v>
      </c>
      <c r="W2" s="87">
        <v>516364</v>
      </c>
      <c r="X2" s="87">
        <v>504005</v>
      </c>
      <c r="Y2" s="87">
        <v>386374</v>
      </c>
      <c r="Z2" s="87">
        <v>199673</v>
      </c>
      <c r="AB2" s="87">
        <v>77475</v>
      </c>
      <c r="AC2" s="87">
        <v>20345</v>
      </c>
      <c r="AD2" s="87">
        <v>4064</v>
      </c>
      <c r="AE2" s="87">
        <v>552</v>
      </c>
      <c r="AF2" t="s">
        <v>291</v>
      </c>
      <c r="AG2" s="88" t="s">
        <v>292</v>
      </c>
    </row>
    <row r="3" spans="1:33" ht="15" x14ac:dyDescent="0.3">
      <c r="A3" s="85">
        <v>2</v>
      </c>
      <c r="B3" s="85" t="s">
        <v>293</v>
      </c>
      <c r="C3" s="85" t="s">
        <v>9</v>
      </c>
      <c r="D3" s="85">
        <v>81871</v>
      </c>
      <c r="E3" s="85">
        <v>379022</v>
      </c>
      <c r="F3" s="85">
        <v>75290.726824341618</v>
      </c>
      <c r="G3" s="85">
        <v>1593500</v>
      </c>
      <c r="H3" s="85">
        <v>12307500</v>
      </c>
      <c r="I3" s="85">
        <v>1695000</v>
      </c>
      <c r="J3" s="85"/>
      <c r="K3" s="87">
        <v>397798</v>
      </c>
      <c r="L3" s="87">
        <v>408877</v>
      </c>
      <c r="M3" s="87">
        <v>801760</v>
      </c>
      <c r="N3" s="87">
        <v>1679442</v>
      </c>
      <c r="O3" s="87">
        <v>1341714</v>
      </c>
      <c r="P3" s="87">
        <v>1035675</v>
      </c>
      <c r="Q3" s="87">
        <v>1045560</v>
      </c>
      <c r="R3" s="87">
        <v>1067997</v>
      </c>
      <c r="S3" s="87">
        <v>1097110</v>
      </c>
      <c r="T3" s="87">
        <v>998655</v>
      </c>
      <c r="U3" s="87">
        <v>918527</v>
      </c>
      <c r="V3" s="87">
        <v>582297</v>
      </c>
      <c r="W3" s="87">
        <v>370879</v>
      </c>
      <c r="X3" s="87">
        <v>295616</v>
      </c>
      <c r="Y3" s="87">
        <v>231770</v>
      </c>
      <c r="Z3" s="87">
        <v>134304</v>
      </c>
      <c r="AA3" s="87"/>
      <c r="AB3" s="87">
        <v>52792</v>
      </c>
      <c r="AC3" s="87">
        <v>13569</v>
      </c>
      <c r="AD3" s="87">
        <v>3242</v>
      </c>
      <c r="AE3" s="87">
        <v>216</v>
      </c>
      <c r="AF3" s="88" t="s">
        <v>294</v>
      </c>
      <c r="AG3" s="3" t="s">
        <v>295</v>
      </c>
    </row>
    <row r="4" spans="1:33" ht="15" x14ac:dyDescent="0.3">
      <c r="A4" s="85">
        <v>3</v>
      </c>
      <c r="B4" s="85" t="s">
        <v>296</v>
      </c>
      <c r="C4" s="85" t="s">
        <v>11</v>
      </c>
      <c r="D4" s="85">
        <v>880194</v>
      </c>
      <c r="E4" s="85">
        <v>3897692</v>
      </c>
      <c r="F4" s="85">
        <v>848241.70220527786</v>
      </c>
      <c r="G4" s="85"/>
      <c r="H4" s="85"/>
      <c r="I4" s="85"/>
      <c r="J4" s="85"/>
      <c r="K4" s="87">
        <v>4041271</v>
      </c>
      <c r="L4" s="87">
        <v>3273881</v>
      </c>
      <c r="M4" s="87">
        <v>5300038</v>
      </c>
      <c r="N4" s="87">
        <v>7592569</v>
      </c>
      <c r="O4" s="87">
        <v>5922757</v>
      </c>
      <c r="P4" s="87">
        <v>4816542</v>
      </c>
      <c r="Q4" s="87">
        <v>5236791</v>
      </c>
      <c r="R4" s="87">
        <v>6303869</v>
      </c>
      <c r="S4" s="87">
        <v>5644591</v>
      </c>
      <c r="T4" s="87">
        <v>4794727</v>
      </c>
      <c r="U4" s="87">
        <v>4807022</v>
      </c>
      <c r="V4" s="87">
        <v>3422528</v>
      </c>
      <c r="W4" s="87">
        <v>2089275</v>
      </c>
      <c r="X4" s="87">
        <v>1648584</v>
      </c>
      <c r="Y4" s="87">
        <v>1196136</v>
      </c>
      <c r="Z4" s="87">
        <v>656732</v>
      </c>
      <c r="AA4" s="87"/>
      <c r="AB4" s="87">
        <v>254168</v>
      </c>
      <c r="AC4" s="87">
        <v>61672</v>
      </c>
      <c r="AD4" s="87">
        <v>12231</v>
      </c>
      <c r="AE4" s="87">
        <v>940</v>
      </c>
      <c r="AF4" s="88" t="s">
        <v>297</v>
      </c>
    </row>
    <row r="5" spans="1:33" ht="15" x14ac:dyDescent="0.3">
      <c r="A5" s="85">
        <v>4</v>
      </c>
      <c r="B5" s="85" t="s">
        <v>298</v>
      </c>
      <c r="C5" s="85" t="s">
        <v>13</v>
      </c>
      <c r="D5" s="85">
        <v>345782</v>
      </c>
      <c r="E5" s="85">
        <v>1477029</v>
      </c>
      <c r="F5" s="85">
        <v>329786.56928436871</v>
      </c>
      <c r="G5" s="85">
        <f>37183400*15.81%</f>
        <v>5878695.540000001</v>
      </c>
      <c r="H5" s="85">
        <f>37183400*73.79%</f>
        <v>27437630.860000003</v>
      </c>
      <c r="I5" s="85">
        <f>37183400*10.4%</f>
        <v>3867073.6000000006</v>
      </c>
      <c r="J5" s="85"/>
      <c r="K5" s="87">
        <v>1866552</v>
      </c>
      <c r="L5" s="87">
        <v>2416653</v>
      </c>
      <c r="M5" s="87">
        <v>3370864</v>
      </c>
      <c r="N5" s="87">
        <v>3191889</v>
      </c>
      <c r="O5" s="87">
        <v>2712291</v>
      </c>
      <c r="P5" s="87">
        <v>2497375</v>
      </c>
      <c r="Q5" s="87">
        <v>3289042</v>
      </c>
      <c r="R5" s="87">
        <v>3204150</v>
      </c>
      <c r="S5" s="87">
        <v>2848258</v>
      </c>
      <c r="T5" s="87">
        <v>2325620</v>
      </c>
      <c r="U5" s="87">
        <v>2048755</v>
      </c>
      <c r="V5" s="87">
        <v>1412582</v>
      </c>
      <c r="W5" s="87">
        <v>937484</v>
      </c>
      <c r="X5" s="87">
        <v>783578</v>
      </c>
      <c r="Y5" s="87">
        <v>571778</v>
      </c>
      <c r="Z5" s="87">
        <v>281068</v>
      </c>
      <c r="AA5" s="87"/>
      <c r="AB5" s="87">
        <v>103773</v>
      </c>
      <c r="AC5" s="87">
        <v>22982</v>
      </c>
      <c r="AD5" s="87">
        <v>4369</v>
      </c>
      <c r="AE5" s="87">
        <v>227</v>
      </c>
      <c r="AF5" s="88" t="s">
        <v>299</v>
      </c>
      <c r="AG5" s="3" t="s">
        <v>300</v>
      </c>
    </row>
    <row r="6" spans="1:33" ht="15" x14ac:dyDescent="0.3">
      <c r="A6" s="85">
        <v>5</v>
      </c>
      <c r="B6" s="85" t="s">
        <v>301</v>
      </c>
      <c r="C6" s="85" t="s">
        <v>15</v>
      </c>
      <c r="D6" s="85">
        <v>204151</v>
      </c>
      <c r="E6" s="85">
        <v>914675</v>
      </c>
      <c r="F6" s="85">
        <v>180151.51942225441</v>
      </c>
      <c r="G6" s="85"/>
      <c r="H6" s="85"/>
      <c r="I6" s="85"/>
      <c r="J6" s="85"/>
      <c r="K6" s="87">
        <v>1092749</v>
      </c>
      <c r="L6" s="87">
        <v>1264856</v>
      </c>
      <c r="M6" s="87">
        <v>1664924</v>
      </c>
      <c r="N6" s="87">
        <v>2083823</v>
      </c>
      <c r="O6" s="87">
        <v>2059761</v>
      </c>
      <c r="P6" s="87">
        <v>1967778</v>
      </c>
      <c r="Q6" s="87">
        <v>2540644</v>
      </c>
      <c r="R6" s="87">
        <v>2508659</v>
      </c>
      <c r="S6" s="87">
        <v>2239534</v>
      </c>
      <c r="T6" s="87">
        <v>1813660</v>
      </c>
      <c r="U6" s="87">
        <v>1514664</v>
      </c>
      <c r="V6" s="87">
        <v>968236</v>
      </c>
      <c r="W6" s="87">
        <v>663946</v>
      </c>
      <c r="X6" s="87">
        <v>590293</v>
      </c>
      <c r="Y6" s="87">
        <v>372560</v>
      </c>
      <c r="Z6" s="87">
        <v>166815</v>
      </c>
      <c r="AA6" s="87"/>
      <c r="AB6" s="87">
        <v>59205</v>
      </c>
      <c r="AC6" s="87">
        <v>12404</v>
      </c>
      <c r="AD6" s="87">
        <v>2766</v>
      </c>
      <c r="AE6" s="87">
        <v>188</v>
      </c>
      <c r="AF6" s="88" t="s">
        <v>297</v>
      </c>
      <c r="AG6" s="3" t="s">
        <v>528</v>
      </c>
    </row>
    <row r="7" spans="1:33" ht="15" x14ac:dyDescent="0.3">
      <c r="A7" s="85">
        <v>6</v>
      </c>
      <c r="B7" s="85" t="s">
        <v>302</v>
      </c>
      <c r="C7" s="85" t="s">
        <v>17</v>
      </c>
      <c r="D7" s="85">
        <v>264242</v>
      </c>
      <c r="E7" s="85">
        <v>1274719</v>
      </c>
      <c r="F7" s="85">
        <v>259075.31518266033</v>
      </c>
      <c r="G7" s="85"/>
      <c r="H7" s="85"/>
      <c r="I7" s="85"/>
      <c r="J7" s="85"/>
      <c r="K7" s="87">
        <v>1634902</v>
      </c>
      <c r="L7" s="87">
        <v>1823114</v>
      </c>
      <c r="M7" s="87">
        <v>2512595</v>
      </c>
      <c r="N7" s="87">
        <v>3665298</v>
      </c>
      <c r="O7" s="87">
        <v>3041693</v>
      </c>
      <c r="P7" s="87">
        <v>3275788</v>
      </c>
      <c r="Q7" s="87">
        <v>3720098</v>
      </c>
      <c r="R7" s="87">
        <v>4158958</v>
      </c>
      <c r="S7" s="87">
        <v>4266446</v>
      </c>
      <c r="T7" s="87">
        <v>3842788</v>
      </c>
      <c r="U7" s="87">
        <v>3514930</v>
      </c>
      <c r="V7" s="87">
        <v>2241311</v>
      </c>
      <c r="W7" s="87">
        <v>1542718</v>
      </c>
      <c r="X7" s="87">
        <v>1260721</v>
      </c>
      <c r="Y7" s="87">
        <v>905172</v>
      </c>
      <c r="Z7" s="87">
        <v>525299</v>
      </c>
      <c r="AA7" s="87"/>
      <c r="AB7" s="87">
        <v>209064</v>
      </c>
      <c r="AC7" s="87">
        <v>53725</v>
      </c>
      <c r="AD7" s="87">
        <v>11560</v>
      </c>
      <c r="AE7" s="87">
        <v>1182</v>
      </c>
      <c r="AF7" s="88" t="s">
        <v>297</v>
      </c>
      <c r="AG7" s="3" t="s">
        <v>528</v>
      </c>
    </row>
    <row r="8" spans="1:33" ht="15" x14ac:dyDescent="0.3">
      <c r="A8" s="85">
        <v>7</v>
      </c>
      <c r="B8" s="85" t="s">
        <v>303</v>
      </c>
      <c r="C8" s="85" t="s">
        <v>19</v>
      </c>
      <c r="D8" s="85">
        <v>177072</v>
      </c>
      <c r="E8" s="85">
        <v>901944</v>
      </c>
      <c r="F8" s="85">
        <v>154632.10119948385</v>
      </c>
      <c r="G8" s="85"/>
      <c r="H8" s="85"/>
      <c r="I8" s="85"/>
      <c r="J8" s="85"/>
      <c r="K8" s="87">
        <v>1094295</v>
      </c>
      <c r="L8" s="87">
        <v>1118204</v>
      </c>
      <c r="M8" s="87">
        <v>1684347</v>
      </c>
      <c r="N8" s="87">
        <v>2501314</v>
      </c>
      <c r="O8" s="87">
        <v>1956582</v>
      </c>
      <c r="P8" s="87">
        <v>2171403</v>
      </c>
      <c r="Q8" s="87">
        <v>2557636</v>
      </c>
      <c r="R8" s="87">
        <v>2893132</v>
      </c>
      <c r="S8" s="87">
        <v>2614467</v>
      </c>
      <c r="T8" s="87">
        <v>2150509</v>
      </c>
      <c r="U8" s="87">
        <v>2005362</v>
      </c>
      <c r="V8" s="87">
        <v>1324710</v>
      </c>
      <c r="W8" s="87">
        <v>837251</v>
      </c>
      <c r="X8" s="87">
        <v>680192</v>
      </c>
      <c r="Y8" s="87">
        <v>429609</v>
      </c>
      <c r="Z8" s="87">
        <v>232870</v>
      </c>
      <c r="AA8" s="87"/>
      <c r="AB8" s="87">
        <v>91293</v>
      </c>
      <c r="AC8" s="87">
        <v>23809</v>
      </c>
      <c r="AD8" s="87">
        <v>6235</v>
      </c>
      <c r="AE8" s="87">
        <v>579</v>
      </c>
      <c r="AF8" s="88" t="s">
        <v>297</v>
      </c>
      <c r="AG8" s="3" t="s">
        <v>528</v>
      </c>
    </row>
    <row r="9" spans="1:33" ht="15" x14ac:dyDescent="0.3">
      <c r="A9" s="85">
        <v>8</v>
      </c>
      <c r="B9" s="85" t="s">
        <v>304</v>
      </c>
      <c r="C9" s="85" t="s">
        <v>21</v>
      </c>
      <c r="D9" s="85">
        <v>248678</v>
      </c>
      <c r="E9" s="85">
        <v>1131065</v>
      </c>
      <c r="F9" s="85">
        <v>215277.94881903086</v>
      </c>
      <c r="G9" s="85"/>
      <c r="H9" s="85"/>
      <c r="I9" s="85"/>
      <c r="J9" s="85"/>
      <c r="K9" s="87">
        <v>1497236</v>
      </c>
      <c r="L9" s="87">
        <v>1697462</v>
      </c>
      <c r="M9" s="87">
        <v>2257881</v>
      </c>
      <c r="N9" s="87">
        <v>3325297</v>
      </c>
      <c r="O9" s="87">
        <v>2816292</v>
      </c>
      <c r="P9" s="87">
        <v>3061423</v>
      </c>
      <c r="Q9" s="87">
        <v>3938760</v>
      </c>
      <c r="R9" s="87">
        <v>3992113</v>
      </c>
      <c r="S9" s="87">
        <v>3656130</v>
      </c>
      <c r="T9" s="87">
        <v>3020706</v>
      </c>
      <c r="U9" s="87">
        <v>2678333</v>
      </c>
      <c r="V9" s="87">
        <v>1819301</v>
      </c>
      <c r="W9" s="87">
        <v>1154779</v>
      </c>
      <c r="X9" s="87">
        <v>975703</v>
      </c>
      <c r="Y9" s="87">
        <v>593894</v>
      </c>
      <c r="Z9" s="87">
        <v>300777</v>
      </c>
      <c r="AA9" s="87"/>
      <c r="AB9" s="87">
        <v>110128</v>
      </c>
      <c r="AC9" s="87">
        <v>29156</v>
      </c>
      <c r="AD9" s="87">
        <v>8389</v>
      </c>
      <c r="AE9" s="87">
        <v>488</v>
      </c>
      <c r="AF9" s="88" t="s">
        <v>297</v>
      </c>
      <c r="AG9" s="3" t="s">
        <v>528</v>
      </c>
    </row>
    <row r="10" spans="1:33" ht="15" x14ac:dyDescent="0.3">
      <c r="A10" s="85">
        <v>9</v>
      </c>
      <c r="B10" s="85" t="s">
        <v>305</v>
      </c>
      <c r="C10" s="85" t="s">
        <v>23</v>
      </c>
      <c r="D10" s="85">
        <v>128222</v>
      </c>
      <c r="E10" s="85">
        <v>665073</v>
      </c>
      <c r="F10" s="86">
        <v>111181.45832402758</v>
      </c>
      <c r="G10" s="85"/>
      <c r="H10" s="85"/>
      <c r="I10" s="85"/>
      <c r="J10" s="85">
        <f>D10+E10</f>
        <v>793295</v>
      </c>
      <c r="K10" s="87">
        <v>632783</v>
      </c>
      <c r="L10" s="87">
        <v>556781</v>
      </c>
      <c r="M10" s="87">
        <v>1121172</v>
      </c>
      <c r="N10" s="87">
        <v>2620370</v>
      </c>
      <c r="O10" s="87">
        <v>2571181</v>
      </c>
      <c r="P10" s="87">
        <v>2128116</v>
      </c>
      <c r="Q10" s="87">
        <v>1921297</v>
      </c>
      <c r="R10" s="87">
        <v>1877736</v>
      </c>
      <c r="S10" s="87">
        <v>1800678</v>
      </c>
      <c r="T10" s="87">
        <v>1802722</v>
      </c>
      <c r="U10" s="87">
        <v>1723410</v>
      </c>
      <c r="V10" s="87">
        <v>1138342</v>
      </c>
      <c r="W10" s="87">
        <v>665353</v>
      </c>
      <c r="X10" s="87">
        <v>523047</v>
      </c>
      <c r="Y10" s="87">
        <v>555109</v>
      </c>
      <c r="Z10" s="87">
        <v>351530</v>
      </c>
      <c r="AA10" s="87"/>
      <c r="AB10" s="87">
        <v>172942</v>
      </c>
      <c r="AC10" s="87">
        <v>52295</v>
      </c>
      <c r="AD10" s="87">
        <v>10109</v>
      </c>
      <c r="AE10" s="87">
        <v>928</v>
      </c>
      <c r="AF10" s="88" t="s">
        <v>297</v>
      </c>
      <c r="AG10" s="3" t="s">
        <v>528</v>
      </c>
    </row>
    <row r="11" spans="1:33" ht="15" x14ac:dyDescent="0.3">
      <c r="A11" s="85">
        <v>10</v>
      </c>
      <c r="B11" s="85" t="s">
        <v>306</v>
      </c>
      <c r="C11" s="85" t="s">
        <v>25</v>
      </c>
      <c r="D11" s="85">
        <v>683985</v>
      </c>
      <c r="E11" s="85">
        <v>3123269</v>
      </c>
      <c r="F11" s="85">
        <v>442711.27582587331</v>
      </c>
      <c r="G11" s="85"/>
      <c r="H11" s="85"/>
      <c r="I11" s="85"/>
      <c r="J11" s="85"/>
      <c r="K11" s="87">
        <v>3207573</v>
      </c>
      <c r="L11" s="87">
        <v>3218657</v>
      </c>
      <c r="M11" s="87">
        <v>5642735</v>
      </c>
      <c r="N11" s="87">
        <v>7783471</v>
      </c>
      <c r="O11" s="87">
        <v>5631916</v>
      </c>
      <c r="P11" s="87">
        <v>5529757</v>
      </c>
      <c r="Q11" s="87">
        <v>6405159</v>
      </c>
      <c r="R11" s="87">
        <v>7966614</v>
      </c>
      <c r="S11" s="87">
        <v>6525182</v>
      </c>
      <c r="T11" s="87">
        <v>4938416</v>
      </c>
      <c r="U11" s="87">
        <v>5429570</v>
      </c>
      <c r="V11" s="87">
        <v>4015991</v>
      </c>
      <c r="W11" s="87">
        <v>2878272</v>
      </c>
      <c r="X11" s="87">
        <v>2272319</v>
      </c>
      <c r="Y11" s="87">
        <v>1730639</v>
      </c>
      <c r="Z11" s="87">
        <v>1035707</v>
      </c>
      <c r="AA11" s="87"/>
      <c r="AB11" s="87">
        <v>476649</v>
      </c>
      <c r="AC11" s="87">
        <v>136102</v>
      </c>
      <c r="AD11" s="87">
        <v>26805</v>
      </c>
      <c r="AE11" s="87">
        <v>2153</v>
      </c>
      <c r="AF11" s="88" t="s">
        <v>297</v>
      </c>
      <c r="AG11" s="3" t="s">
        <v>528</v>
      </c>
    </row>
    <row r="12" spans="1:33" ht="15" x14ac:dyDescent="0.3">
      <c r="A12" s="85">
        <v>11</v>
      </c>
      <c r="B12" s="85" t="s">
        <v>307</v>
      </c>
      <c r="C12" s="85" t="s">
        <v>27</v>
      </c>
      <c r="D12" s="85">
        <v>443261</v>
      </c>
      <c r="E12" s="85">
        <v>1990898</v>
      </c>
      <c r="F12">
        <v>363452.3335469492</v>
      </c>
      <c r="G12" s="85"/>
      <c r="H12" s="85"/>
      <c r="I12" s="85"/>
      <c r="J12" s="85"/>
      <c r="K12" s="87">
        <v>2377561</v>
      </c>
      <c r="L12" s="87">
        <v>2377355</v>
      </c>
      <c r="M12" s="87">
        <v>3591687</v>
      </c>
      <c r="N12" s="87">
        <v>4950650</v>
      </c>
      <c r="O12" s="87">
        <v>4466744</v>
      </c>
      <c r="P12" s="87">
        <v>4459956</v>
      </c>
      <c r="Q12" s="87">
        <v>5172500</v>
      </c>
      <c r="R12" s="87">
        <v>5475518</v>
      </c>
      <c r="S12" s="87">
        <v>4726043</v>
      </c>
      <c r="T12" s="87">
        <v>3497645</v>
      </c>
      <c r="U12" s="87">
        <v>3338440</v>
      </c>
      <c r="V12" s="87">
        <v>2476958</v>
      </c>
      <c r="W12" s="87">
        <v>1520657</v>
      </c>
      <c r="X12" s="87">
        <v>1320843</v>
      </c>
      <c r="Y12" s="87">
        <v>1167148</v>
      </c>
      <c r="Z12" s="87">
        <v>679706</v>
      </c>
      <c r="AA12" s="87"/>
      <c r="AB12" s="87">
        <v>300824</v>
      </c>
      <c r="AC12" s="87">
        <v>78008</v>
      </c>
      <c r="AD12" s="87">
        <v>13298</v>
      </c>
      <c r="AE12" s="87">
        <v>1191</v>
      </c>
      <c r="AF12" s="88" t="s">
        <v>297</v>
      </c>
      <c r="AG12" s="3" t="s">
        <v>528</v>
      </c>
    </row>
    <row r="13" spans="1:33" ht="15" x14ac:dyDescent="0.3">
      <c r="A13" s="85">
        <v>12</v>
      </c>
      <c r="B13" s="85" t="s">
        <v>308</v>
      </c>
      <c r="C13" s="85" t="s">
        <v>29</v>
      </c>
      <c r="D13" s="85">
        <v>748259</v>
      </c>
      <c r="E13" s="85">
        <v>2945073</v>
      </c>
      <c r="F13" s="85">
        <v>508336.8843043783</v>
      </c>
      <c r="G13" s="85"/>
      <c r="H13" s="85"/>
      <c r="I13" s="85"/>
      <c r="J13" s="85"/>
      <c r="K13" s="87">
        <v>3325594</v>
      </c>
      <c r="L13" s="87">
        <v>3557210</v>
      </c>
      <c r="M13" s="87">
        <v>4744232</v>
      </c>
      <c r="N13" s="87">
        <v>4912202</v>
      </c>
      <c r="O13" s="87">
        <v>3620338</v>
      </c>
      <c r="P13" s="87">
        <v>4007746</v>
      </c>
      <c r="Q13" s="87">
        <v>5351187</v>
      </c>
      <c r="R13" s="87">
        <v>6229450</v>
      </c>
      <c r="S13" s="87">
        <v>4927826</v>
      </c>
      <c r="T13" s="87">
        <v>2558528</v>
      </c>
      <c r="U13" s="87">
        <v>3641290</v>
      </c>
      <c r="V13" s="87">
        <v>2846985</v>
      </c>
      <c r="W13" s="87">
        <v>2207841</v>
      </c>
      <c r="X13" s="87">
        <v>1607207</v>
      </c>
      <c r="Y13" s="87">
        <v>1194893</v>
      </c>
      <c r="Z13" s="87">
        <v>685491</v>
      </c>
      <c r="AA13" s="87"/>
      <c r="AB13" s="87">
        <v>297290</v>
      </c>
      <c r="AC13" s="87">
        <v>73716</v>
      </c>
      <c r="AD13" s="87">
        <v>16114</v>
      </c>
      <c r="AE13" s="87">
        <v>1996</v>
      </c>
      <c r="AF13" s="88" t="s">
        <v>297</v>
      </c>
      <c r="AG13" s="3" t="s">
        <v>528</v>
      </c>
    </row>
    <row r="14" spans="1:33" ht="15" x14ac:dyDescent="0.3">
      <c r="A14" s="85">
        <v>13</v>
      </c>
      <c r="B14" s="85" t="s">
        <v>309</v>
      </c>
      <c r="C14" s="85" t="s">
        <v>31</v>
      </c>
      <c r="D14" s="85">
        <v>400476</v>
      </c>
      <c r="E14" s="85">
        <v>1726787</v>
      </c>
      <c r="F14" s="85">
        <v>294873.12318553386</v>
      </c>
      <c r="G14" s="85"/>
      <c r="H14" s="85"/>
      <c r="I14" s="85"/>
      <c r="J14" s="85"/>
      <c r="K14" s="87">
        <v>1856796</v>
      </c>
      <c r="L14" s="87">
        <v>1721639</v>
      </c>
      <c r="M14" s="87">
        <v>2816779</v>
      </c>
      <c r="N14" s="87">
        <v>3918540</v>
      </c>
      <c r="O14" s="87">
        <v>3299934</v>
      </c>
      <c r="P14" s="87">
        <v>3048083</v>
      </c>
      <c r="Q14" s="87">
        <v>3604164</v>
      </c>
      <c r="R14" s="87">
        <v>3426578</v>
      </c>
      <c r="S14" s="87">
        <v>2781033</v>
      </c>
      <c r="T14" s="87">
        <v>2126496</v>
      </c>
      <c r="U14" s="87">
        <v>1954524</v>
      </c>
      <c r="V14" s="87">
        <v>1300258</v>
      </c>
      <c r="W14" s="87">
        <v>910859</v>
      </c>
      <c r="X14" s="87">
        <v>795172</v>
      </c>
      <c r="Y14" s="87">
        <v>603599</v>
      </c>
      <c r="Z14" s="87">
        <v>379313</v>
      </c>
      <c r="AA14" s="87"/>
      <c r="AB14" s="87">
        <v>162949</v>
      </c>
      <c r="AC14" s="87">
        <v>48476</v>
      </c>
      <c r="AD14" s="87">
        <v>10704</v>
      </c>
      <c r="AE14" s="87">
        <v>1058</v>
      </c>
      <c r="AF14" s="88" t="s">
        <v>297</v>
      </c>
      <c r="AG14" s="3" t="s">
        <v>528</v>
      </c>
    </row>
    <row r="15" spans="1:33" ht="15" x14ac:dyDescent="0.3">
      <c r="A15" s="85">
        <v>14</v>
      </c>
      <c r="B15" s="85" t="s">
        <v>310</v>
      </c>
      <c r="C15" s="85" t="s">
        <v>33</v>
      </c>
      <c r="D15" s="85">
        <v>578832</v>
      </c>
      <c r="E15" s="85">
        <v>2883942</v>
      </c>
      <c r="F15" s="85">
        <v>490175.7700431486</v>
      </c>
      <c r="G15" s="85"/>
      <c r="H15" s="85"/>
      <c r="I15" s="85"/>
      <c r="J15" s="85"/>
      <c r="K15" s="87">
        <v>3232057</v>
      </c>
      <c r="L15" s="87">
        <v>3067402</v>
      </c>
      <c r="M15" s="87">
        <v>3425991</v>
      </c>
      <c r="N15" s="87">
        <v>4025717</v>
      </c>
      <c r="O15" s="87">
        <v>3032051</v>
      </c>
      <c r="P15" s="87">
        <v>3592953</v>
      </c>
      <c r="Q15" s="87">
        <v>4029729</v>
      </c>
      <c r="R15" s="87">
        <v>3780745</v>
      </c>
      <c r="S15" s="87">
        <v>3049892</v>
      </c>
      <c r="T15" s="87">
        <v>2471918</v>
      </c>
      <c r="U15" s="87">
        <v>2297310</v>
      </c>
      <c r="V15" s="87">
        <v>1710957</v>
      </c>
      <c r="W15" s="87">
        <v>1143769</v>
      </c>
      <c r="X15" s="87">
        <v>990367</v>
      </c>
      <c r="Y15" s="87">
        <v>669606</v>
      </c>
      <c r="Z15" s="87">
        <v>370766</v>
      </c>
      <c r="AA15" s="87"/>
      <c r="AB15" s="87">
        <v>161919</v>
      </c>
      <c r="AC15" s="87">
        <v>41959</v>
      </c>
      <c r="AD15" s="87">
        <v>9316</v>
      </c>
      <c r="AE15" s="87">
        <v>599</v>
      </c>
      <c r="AF15" s="88" t="s">
        <v>297</v>
      </c>
      <c r="AG15" s="3" t="s">
        <v>528</v>
      </c>
    </row>
    <row r="16" spans="1:33" ht="15" x14ac:dyDescent="0.3">
      <c r="A16" s="85">
        <v>15</v>
      </c>
      <c r="B16" s="85" t="s">
        <v>311</v>
      </c>
      <c r="C16" s="85" t="s">
        <v>35</v>
      </c>
      <c r="D16" s="85">
        <v>980428</v>
      </c>
      <c r="E16" s="85">
        <v>4354309</v>
      </c>
      <c r="F16" s="85">
        <v>901978.31727012771</v>
      </c>
      <c r="G16" s="85"/>
      <c r="H16" s="85"/>
      <c r="I16" s="85"/>
      <c r="J16" s="85"/>
      <c r="K16" s="87">
        <v>4967926</v>
      </c>
      <c r="L16" s="87">
        <v>4771546</v>
      </c>
      <c r="M16" s="87">
        <v>5461457</v>
      </c>
      <c r="N16" s="87">
        <v>9485391</v>
      </c>
      <c r="O16" s="87">
        <v>6937780</v>
      </c>
      <c r="P16" s="87">
        <v>6501667</v>
      </c>
      <c r="Q16" s="87">
        <v>7911653</v>
      </c>
      <c r="R16" s="87">
        <v>9326952</v>
      </c>
      <c r="S16" s="87">
        <v>8075051</v>
      </c>
      <c r="T16" s="87">
        <v>6253297</v>
      </c>
      <c r="U16" s="87">
        <v>6634801</v>
      </c>
      <c r="V16" s="87">
        <v>4700775</v>
      </c>
      <c r="W16" s="87">
        <v>3146472</v>
      </c>
      <c r="X16" s="87">
        <v>2496437</v>
      </c>
      <c r="Y16" s="87">
        <v>1965207</v>
      </c>
      <c r="Z16" s="87">
        <v>1158994</v>
      </c>
      <c r="AA16" s="87"/>
      <c r="AB16" s="87">
        <v>488365</v>
      </c>
      <c r="AC16" s="87">
        <v>142128</v>
      </c>
      <c r="AD16" s="87">
        <v>29384</v>
      </c>
      <c r="AE16" s="87">
        <v>2699</v>
      </c>
      <c r="AF16" s="88" t="s">
        <v>297</v>
      </c>
      <c r="AG16" s="3" t="s">
        <v>528</v>
      </c>
    </row>
    <row r="17" spans="1:33" ht="15" x14ac:dyDescent="0.3">
      <c r="A17" s="85">
        <v>16</v>
      </c>
      <c r="B17" s="85" t="s">
        <v>312</v>
      </c>
      <c r="C17" s="85" t="s">
        <v>37</v>
      </c>
      <c r="D17" s="85">
        <v>1043852</v>
      </c>
      <c r="E17" s="85">
        <v>6063217</v>
      </c>
      <c r="F17" s="85">
        <v>1190055.5306746259</v>
      </c>
      <c r="G17" s="85"/>
      <c r="H17" s="85"/>
      <c r="I17" s="85"/>
      <c r="J17" s="85"/>
      <c r="K17" s="87">
        <v>6480010</v>
      </c>
      <c r="L17" s="87">
        <v>6160239</v>
      </c>
      <c r="M17" s="87">
        <v>7418890</v>
      </c>
      <c r="N17" s="87">
        <v>9611242</v>
      </c>
      <c r="O17" s="87">
        <v>6125379</v>
      </c>
      <c r="P17" s="87">
        <v>5997389</v>
      </c>
      <c r="Q17" s="87">
        <v>7374290</v>
      </c>
      <c r="R17" s="87">
        <v>8331878</v>
      </c>
      <c r="S17" s="87">
        <v>6859450</v>
      </c>
      <c r="T17" s="87">
        <v>4915502</v>
      </c>
      <c r="U17" s="87">
        <v>5680391</v>
      </c>
      <c r="V17" s="87">
        <v>4108866</v>
      </c>
      <c r="W17" s="87">
        <v>2803020</v>
      </c>
      <c r="X17" s="87">
        <v>2091708</v>
      </c>
      <c r="Y17" s="87">
        <v>1572918</v>
      </c>
      <c r="Z17" s="87">
        <v>873698</v>
      </c>
      <c r="AA17" s="87"/>
      <c r="AB17" s="87">
        <v>379099</v>
      </c>
      <c r="AC17" s="87">
        <v>109292</v>
      </c>
      <c r="AD17" s="87">
        <v>26668</v>
      </c>
      <c r="AE17" s="87">
        <v>2941</v>
      </c>
      <c r="AF17" s="88" t="s">
        <v>297</v>
      </c>
      <c r="AG17" s="3" t="s">
        <v>528</v>
      </c>
    </row>
    <row r="18" spans="1:33" ht="15" x14ac:dyDescent="0.3">
      <c r="A18" s="85">
        <v>17</v>
      </c>
      <c r="B18" s="85" t="s">
        <v>313</v>
      </c>
      <c r="C18" s="85" t="s">
        <v>39</v>
      </c>
      <c r="D18" s="85">
        <v>590805</v>
      </c>
      <c r="E18" s="85">
        <v>2389245</v>
      </c>
      <c r="F18" s="85">
        <v>388111.52471788856</v>
      </c>
      <c r="G18" s="85"/>
      <c r="H18" s="85"/>
      <c r="I18" s="85"/>
      <c r="J18" s="85"/>
      <c r="K18" s="87">
        <v>2461063</v>
      </c>
      <c r="L18" s="87">
        <v>2522695</v>
      </c>
      <c r="M18" s="87">
        <v>4806737</v>
      </c>
      <c r="N18" s="87">
        <v>5584166</v>
      </c>
      <c r="O18" s="87">
        <v>4019964</v>
      </c>
      <c r="P18" s="87">
        <v>3918104</v>
      </c>
      <c r="Q18" s="87">
        <v>4857877</v>
      </c>
      <c r="R18" s="87">
        <v>5616356</v>
      </c>
      <c r="S18" s="87">
        <v>5108599</v>
      </c>
      <c r="T18" s="87">
        <v>3699126</v>
      </c>
      <c r="U18" s="87">
        <v>3689032</v>
      </c>
      <c r="V18" s="87">
        <v>2772064</v>
      </c>
      <c r="W18" s="87">
        <v>1923354</v>
      </c>
      <c r="X18" s="87">
        <v>1428361</v>
      </c>
      <c r="Y18" s="87">
        <v>1043510</v>
      </c>
      <c r="Z18" s="87">
        <v>516297</v>
      </c>
      <c r="AA18" s="87"/>
      <c r="AB18" s="87">
        <v>222701</v>
      </c>
      <c r="AC18" s="87">
        <v>53062</v>
      </c>
      <c r="AD18" s="87">
        <v>13783</v>
      </c>
      <c r="AE18" s="87">
        <v>826</v>
      </c>
      <c r="AF18" s="88" t="s">
        <v>297</v>
      </c>
      <c r="AG18" s="3" t="s">
        <v>528</v>
      </c>
    </row>
    <row r="19" spans="1:33" s="113" customFormat="1" ht="15" x14ac:dyDescent="0.3">
      <c r="A19" s="114">
        <v>18</v>
      </c>
      <c r="B19" s="114" t="s">
        <v>314</v>
      </c>
      <c r="C19" s="114" t="s">
        <v>41</v>
      </c>
      <c r="D19" s="114">
        <v>795454</v>
      </c>
      <c r="E19" s="114">
        <v>3390387</v>
      </c>
      <c r="F19" s="114">
        <v>702184.32778666215</v>
      </c>
      <c r="G19" s="114"/>
      <c r="H19" s="114"/>
      <c r="I19" s="114"/>
      <c r="J19" s="114"/>
      <c r="K19" s="115">
        <v>3925321</v>
      </c>
      <c r="L19" s="115">
        <v>3465353</v>
      </c>
      <c r="M19" s="115">
        <v>4183927</v>
      </c>
      <c r="N19" s="115">
        <v>6148485</v>
      </c>
      <c r="O19" s="115">
        <v>4739884</v>
      </c>
      <c r="P19" s="115">
        <v>4329801</v>
      </c>
      <c r="Q19" s="115">
        <v>5698032</v>
      </c>
      <c r="R19" s="115">
        <v>6403343</v>
      </c>
      <c r="S19" s="115">
        <v>5350689</v>
      </c>
      <c r="T19" s="115">
        <v>3649926</v>
      </c>
      <c r="U19" s="115">
        <v>4064307</v>
      </c>
      <c r="V19" s="115">
        <v>3136492</v>
      </c>
      <c r="W19" s="115">
        <v>2104528</v>
      </c>
      <c r="X19" s="115">
        <v>1879283</v>
      </c>
      <c r="Y19" s="115">
        <v>1306861</v>
      </c>
      <c r="Z19" s="115">
        <v>730300</v>
      </c>
      <c r="AA19" s="115"/>
      <c r="AB19" s="115">
        <v>300139</v>
      </c>
      <c r="AC19" s="115">
        <v>77844</v>
      </c>
      <c r="AD19" s="115">
        <v>18809</v>
      </c>
      <c r="AE19" s="115">
        <v>1597</v>
      </c>
      <c r="AF19" s="88" t="s">
        <v>297</v>
      </c>
      <c r="AG19" s="3" t="s">
        <v>528</v>
      </c>
    </row>
    <row r="20" spans="1:33" ht="15" x14ac:dyDescent="0.3">
      <c r="A20" s="85">
        <v>19</v>
      </c>
      <c r="B20" s="85" t="s">
        <v>315</v>
      </c>
      <c r="C20" s="85" t="s">
        <v>43</v>
      </c>
      <c r="D20" s="85">
        <v>1081126</v>
      </c>
      <c r="E20" s="85">
        <v>4543610</v>
      </c>
      <c r="F20" s="85">
        <v>933755.51742929232</v>
      </c>
      <c r="G20" s="85"/>
      <c r="H20" s="85"/>
      <c r="I20" s="85"/>
      <c r="J20" s="85"/>
      <c r="K20" s="87">
        <v>5167116</v>
      </c>
      <c r="L20" s="87">
        <v>6812178</v>
      </c>
      <c r="M20" s="87">
        <v>9989559</v>
      </c>
      <c r="N20" s="87">
        <v>12275490</v>
      </c>
      <c r="O20" s="87">
        <v>10621267</v>
      </c>
      <c r="P20" s="87">
        <v>8934834</v>
      </c>
      <c r="Q20" s="87">
        <v>9533299</v>
      </c>
      <c r="R20" s="87">
        <v>8864774</v>
      </c>
      <c r="S20" s="87">
        <v>7046805</v>
      </c>
      <c r="T20" s="87">
        <v>4898765</v>
      </c>
      <c r="U20" s="87">
        <v>4399245</v>
      </c>
      <c r="V20" s="87">
        <v>3066241</v>
      </c>
      <c r="W20" s="87">
        <v>2167799</v>
      </c>
      <c r="X20" s="87">
        <v>1911014</v>
      </c>
      <c r="Y20" s="87">
        <v>1493634</v>
      </c>
      <c r="Z20" s="87">
        <v>903014</v>
      </c>
      <c r="AA20" s="87"/>
      <c r="AB20" s="87">
        <v>421972</v>
      </c>
      <c r="AC20" s="87">
        <v>142326</v>
      </c>
      <c r="AD20" s="87">
        <v>42091</v>
      </c>
      <c r="AE20" s="87">
        <v>4300</v>
      </c>
      <c r="AF20" s="88" t="s">
        <v>297</v>
      </c>
      <c r="AG20" s="3" t="s">
        <v>528</v>
      </c>
    </row>
    <row r="21" spans="1:33" ht="15" x14ac:dyDescent="0.3">
      <c r="A21" s="85">
        <v>20</v>
      </c>
      <c r="B21" s="85" t="s">
        <v>316</v>
      </c>
      <c r="C21" s="85" t="s">
        <v>45</v>
      </c>
      <c r="D21" s="85">
        <v>712891</v>
      </c>
      <c r="E21" s="85">
        <v>2807588</v>
      </c>
      <c r="F21" s="85">
        <v>629581.78550732404</v>
      </c>
      <c r="G21" s="85"/>
      <c r="H21" s="85"/>
      <c r="I21" s="85"/>
      <c r="J21" s="85"/>
      <c r="K21" s="87">
        <v>3318290</v>
      </c>
      <c r="L21" s="87">
        <v>3152052</v>
      </c>
      <c r="M21" s="87">
        <v>3429296</v>
      </c>
      <c r="N21" s="87">
        <v>3853883</v>
      </c>
      <c r="O21" s="87">
        <v>3657034</v>
      </c>
      <c r="P21" s="87">
        <v>3481060</v>
      </c>
      <c r="Q21" s="87">
        <v>3716207</v>
      </c>
      <c r="R21" s="87">
        <v>3793212</v>
      </c>
      <c r="S21" s="87">
        <v>3290568</v>
      </c>
      <c r="T21" s="87">
        <v>2377129</v>
      </c>
      <c r="U21" s="87">
        <v>2398317</v>
      </c>
      <c r="V21" s="87">
        <v>1783313</v>
      </c>
      <c r="W21" s="87">
        <v>1406191</v>
      </c>
      <c r="X21" s="87">
        <v>1171256</v>
      </c>
      <c r="Y21" s="87">
        <v>859470</v>
      </c>
      <c r="Z21" s="87">
        <v>490626</v>
      </c>
      <c r="AA21" s="87"/>
      <c r="AB21" s="87">
        <v>219115</v>
      </c>
      <c r="AC21" s="87">
        <v>79773</v>
      </c>
      <c r="AD21" s="87">
        <v>23513</v>
      </c>
      <c r="AE21" s="87">
        <v>2977</v>
      </c>
      <c r="AF21" s="88" t="s">
        <v>297</v>
      </c>
      <c r="AG21" s="3" t="s">
        <v>528</v>
      </c>
    </row>
    <row r="22" spans="1:33" ht="15" x14ac:dyDescent="0.3">
      <c r="A22" s="85">
        <v>21</v>
      </c>
      <c r="B22" s="85" t="s">
        <v>317</v>
      </c>
      <c r="C22" s="85" t="s">
        <v>47</v>
      </c>
      <c r="D22" s="85">
        <v>120973</v>
      </c>
      <c r="E22" s="85">
        <v>483567</v>
      </c>
      <c r="F22" s="85">
        <v>103886.26392793356</v>
      </c>
      <c r="G22" s="85"/>
      <c r="H22" s="85"/>
      <c r="I22" s="85"/>
      <c r="J22" s="85"/>
      <c r="K22" s="87">
        <v>535731</v>
      </c>
      <c r="L22" s="87">
        <v>575072</v>
      </c>
      <c r="M22" s="87">
        <v>782459</v>
      </c>
      <c r="N22" s="87">
        <v>807157</v>
      </c>
      <c r="O22" s="87">
        <v>773022</v>
      </c>
      <c r="P22" s="87">
        <v>675851</v>
      </c>
      <c r="Q22" s="87">
        <v>703749</v>
      </c>
      <c r="R22" s="87">
        <v>730966</v>
      </c>
      <c r="S22" s="87">
        <v>665487</v>
      </c>
      <c r="T22" s="87">
        <v>440224</v>
      </c>
      <c r="U22" s="87">
        <v>394981</v>
      </c>
      <c r="V22" s="87">
        <v>282564</v>
      </c>
      <c r="W22" s="87">
        <v>193406</v>
      </c>
      <c r="X22" s="87">
        <v>201972</v>
      </c>
      <c r="Y22" s="87">
        <v>151338</v>
      </c>
      <c r="Z22" s="87">
        <v>90666</v>
      </c>
      <c r="AA22" s="87"/>
      <c r="AB22" s="87">
        <v>41722</v>
      </c>
      <c r="AC22" s="87">
        <v>14888</v>
      </c>
      <c r="AD22" s="87">
        <v>4528</v>
      </c>
      <c r="AE22" s="87">
        <v>1162</v>
      </c>
      <c r="AF22" s="88" t="s">
        <v>297</v>
      </c>
      <c r="AG22" s="3" t="s">
        <v>528</v>
      </c>
    </row>
    <row r="23" spans="1:33" ht="15" x14ac:dyDescent="0.3">
      <c r="A23" s="85">
        <v>22</v>
      </c>
      <c r="B23" s="85" t="s">
        <v>318</v>
      </c>
      <c r="C23" s="85" t="s">
        <v>49</v>
      </c>
      <c r="D23" s="85">
        <v>262561</v>
      </c>
      <c r="E23" s="85">
        <v>1304130</v>
      </c>
      <c r="F23" s="85">
        <v>228958.91502661988</v>
      </c>
      <c r="G23" s="85"/>
      <c r="H23" s="85"/>
      <c r="I23" s="85"/>
      <c r="J23" s="85"/>
      <c r="K23" s="87">
        <v>1539908</v>
      </c>
      <c r="L23" s="87">
        <v>1796761</v>
      </c>
      <c r="M23" s="87">
        <v>2245342</v>
      </c>
      <c r="N23" s="87">
        <v>2149066</v>
      </c>
      <c r="O23" s="87">
        <v>1565973</v>
      </c>
      <c r="P23" s="87">
        <v>1456089</v>
      </c>
      <c r="Q23" s="87">
        <v>2852283</v>
      </c>
      <c r="R23" s="87">
        <v>2725931</v>
      </c>
      <c r="S23" s="87">
        <v>2201456</v>
      </c>
      <c r="T23" s="87">
        <v>1533112</v>
      </c>
      <c r="U23" s="87">
        <v>2189164</v>
      </c>
      <c r="V23" s="87">
        <v>1642926</v>
      </c>
      <c r="W23" s="87">
        <v>1267179</v>
      </c>
      <c r="X23" s="87">
        <v>911246</v>
      </c>
      <c r="Y23" s="87">
        <v>629562</v>
      </c>
      <c r="Z23" s="87">
        <v>371516</v>
      </c>
      <c r="AA23" s="87"/>
      <c r="AB23" s="87">
        <v>148017</v>
      </c>
      <c r="AC23" s="87">
        <v>43367</v>
      </c>
      <c r="AD23" s="87">
        <v>9755</v>
      </c>
      <c r="AE23" s="87">
        <v>826</v>
      </c>
      <c r="AF23" s="88" t="s">
        <v>297</v>
      </c>
      <c r="AG23" s="3" t="s">
        <v>528</v>
      </c>
    </row>
    <row r="24" spans="1:33" ht="15" x14ac:dyDescent="0.3">
      <c r="A24" s="85">
        <v>23</v>
      </c>
      <c r="B24" s="85" t="s">
        <v>319</v>
      </c>
      <c r="C24" s="85" t="s">
        <v>51</v>
      </c>
      <c r="D24" s="85">
        <v>740904</v>
      </c>
      <c r="E24" s="85">
        <v>3536151</v>
      </c>
      <c r="F24" s="85">
        <v>638844.34811345523</v>
      </c>
      <c r="G24" s="85"/>
      <c r="H24" s="85"/>
      <c r="I24" s="85"/>
      <c r="J24" s="85"/>
      <c r="K24" s="87">
        <v>4277626</v>
      </c>
      <c r="L24" s="87">
        <v>5092442</v>
      </c>
      <c r="M24" s="87">
        <v>6213182</v>
      </c>
      <c r="N24" s="87">
        <v>6360027</v>
      </c>
      <c r="O24" s="87">
        <v>4514128</v>
      </c>
      <c r="P24" s="87">
        <v>4874122</v>
      </c>
      <c r="Q24" s="87">
        <v>8077512</v>
      </c>
      <c r="R24" s="87">
        <v>7819390</v>
      </c>
      <c r="S24" s="87">
        <v>5934098</v>
      </c>
      <c r="T24" s="87">
        <v>4142765</v>
      </c>
      <c r="U24" s="87">
        <v>5725272</v>
      </c>
      <c r="V24" s="87">
        <v>4304402</v>
      </c>
      <c r="W24" s="87">
        <v>3295231</v>
      </c>
      <c r="X24" s="87">
        <v>2408632</v>
      </c>
      <c r="Y24" s="87">
        <v>1588550</v>
      </c>
      <c r="Z24" s="87">
        <v>962223</v>
      </c>
      <c r="AA24" s="87"/>
      <c r="AB24" s="87">
        <v>399472</v>
      </c>
      <c r="AC24" s="87">
        <v>118758</v>
      </c>
      <c r="AD24" s="87">
        <v>29414</v>
      </c>
      <c r="AE24" s="87">
        <v>3227</v>
      </c>
      <c r="AF24" s="88" t="s">
        <v>297</v>
      </c>
      <c r="AG24" s="3" t="s">
        <v>528</v>
      </c>
    </row>
    <row r="25" spans="1:33" ht="15" x14ac:dyDescent="0.3">
      <c r="A25" s="85">
        <v>24</v>
      </c>
      <c r="B25" s="85" t="s">
        <v>320</v>
      </c>
      <c r="C25" s="85" t="s">
        <v>53</v>
      </c>
      <c r="D25" s="85">
        <v>475282</v>
      </c>
      <c r="E25" s="85">
        <v>1963917</v>
      </c>
      <c r="F25" s="85">
        <v>508141.67641844525</v>
      </c>
      <c r="G25" s="85"/>
      <c r="H25" s="85"/>
      <c r="I25" s="85"/>
      <c r="J25" s="85"/>
      <c r="K25" s="87">
        <v>2745811</v>
      </c>
      <c r="L25" s="87">
        <v>3593232</v>
      </c>
      <c r="M25" s="87">
        <v>2827796</v>
      </c>
      <c r="N25" s="87">
        <v>2426464</v>
      </c>
      <c r="O25" s="87">
        <v>2059781</v>
      </c>
      <c r="P25" s="87">
        <v>2403607</v>
      </c>
      <c r="Q25" s="87">
        <v>3095821</v>
      </c>
      <c r="R25" s="87">
        <v>2971556</v>
      </c>
      <c r="S25" s="87">
        <v>2317950</v>
      </c>
      <c r="T25" s="87">
        <v>1587809</v>
      </c>
      <c r="U25" s="87">
        <v>1818258</v>
      </c>
      <c r="V25" s="87">
        <v>1435091</v>
      </c>
      <c r="W25" s="87">
        <v>1131419</v>
      </c>
      <c r="X25" s="87">
        <v>907116</v>
      </c>
      <c r="Y25" s="87">
        <v>564064</v>
      </c>
      <c r="Z25" s="87">
        <v>289384</v>
      </c>
      <c r="AA25" s="87"/>
      <c r="AB25" s="87">
        <v>98052</v>
      </c>
      <c r="AC25" s="87">
        <v>28165</v>
      </c>
      <c r="AD25" s="87">
        <v>7150</v>
      </c>
      <c r="AE25" s="87">
        <v>831</v>
      </c>
      <c r="AF25" s="88" t="s">
        <v>297</v>
      </c>
      <c r="AG25" s="3" t="s">
        <v>528</v>
      </c>
    </row>
    <row r="26" spans="1:33" s="113" customFormat="1" ht="15" x14ac:dyDescent="0.3">
      <c r="A26" s="114">
        <v>25</v>
      </c>
      <c r="B26" s="114" t="s">
        <v>321</v>
      </c>
      <c r="C26" s="114" t="s">
        <v>350</v>
      </c>
      <c r="D26" s="114">
        <v>556947</v>
      </c>
      <c r="E26" s="114">
        <v>2360943</v>
      </c>
      <c r="F26" s="114">
        <v>537001.17502218799</v>
      </c>
      <c r="G26" s="114"/>
      <c r="H26" s="114"/>
      <c r="I26" s="114"/>
      <c r="J26" s="114"/>
      <c r="K26" s="115">
        <v>3133577</v>
      </c>
      <c r="L26" s="115">
        <v>3475325</v>
      </c>
      <c r="M26" s="115">
        <v>3693141</v>
      </c>
      <c r="N26" s="115">
        <v>4083725</v>
      </c>
      <c r="O26" s="115">
        <v>3572599</v>
      </c>
      <c r="P26" s="115">
        <v>3931583</v>
      </c>
      <c r="Q26" s="115">
        <v>4379894</v>
      </c>
      <c r="R26" s="115">
        <v>4068439</v>
      </c>
      <c r="S26" s="115">
        <v>3345400</v>
      </c>
      <c r="T26" s="115">
        <v>2133490</v>
      </c>
      <c r="U26" s="115">
        <v>2146376</v>
      </c>
      <c r="V26" s="115">
        <v>1579853</v>
      </c>
      <c r="W26" s="115">
        <v>1233417</v>
      </c>
      <c r="X26" s="115">
        <v>1004041</v>
      </c>
      <c r="Y26" s="115">
        <v>694259</v>
      </c>
      <c r="Z26" s="115">
        <v>383530</v>
      </c>
      <c r="AA26" s="115"/>
      <c r="AB26" s="115">
        <v>142391</v>
      </c>
      <c r="AC26" s="115">
        <v>37820</v>
      </c>
      <c r="AD26" s="115">
        <v>9239</v>
      </c>
      <c r="AE26" s="115">
        <v>777</v>
      </c>
      <c r="AF26" s="88" t="s">
        <v>297</v>
      </c>
      <c r="AG26" s="3" t="s">
        <v>528</v>
      </c>
    </row>
    <row r="27" spans="1:33" ht="15" x14ac:dyDescent="0.3">
      <c r="A27" s="85">
        <v>26</v>
      </c>
      <c r="B27" s="85" t="s">
        <v>322</v>
      </c>
      <c r="C27" s="85" t="s">
        <v>56</v>
      </c>
      <c r="D27" s="85">
        <v>45268</v>
      </c>
      <c r="E27" s="85">
        <v>201029</v>
      </c>
      <c r="F27" s="85">
        <v>46942.681002949197</v>
      </c>
      <c r="G27" s="85"/>
      <c r="H27" s="85"/>
      <c r="I27" s="85"/>
      <c r="J27" s="85"/>
      <c r="K27" s="87">
        <v>237982</v>
      </c>
      <c r="L27" s="87">
        <v>247405</v>
      </c>
      <c r="M27" s="87">
        <v>270675</v>
      </c>
      <c r="N27" s="87">
        <v>327630</v>
      </c>
      <c r="O27" s="87">
        <v>310214</v>
      </c>
      <c r="P27" s="87">
        <v>252326</v>
      </c>
      <c r="Q27" s="87">
        <v>248672</v>
      </c>
      <c r="R27" s="87">
        <v>227977</v>
      </c>
      <c r="S27" s="87">
        <v>187860</v>
      </c>
      <c r="T27" s="87">
        <v>120934</v>
      </c>
      <c r="U27" s="87">
        <v>93828</v>
      </c>
      <c r="V27" s="87">
        <v>77457</v>
      </c>
      <c r="W27" s="87">
        <v>60450</v>
      </c>
      <c r="X27" s="87">
        <v>43068</v>
      </c>
      <c r="Y27" s="87">
        <v>26484</v>
      </c>
      <c r="Z27" s="87">
        <v>14981</v>
      </c>
      <c r="AA27" s="87"/>
      <c r="AB27" s="87">
        <v>5827</v>
      </c>
      <c r="AC27" s="87">
        <v>1517</v>
      </c>
      <c r="AD27" s="87">
        <v>543</v>
      </c>
      <c r="AE27" s="87">
        <v>38</v>
      </c>
      <c r="AF27" s="88" t="s">
        <v>297</v>
      </c>
      <c r="AG27" s="3" t="s">
        <v>528</v>
      </c>
    </row>
    <row r="28" spans="1:33" ht="15" x14ac:dyDescent="0.3">
      <c r="A28" s="85">
        <v>27</v>
      </c>
      <c r="B28" s="85" t="s">
        <v>323</v>
      </c>
      <c r="C28" s="85" t="s">
        <v>58</v>
      </c>
      <c r="D28" s="85">
        <v>334718</v>
      </c>
      <c r="E28" s="85">
        <v>1471510</v>
      </c>
      <c r="F28" s="85">
        <v>298690.55830580235</v>
      </c>
      <c r="G28" s="85"/>
      <c r="H28" s="85"/>
      <c r="I28" s="85"/>
      <c r="J28" s="85"/>
      <c r="K28" s="87">
        <v>1669727</v>
      </c>
      <c r="L28" s="87">
        <v>2013440</v>
      </c>
      <c r="M28" s="87">
        <v>3331277</v>
      </c>
      <c r="N28" s="87">
        <v>3941487</v>
      </c>
      <c r="O28" s="87">
        <v>2827013</v>
      </c>
      <c r="P28" s="87">
        <v>2542726</v>
      </c>
      <c r="Q28" s="87">
        <v>3293127</v>
      </c>
      <c r="R28" s="87">
        <v>3390021</v>
      </c>
      <c r="S28" s="87">
        <v>2957295</v>
      </c>
      <c r="T28" s="87">
        <v>2488577</v>
      </c>
      <c r="U28" s="87">
        <v>2269642</v>
      </c>
      <c r="V28" s="87">
        <v>1612982</v>
      </c>
      <c r="W28" s="87">
        <v>1219790</v>
      </c>
      <c r="X28" s="87">
        <v>945882</v>
      </c>
      <c r="Y28" s="87">
        <v>597003</v>
      </c>
      <c r="Z28" s="87">
        <v>272582</v>
      </c>
      <c r="AA28" s="87"/>
      <c r="AB28" s="87">
        <v>113214</v>
      </c>
      <c r="AC28" s="87">
        <v>28260</v>
      </c>
      <c r="AD28" s="87">
        <v>6766</v>
      </c>
      <c r="AE28" s="87">
        <v>340</v>
      </c>
      <c r="AF28" s="88" t="s">
        <v>297</v>
      </c>
      <c r="AG28" s="3" t="s">
        <v>528</v>
      </c>
    </row>
    <row r="29" spans="1:33" ht="15" x14ac:dyDescent="0.3">
      <c r="A29" s="85">
        <v>28</v>
      </c>
      <c r="B29" s="85" t="s">
        <v>324</v>
      </c>
      <c r="C29" s="85" t="s">
        <v>60</v>
      </c>
      <c r="D29" s="85">
        <v>276977</v>
      </c>
      <c r="E29" s="85">
        <v>1112667</v>
      </c>
      <c r="F29" s="85">
        <v>233677.38147462963</v>
      </c>
      <c r="G29" s="85"/>
      <c r="H29" s="85"/>
      <c r="I29" s="85"/>
      <c r="J29" s="85"/>
      <c r="K29" s="87">
        <v>1445587</v>
      </c>
      <c r="L29" s="87">
        <v>1808904</v>
      </c>
      <c r="M29" s="87">
        <v>2435585</v>
      </c>
      <c r="N29" s="87">
        <v>2318564</v>
      </c>
      <c r="O29" s="87">
        <v>1686018</v>
      </c>
      <c r="P29" s="87">
        <v>1599412</v>
      </c>
      <c r="Q29" s="87">
        <v>2384986</v>
      </c>
      <c r="R29" s="87">
        <v>2663227</v>
      </c>
      <c r="S29" s="87">
        <v>2039894</v>
      </c>
      <c r="T29" s="87">
        <v>1263287</v>
      </c>
      <c r="U29" s="87">
        <v>1359297</v>
      </c>
      <c r="V29" s="87">
        <v>1075283</v>
      </c>
      <c r="W29" s="87">
        <v>855738</v>
      </c>
      <c r="X29" s="87">
        <v>648464</v>
      </c>
      <c r="Y29" s="87">
        <v>383537</v>
      </c>
      <c r="Z29" s="87">
        <v>144438</v>
      </c>
      <c r="AA29" s="87"/>
      <c r="AB29" s="87">
        <v>56407</v>
      </c>
      <c r="AC29" s="87">
        <v>13354</v>
      </c>
      <c r="AD29" s="87">
        <v>3444</v>
      </c>
      <c r="AE29" s="87">
        <v>193</v>
      </c>
      <c r="AF29" s="88" t="s">
        <v>297</v>
      </c>
      <c r="AG29" s="3" t="s">
        <v>528</v>
      </c>
    </row>
    <row r="30" spans="1:33" ht="15" x14ac:dyDescent="0.3">
      <c r="A30" s="85">
        <v>29</v>
      </c>
      <c r="B30" s="85" t="s">
        <v>325</v>
      </c>
      <c r="C30" s="85" t="s">
        <v>62</v>
      </c>
      <c r="D30" s="85">
        <v>71664</v>
      </c>
      <c r="E30" s="85">
        <v>297154</v>
      </c>
      <c r="F30" s="85">
        <v>67503.898059964733</v>
      </c>
      <c r="G30" s="85"/>
      <c r="H30" s="85"/>
      <c r="I30" s="85"/>
      <c r="J30" s="85"/>
      <c r="K30" s="87">
        <v>386107</v>
      </c>
      <c r="L30" s="87">
        <v>422181</v>
      </c>
      <c r="M30" s="87">
        <v>489085</v>
      </c>
      <c r="N30" s="87">
        <v>487100</v>
      </c>
      <c r="O30" s="87">
        <v>426919</v>
      </c>
      <c r="P30" s="87">
        <v>489129</v>
      </c>
      <c r="Q30" s="87">
        <v>569020</v>
      </c>
      <c r="R30" s="87">
        <v>559044</v>
      </c>
      <c r="S30" s="87">
        <v>422732</v>
      </c>
      <c r="T30" s="87">
        <v>241896</v>
      </c>
      <c r="U30" s="87">
        <v>232793</v>
      </c>
      <c r="V30" s="87">
        <v>177215</v>
      </c>
      <c r="W30" s="87">
        <v>144094</v>
      </c>
      <c r="X30" s="87">
        <v>109187</v>
      </c>
      <c r="Y30" s="87">
        <v>63887</v>
      </c>
      <c r="Z30" s="87">
        <v>26186</v>
      </c>
      <c r="AA30" s="87"/>
      <c r="AB30" s="87">
        <v>8878</v>
      </c>
      <c r="AC30" s="87">
        <v>1929</v>
      </c>
      <c r="AD30" s="87">
        <v>439</v>
      </c>
      <c r="AE30" s="87">
        <v>84</v>
      </c>
      <c r="AF30" s="88" t="s">
        <v>297</v>
      </c>
      <c r="AG30" s="3" t="s">
        <v>528</v>
      </c>
    </row>
    <row r="31" spans="1:33" ht="15" x14ac:dyDescent="0.3">
      <c r="A31" s="85">
        <v>30</v>
      </c>
      <c r="B31" s="85" t="s">
        <v>326</v>
      </c>
      <c r="C31" s="85" t="s">
        <v>64</v>
      </c>
      <c r="D31" s="85">
        <v>75277</v>
      </c>
      <c r="E31" s="85">
        <v>341751</v>
      </c>
      <c r="F31" s="85">
        <v>84542.397999614725</v>
      </c>
      <c r="G31" s="85"/>
      <c r="H31" s="85"/>
      <c r="I31" s="85"/>
      <c r="J31" s="85"/>
      <c r="K31" s="87">
        <v>440189</v>
      </c>
      <c r="L31" s="87">
        <v>490813</v>
      </c>
      <c r="M31" s="87">
        <v>552137</v>
      </c>
      <c r="N31" s="87">
        <v>551463</v>
      </c>
      <c r="O31" s="87">
        <v>501079</v>
      </c>
      <c r="P31" s="87">
        <v>539244</v>
      </c>
      <c r="Q31" s="87">
        <v>592210</v>
      </c>
      <c r="R31" s="87">
        <v>576333</v>
      </c>
      <c r="S31" s="87">
        <v>445356</v>
      </c>
      <c r="T31" s="87">
        <v>292737</v>
      </c>
      <c r="U31" s="87">
        <v>293466</v>
      </c>
      <c r="V31" s="87">
        <v>206508</v>
      </c>
      <c r="W31" s="87">
        <v>159952</v>
      </c>
      <c r="X31" s="87">
        <v>122752</v>
      </c>
      <c r="Y31" s="87">
        <v>72794</v>
      </c>
      <c r="Z31" s="87">
        <v>31877</v>
      </c>
      <c r="AA31" s="87"/>
      <c r="AB31" s="87">
        <v>11577</v>
      </c>
      <c r="AC31" s="87">
        <v>2968</v>
      </c>
      <c r="AD31" s="87">
        <v>791</v>
      </c>
      <c r="AE31" s="87">
        <v>76</v>
      </c>
      <c r="AF31" s="88" t="s">
        <v>297</v>
      </c>
      <c r="AG31" s="3" t="s">
        <v>528</v>
      </c>
    </row>
    <row r="32" spans="1:33" ht="15" x14ac:dyDescent="0.3">
      <c r="A32" s="85">
        <v>31</v>
      </c>
      <c r="B32" s="85" t="s">
        <v>327</v>
      </c>
      <c r="C32" s="85" t="s">
        <v>66</v>
      </c>
      <c r="D32" s="85">
        <v>320400</v>
      </c>
      <c r="E32" s="85">
        <v>1243815</v>
      </c>
      <c r="F32" s="85">
        <v>242036.60561707037</v>
      </c>
      <c r="G32" s="85"/>
      <c r="H32" s="85"/>
      <c r="I32" s="85"/>
      <c r="J32" s="85"/>
      <c r="K32" s="87">
        <v>1391142</v>
      </c>
      <c r="L32" s="87">
        <v>1506445</v>
      </c>
      <c r="M32" s="87">
        <v>1752486</v>
      </c>
      <c r="N32" s="87">
        <v>2117568</v>
      </c>
      <c r="O32" s="87">
        <v>1823530</v>
      </c>
      <c r="P32" s="87">
        <v>1794325</v>
      </c>
      <c r="Q32" s="87">
        <v>2204159</v>
      </c>
      <c r="R32" s="87">
        <v>2142691</v>
      </c>
      <c r="S32" s="87">
        <v>1539869</v>
      </c>
      <c r="T32" s="87">
        <v>1025197</v>
      </c>
      <c r="U32" s="87">
        <v>846571</v>
      </c>
      <c r="V32" s="87">
        <v>693538</v>
      </c>
      <c r="W32" s="87">
        <v>561795</v>
      </c>
      <c r="X32" s="87">
        <v>444331</v>
      </c>
      <c r="Y32" s="87">
        <v>230768</v>
      </c>
      <c r="Z32" s="87">
        <v>112835</v>
      </c>
      <c r="AA32" s="87"/>
      <c r="AB32" s="87">
        <v>44509</v>
      </c>
      <c r="AC32" s="87">
        <v>14638</v>
      </c>
      <c r="AD32" s="87">
        <v>4460</v>
      </c>
      <c r="AE32" s="87">
        <v>743</v>
      </c>
      <c r="AF32" s="88" t="s">
        <v>297</v>
      </c>
      <c r="AG32" s="3" t="s">
        <v>528</v>
      </c>
    </row>
  </sheetData>
  <phoneticPr fontId="24" type="noConversion"/>
  <pageMargins left="0.7" right="0.7" top="0.75" bottom="0.75" header="0.3" footer="0.3"/>
  <pageSetup paperSize="9" orientation="portrait" horizontalDpi="300" verticalDpi="30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J32"/>
  <sheetViews>
    <sheetView zoomScale="90" zoomScaleNormal="90" workbookViewId="0">
      <pane xSplit="2" ySplit="1" topLeftCell="R2" activePane="bottomRight" state="frozen"/>
      <selection pane="topRight" activeCell="C1" sqref="C1"/>
      <selection pane="bottomLeft" activeCell="A2" sqref="A2"/>
      <selection pane="bottomRight" activeCell="Z4" sqref="Z4"/>
    </sheetView>
  </sheetViews>
  <sheetFormatPr defaultColWidth="8.58203125" defaultRowHeight="15.5" x14ac:dyDescent="0.3"/>
  <cols>
    <col min="1" max="1" width="3.83203125" style="117" customWidth="1"/>
    <col min="2" max="2" width="12.33203125" style="117" customWidth="1"/>
    <col min="3" max="3" width="13.83203125" style="117" customWidth="1"/>
    <col min="4" max="4" width="10.58203125" style="124" customWidth="1"/>
    <col min="5" max="5" width="11.25" style="124" bestFit="1" customWidth="1"/>
    <col min="6" max="6" width="11.08203125" style="124" customWidth="1"/>
    <col min="7" max="9" width="12.5" style="124" bestFit="1" customWidth="1"/>
    <col min="10" max="25" width="11.33203125" style="124" bestFit="1" customWidth="1"/>
    <col min="26" max="26" width="11.08203125" style="124" bestFit="1" customWidth="1"/>
    <col min="27" max="27" width="11.33203125" style="124" bestFit="1" customWidth="1"/>
    <col min="28" max="28" width="9.58203125" style="124" bestFit="1" customWidth="1"/>
    <col min="29" max="29" width="10.08203125" style="124" bestFit="1" customWidth="1"/>
    <col min="30" max="30" width="9.58203125" style="124" bestFit="1" customWidth="1"/>
    <col min="31" max="32" width="10.08203125" style="124" bestFit="1" customWidth="1"/>
    <col min="33" max="33" width="8.25" style="124" bestFit="1" customWidth="1"/>
    <col min="34" max="34" width="11.25" style="124" bestFit="1" customWidth="1"/>
    <col min="35" max="35" width="33.58203125" style="117" customWidth="1"/>
    <col min="36" max="36" width="18.5" style="117" customWidth="1"/>
    <col min="37" max="16384" width="8.58203125" style="117"/>
  </cols>
  <sheetData>
    <row r="1" spans="1:36" x14ac:dyDescent="0.3">
      <c r="A1" s="105" t="s">
        <v>0</v>
      </c>
      <c r="B1" s="105" t="s">
        <v>1</v>
      </c>
      <c r="C1" s="105" t="s">
        <v>2</v>
      </c>
      <c r="D1" s="105" t="s">
        <v>262</v>
      </c>
      <c r="E1" s="105" t="s">
        <v>263</v>
      </c>
      <c r="F1" s="105" t="s">
        <v>264</v>
      </c>
      <c r="G1" s="105" t="s">
        <v>265</v>
      </c>
      <c r="H1" s="116" t="s">
        <v>727</v>
      </c>
      <c r="I1" s="105" t="s">
        <v>267</v>
      </c>
      <c r="J1" s="105" t="s">
        <v>268</v>
      </c>
      <c r="K1" s="105" t="s">
        <v>269</v>
      </c>
      <c r="L1" s="105" t="s">
        <v>270</v>
      </c>
      <c r="M1" s="105" t="s">
        <v>271</v>
      </c>
      <c r="N1" s="105" t="s">
        <v>272</v>
      </c>
      <c r="O1" s="105" t="s">
        <v>273</v>
      </c>
      <c r="P1" s="105" t="s">
        <v>274</v>
      </c>
      <c r="Q1" s="105" t="s">
        <v>275</v>
      </c>
      <c r="R1" s="105" t="s">
        <v>276</v>
      </c>
      <c r="S1" s="105" t="s">
        <v>277</v>
      </c>
      <c r="T1" s="105" t="s">
        <v>278</v>
      </c>
      <c r="U1" s="105" t="s">
        <v>279</v>
      </c>
      <c r="V1" s="105" t="s">
        <v>280</v>
      </c>
      <c r="W1" s="105" t="s">
        <v>281</v>
      </c>
      <c r="X1" s="105" t="s">
        <v>282</v>
      </c>
      <c r="Y1" s="105" t="s">
        <v>283</v>
      </c>
      <c r="Z1" s="116" t="s">
        <v>607</v>
      </c>
      <c r="AA1" s="105" t="s">
        <v>284</v>
      </c>
      <c r="AB1" s="116" t="s">
        <v>285</v>
      </c>
      <c r="AC1" s="105" t="s">
        <v>286</v>
      </c>
      <c r="AD1" s="116" t="s">
        <v>328</v>
      </c>
      <c r="AE1" s="105" t="s">
        <v>287</v>
      </c>
      <c r="AF1" s="105" t="s">
        <v>288</v>
      </c>
      <c r="AG1" s="105" t="s">
        <v>289</v>
      </c>
      <c r="AH1" s="105" t="s">
        <v>619</v>
      </c>
      <c r="AI1" s="83" t="s">
        <v>4</v>
      </c>
      <c r="AJ1" s="125" t="s">
        <v>67</v>
      </c>
    </row>
    <row r="2" spans="1:36" s="118" customFormat="1" ht="15" x14ac:dyDescent="0.3">
      <c r="A2" s="118">
        <v>1</v>
      </c>
      <c r="B2" s="118" t="s">
        <v>329</v>
      </c>
      <c r="C2" s="118" t="s">
        <v>6</v>
      </c>
      <c r="F2" s="118">
        <f>VLOOKUP(B2,'age5-9'!A:H,8)*K2</f>
        <v>128361.33368116374</v>
      </c>
      <c r="J2" s="118">
        <v>875000</v>
      </c>
      <c r="K2" s="118">
        <v>813000</v>
      </c>
      <c r="L2" s="118">
        <v>579000</v>
      </c>
      <c r="M2" s="118">
        <v>441000</v>
      </c>
      <c r="N2" s="118">
        <v>1373000</v>
      </c>
      <c r="O2" s="118">
        <v>2432000</v>
      </c>
      <c r="P2" s="118">
        <v>2376000</v>
      </c>
      <c r="Q2" s="118">
        <v>2124000</v>
      </c>
      <c r="R2" s="118">
        <v>1651000</v>
      </c>
      <c r="S2" s="118">
        <v>1830000</v>
      </c>
      <c r="T2" s="118">
        <v>1828000</v>
      </c>
      <c r="U2" s="118">
        <v>1501000</v>
      </c>
      <c r="V2" s="118">
        <v>1253000</v>
      </c>
      <c r="W2" s="118">
        <v>847000</v>
      </c>
      <c r="X2" s="118">
        <v>587000</v>
      </c>
      <c r="Y2" s="118">
        <v>422000</v>
      </c>
      <c r="Z2" s="118">
        <f t="shared" ref="Z2:Z29" si="0">SUM(AA2:AG2)</f>
        <v>604000</v>
      </c>
      <c r="AA2" s="118">
        <v>340000</v>
      </c>
      <c r="AB2" s="118">
        <v>264000</v>
      </c>
      <c r="AH2" s="118">
        <f>M2*'population by age (1 year)'!C$2</f>
        <v>179806.52503793626</v>
      </c>
      <c r="AI2" s="118" t="s">
        <v>643</v>
      </c>
      <c r="AJ2" s="134" t="s">
        <v>642</v>
      </c>
    </row>
    <row r="3" spans="1:36" x14ac:dyDescent="0.3">
      <c r="A3" s="118">
        <v>2</v>
      </c>
      <c r="B3" s="127" t="s">
        <v>8</v>
      </c>
      <c r="C3" s="118" t="s">
        <v>9</v>
      </c>
      <c r="D3" s="120">
        <f>'age profile_2010'!D3/('age profile_2010'!D3+'age profile_2010'!E3+'age profile_2010'!K3+'age profile_2010'!L3)*G3</f>
        <v>120655.94333085089</v>
      </c>
      <c r="E3" s="120">
        <f>'age profile_2010'!E3/('age profile_2010'!D3+'age profile_2010'!E3+'age profile_2010'!K3+'age profile_2010'!L3)*G3</f>
        <v>558576.99250217748</v>
      </c>
      <c r="F3" s="118">
        <f>VLOOKUP(B3,'age5-9'!A:H,8)*K3</f>
        <v>110958.3817109396</v>
      </c>
      <c r="G3" s="118">
        <v>1868056</v>
      </c>
      <c r="H3" s="118">
        <v>8995265</v>
      </c>
      <c r="I3" s="118">
        <v>2045692</v>
      </c>
      <c r="J3" s="120"/>
      <c r="K3" s="120">
        <f>'age profile_2010'!K3/('age profile_2010'!D3+'age profile_2010'!E3+'age profile_2010'!K3+'age profile_2010'!L3)*G3</f>
        <v>586247.7915883013</v>
      </c>
      <c r="L3" s="120">
        <f>'age profile_2010'!L3/('age profile_2010'!D3+'age profile_2010'!E3+'age profile_2010'!K3+'age profile_2010'!L3)*G3</f>
        <v>602575.27257867041</v>
      </c>
      <c r="M3" s="120">
        <f>'age profile_2010'!M3/SUM('age profile_2010'!$M3:$U3)*'age profile_2019'!$H3</f>
        <v>722183.64766623545</v>
      </c>
      <c r="N3" s="120">
        <f>'age profile_2010'!N3/SUM('age profile_2010'!$M3:$U3)*'age profile_2019'!$H3</f>
        <v>1512753.8784722083</v>
      </c>
      <c r="O3" s="120">
        <f>'age profile_2010'!O3/SUM('age profile_2010'!$M3:$U3)*'age profile_2019'!$H3</f>
        <v>1208546.0869148567</v>
      </c>
      <c r="P3" s="120">
        <f>'age profile_2010'!P3/SUM('age profile_2010'!$M3:$U3)*'age profile_2019'!$H3</f>
        <v>932882.09600968915</v>
      </c>
      <c r="Q3" s="120">
        <f>'age profile_2010'!Q3/SUM('age profile_2010'!$M3:$U3)*'age profile_2019'!$H3</f>
        <v>941785.98914127552</v>
      </c>
      <c r="R3" s="120">
        <f>'age profile_2010'!R3/SUM('age profile_2010'!$M3:$U3)*'age profile_2019'!$H3</f>
        <v>961996.07009154407</v>
      </c>
      <c r="S3" s="120">
        <f>'age profile_2010'!S3/SUM('age profile_2010'!$M3:$U3)*'age profile_2019'!$H3</f>
        <v>988219.54411682242</v>
      </c>
      <c r="T3" s="120">
        <f>'age profile_2010'!T3/SUM('age profile_2010'!$M3:$U3)*'age profile_2019'!$H3</f>
        <v>899536.40822705592</v>
      </c>
      <c r="U3" s="120">
        <f>'age profile_2010'!U3/SUM('age profile_2010'!$M3:$U3)*'age profile_2019'!$H3</f>
        <v>827361.27936031262</v>
      </c>
      <c r="V3" s="120">
        <f>3002688-2045692</f>
        <v>956996</v>
      </c>
      <c r="W3" s="120">
        <f>'age profile_2010'!W3/('age profile_2010'!W3+'age profile_2010'!X3+'age profile_2010'!Y3+'age profile_2010'!Z3+'age profile_2010'!AB3+'age profile_2010'!AC3+'age profile_2010'!AD3+'age profile_2010'!AE3)*'age profile_2019'!I3</f>
        <v>688236.99393317045</v>
      </c>
      <c r="X3" s="120">
        <f>'age profile_2010'!X3/('age profile_2010'!W3+'age profile_2010'!X3+'age profile_2010'!Y3+'age profile_2010'!Z3+'age profile_2010'!AB3+'age profile_2010'!AC3+'age profile_2010'!AD3+'age profile_2010'!AE3)*'age profile_2019'!I3</f>
        <v>548572.08738846937</v>
      </c>
      <c r="Y3" s="120">
        <f>'age profile_2010'!Y3/('age profile_2010'!W3+'age profile_2010'!X3+'age profile_2010'!Y3+'age profile_2010'!Z3+'age profile_2010'!AB3+'age profile_2010'!AC3+'age profile_2010'!AD3+'age profile_2010'!AE3)*'age profile_2019'!I3</f>
        <v>430093.61027151963</v>
      </c>
      <c r="Z3" s="118">
        <f t="shared" si="0"/>
        <v>378789.30840684043</v>
      </c>
      <c r="AA3" s="120">
        <f>'age profile_2010'!Z3/('age profile_2010'!W3+'age profile_2010'!X3+'age profile_2010'!Y3+'age profile_2010'!Z3+'age profile_2010'!AB3+'age profile_2010'!AC3+'age profile_2010'!AD3+'age profile_2010'!AE3)*'age profile_2019'!I3</f>
        <v>249226.78618417474</v>
      </c>
      <c r="AB3" s="120"/>
      <c r="AC3" s="120">
        <f>'age profile_2010'!AB3/('age profile_2010'!W3+'age profile_2010'!X3+'age profile_2010'!Y3+'age profile_2010'!Z3+'age profile_2010'!AB3+'age profile_2010'!AC3+'age profile_2010'!AD3+'age profile_2010'!AE3)*'age profile_2019'!I3</f>
        <v>97965.663690098227</v>
      </c>
      <c r="AD3" s="120"/>
      <c r="AE3" s="120">
        <f>'age profile_2010'!AC3/('age profile_2010'!W3+'age profile_2010'!X3+'age profile_2010'!Y3+'age profile_2010'!Z3+'age profile_2010'!AB3+'age profile_2010'!AC3+'age profile_2010'!AD3+'age profile_2010'!AE3)*'age profile_2019'!I3</f>
        <v>25179.877455124693</v>
      </c>
      <c r="AF3" s="120">
        <f>'age profile_2010'!AD3/('age profile_2010'!W3+'age profile_2010'!X3+'age profile_2010'!Y3+'age profile_2010'!Z3+'age profile_2010'!AB3+'age profile_2010'!AC3+'age profile_2010'!AD3+'age profile_2010'!AE3)*'age profile_2019'!I3</f>
        <v>6016.1517215354297</v>
      </c>
      <c r="AG3" s="120">
        <f>'age profile_2010'!AE3/('age profile_2010'!W3+'age profile_2010'!X3+'age profile_2010'!Y3+'age profile_2010'!Z3+'age profile_2010'!AB3+'age profile_2010'!AC3+'age profile_2010'!AD3+'age profile_2010'!AE3)*'age profile_2019'!I3</f>
        <v>400.82935590735747</v>
      </c>
      <c r="AH3" s="118">
        <f>M3*'population by age (1 year)'!C$2</f>
        <v>294452.00028591178</v>
      </c>
      <c r="AI3" s="118" t="s">
        <v>725</v>
      </c>
      <c r="AJ3" s="54" t="s">
        <v>724</v>
      </c>
    </row>
    <row r="4" spans="1:36" x14ac:dyDescent="0.3">
      <c r="A4" s="118">
        <v>3</v>
      </c>
      <c r="B4" s="128" t="s">
        <v>330</v>
      </c>
      <c r="C4" s="118" t="s">
        <v>11</v>
      </c>
      <c r="D4" s="120">
        <f>'age profile_2010'!D4/('age profile_2010'!D4+'age profile_2010'!E4+'age profile_2010'!K4+'age profile_2010'!L4)*G4</f>
        <v>1098253.3173047169</v>
      </c>
      <c r="E4" s="120">
        <f>'age profile_2010'!E4/('age profile_2010'!D4+'age profile_2010'!E4+'age profile_2010'!K4+'age profile_2010'!L4)*G4</f>
        <v>4863306.4629298272</v>
      </c>
      <c r="F4" s="118">
        <f>VLOOKUP(B4,'age5-9'!A:H,8)*K4</f>
        <v>1058385.1552307177</v>
      </c>
      <c r="G4" s="118">
        <v>15088968</v>
      </c>
      <c r="H4" s="118">
        <v>44709219</v>
      </c>
      <c r="I4" s="118">
        <v>10387937</v>
      </c>
      <c r="J4" s="118"/>
      <c r="K4" s="120">
        <f>'age profile_2010'!K4/('age profile_2010'!D4+'age profile_2010'!E4+'age profile_2010'!K4+'age profile_2010'!L4)*G4</f>
        <v>5042455.7334830174</v>
      </c>
      <c r="L4" s="120">
        <f>'age profile_2010'!L4/('age profile_2010'!D4+'age profile_2010'!E4+'age profile_2010'!K4+'age profile_2010'!L4)*G4</f>
        <v>4084952.486282438</v>
      </c>
      <c r="M4" s="120">
        <f>'age profile_2010'!M4/SUM('age profile_2010'!$M4:$U4)*'age profile_2019'!$H4</f>
        <v>4699835.4079781501</v>
      </c>
      <c r="N4" s="120">
        <f>'age profile_2010'!N4/SUM('age profile_2010'!$M4:$U4)*'age profile_2019'!$H4</f>
        <v>6732748.8262758227</v>
      </c>
      <c r="O4" s="120">
        <f>'age profile_2010'!O4/SUM('age profile_2010'!$M4:$U4)*'age profile_2019'!$H4</f>
        <v>5252034.6196480934</v>
      </c>
      <c r="P4" s="120">
        <f>'age profile_2010'!P4/SUM('age profile_2010'!$M4:$U4)*'age profile_2019'!$H4</f>
        <v>4271092.8932233872</v>
      </c>
      <c r="Q4" s="120">
        <f>'age profile_2010'!Q4/SUM('age profile_2010'!$M4:$U4)*'age profile_2019'!$H4</f>
        <v>4643750.8119717827</v>
      </c>
      <c r="R4" s="120">
        <f>'age profile_2010'!R4/SUM('age profile_2010'!$M4:$U4)*'age profile_2019'!$H4</f>
        <v>5589987.6064012777</v>
      </c>
      <c r="S4" s="120">
        <f>'age profile_2010'!S4/SUM('age profile_2010'!$M4:$U4)*'age profile_2019'!$H4</f>
        <v>5005369.5172288949</v>
      </c>
      <c r="T4" s="120">
        <f>'age profile_2010'!T4/SUM('age profile_2010'!$M4:$U4)*'age profile_2019'!$H4</f>
        <v>4251748.3320287233</v>
      </c>
      <c r="U4" s="120">
        <f>'age profile_2010'!U4/SUM('age profile_2010'!$M4:$U4)*'age profile_2019'!$H4</f>
        <v>4262650.9852438681</v>
      </c>
      <c r="V4" s="120">
        <f>14812048-10387937</f>
        <v>4424111</v>
      </c>
      <c r="W4" s="120">
        <f>'age profile_2010'!W4/('age profile_2010'!W4+'age profile_2010'!X4+'age profile_2010'!Y4+'age profile_2010'!Z4+'age profile_2010'!AB4+'age profile_2010'!AC4+'age profile_2010'!AD4+'age profile_2010'!AE4)*'age profile_2019'!I4</f>
        <v>3666252.9787086858</v>
      </c>
      <c r="X4" s="120">
        <f>'age profile_2010'!X4/('age profile_2010'!W4+'age profile_2010'!X4+'age profile_2010'!Y4+'age profile_2010'!Z4+'age profile_2010'!AB4+'age profile_2010'!AC4+'age profile_2010'!AD4+'age profile_2010'!AE4)*'age profile_2019'!I4</f>
        <v>2892929.844396492</v>
      </c>
      <c r="Y4" s="120">
        <f>'age profile_2010'!Y4/('age profile_2010'!W4+'age profile_2010'!X4+'age profile_2010'!Y4+'age profile_2010'!Z4+'age profile_2010'!AB4+'age profile_2010'!AC4+'age profile_2010'!AD4+'age profile_2010'!AE4)*'age profile_2019'!I4</f>
        <v>2098975.5647010054</v>
      </c>
      <c r="Z4" s="118">
        <f t="shared" si="0"/>
        <v>1729778.6121938166</v>
      </c>
      <c r="AA4" s="120">
        <f>'age profile_2010'!Z4/('age profile_2010'!W4+'age profile_2010'!X4+'age profile_2010'!Y4+'age profile_2010'!Z4+'age profile_2010'!AB4+'age profile_2010'!AC4+'age profile_2010'!AD4+'age profile_2010'!AE4)*'age profile_2019'!I4</f>
        <v>1152431.1788602807</v>
      </c>
      <c r="AB4" s="120"/>
      <c r="AC4" s="120">
        <f>'age profile_2010'!AB4/('age profile_2010'!W4+'age profile_2010'!X4+'age profile_2010'!Y4+'age profile_2010'!Z4+'age profile_2010'!AB4+'age profile_2010'!AC4+'age profile_2010'!AD4+'age profile_2010'!AE4)*'age profile_2019'!I4</f>
        <v>446013.18021439464</v>
      </c>
      <c r="AD4" s="120"/>
      <c r="AE4" s="120">
        <f>'age profile_2010'!AC4/('age profile_2010'!W4+'age profile_2010'!X4+'age profile_2010'!Y4+'age profile_2010'!Z4+'age profile_2010'!AB4+'age profile_2010'!AC4+'age profile_2010'!AD4+'age profile_2010'!AE4)*'age profile_2019'!I4</f>
        <v>108221.82513212577</v>
      </c>
      <c r="AF4" s="120">
        <f>'age profile_2010'!AD4/('age profile_2010'!W4+'age profile_2010'!X4+'age profile_2010'!Y4+'age profile_2010'!Z4+'age profile_2010'!AB4+'age profile_2010'!AC4+'age profile_2010'!AD4+'age profile_2010'!AE4)*'age profile_2019'!I4</f>
        <v>21462.91904253195</v>
      </c>
      <c r="AG4" s="120">
        <f>'age profile_2010'!AE4/('age profile_2010'!W4+'age profile_2010'!X4+'age profile_2010'!Y4+'age profile_2010'!Z4+'age profile_2010'!AB4+'age profile_2010'!AC4+'age profile_2010'!AD4+'age profile_2010'!AE4)*'age profile_2019'!I4</f>
        <v>1649.5089444836915</v>
      </c>
      <c r="AH4" s="118">
        <f>M4*'population by age (1 year)'!C$2</f>
        <v>1916238.260677557</v>
      </c>
      <c r="AI4" s="118" t="s">
        <v>726</v>
      </c>
      <c r="AJ4" s="118" t="s">
        <v>722</v>
      </c>
    </row>
    <row r="5" spans="1:36" s="119" customFormat="1" x14ac:dyDescent="0.3">
      <c r="A5" s="118">
        <v>4</v>
      </c>
      <c r="B5" s="128" t="s">
        <v>331</v>
      </c>
      <c r="C5" s="118" t="s">
        <v>13</v>
      </c>
      <c r="D5" s="120">
        <f>'age profile_2010'!D5/('age profile_2010'!D5+'age profile_2010'!E5+'age profile_2010'!K5+'age profile_2010'!L5)*G5</f>
        <v>323349.7771525656</v>
      </c>
      <c r="E5" s="120">
        <f>'age profile_2010'!E5/('age profile_2010'!D5+'age profile_2010'!E5+'age profile_2010'!K5+'age profile_2010'!L5)*G5</f>
        <v>1381208.3856241123</v>
      </c>
      <c r="F5" s="118">
        <f>VLOOKUP(B5,'age5-9'!A:H,8)*K5</f>
        <v>308392.03222264245</v>
      </c>
      <c r="G5" s="118">
        <v>5709895</v>
      </c>
      <c r="H5" s="118">
        <v>22598696</v>
      </c>
      <c r="I5" s="118">
        <v>4504674</v>
      </c>
      <c r="J5" s="118"/>
      <c r="K5" s="120">
        <f>'age profile_2010'!K5/('age profile_2010'!D5+'age profile_2010'!E5+'age profile_2010'!K5+'age profile_2010'!L5)*G5</f>
        <v>1745461.5140281322</v>
      </c>
      <c r="L5" s="120">
        <f>'age profile_2010'!L5/('age profile_2010'!D5+'age profile_2010'!E5+'age profile_2010'!K5+'age profile_2010'!L5)*G5</f>
        <v>2259875.3231951897</v>
      </c>
      <c r="M5" s="120">
        <f>'age profile_2010'!M5/SUM('age profile_2010'!$M5:$U5)*'age profile_2019'!$H5</f>
        <v>2988716.3193095606</v>
      </c>
      <c r="N5" s="120">
        <f>'age profile_2010'!N5/SUM('age profile_2010'!$M5:$U5)*'age profile_2019'!$H5</f>
        <v>2830031.3343180483</v>
      </c>
      <c r="O5" s="120">
        <f>'age profile_2010'!O5/SUM('age profile_2010'!$M5:$U5)*'age profile_2019'!$H5</f>
        <v>2404804.3393077999</v>
      </c>
      <c r="P5" s="120">
        <f>'age profile_2010'!P5/SUM('age profile_2010'!$M5:$U5)*'age profile_2019'!$H5</f>
        <v>2214252.909027393</v>
      </c>
      <c r="Q5" s="120">
        <f>'age profile_2010'!Q5/SUM('age profile_2010'!$M5:$U5)*'age profile_2019'!$H5</f>
        <v>2916170.3053859654</v>
      </c>
      <c r="R5" s="120">
        <f>'age profile_2010'!R5/SUM('age profile_2010'!$M5:$U5)*'age profile_2019'!$H5</f>
        <v>2840902.330831422</v>
      </c>
      <c r="S5" s="120">
        <f>'age profile_2010'!S5/SUM('age profile_2010'!$M5:$U5)*'age profile_2019'!$H5</f>
        <v>2525357.049766473</v>
      </c>
      <c r="T5" s="120">
        <f>'age profile_2010'!T5/SUM('age profile_2010'!$M5:$U5)*'age profile_2019'!$H5</f>
        <v>2061969.4079953097</v>
      </c>
      <c r="U5" s="120">
        <f>'age profile_2010'!U5/SUM('age profile_2010'!$M5:$U5)*'age profile_2019'!$H5</f>
        <v>1816492.0040580276</v>
      </c>
      <c r="V5" s="120">
        <f>6607025-4504674</f>
        <v>2102351</v>
      </c>
      <c r="W5" s="120">
        <f>'age profile_2010'!W5/('age profile_2010'!W5+'age profile_2010'!X5+'age profile_2010'!Y5+'age profile_2010'!Z5+'age profile_2010'!AB5+'age profile_2010'!AC5+'age profile_2010'!AD5+'age profile_2010'!AE5)*'age profile_2019'!I5</f>
        <v>1561055.6328307199</v>
      </c>
      <c r="X5" s="120">
        <f>'age profile_2010'!X5/('age profile_2010'!W5+'age profile_2010'!X5+'age profile_2010'!Y5+'age profile_2010'!Z5+'age profile_2010'!AB5+'age profile_2010'!AC5+'age profile_2010'!AD5+'age profile_2010'!AE5)*'age profile_2019'!I5</f>
        <v>1304778.375590655</v>
      </c>
      <c r="Y5" s="120">
        <f>'age profile_2010'!Y5/('age profile_2010'!W5+'age profile_2010'!X5+'age profile_2010'!Y5+'age profile_2010'!Z5+'age profile_2010'!AB5+'age profile_2010'!AC5+'age profile_2010'!AD5+'age profile_2010'!AE5)*'age profile_2019'!I5</f>
        <v>952098.66795452859</v>
      </c>
      <c r="Z5" s="118">
        <f t="shared" si="0"/>
        <v>686741.32362409669</v>
      </c>
      <c r="AA5" s="120">
        <f>'age profile_2010'!Z5/('age profile_2010'!W5+'age profile_2010'!X5+'age profile_2010'!Y5+'age profile_2010'!Z5+'age profile_2010'!AB5+'age profile_2010'!AC5+'age profile_2010'!AD5+'age profile_2010'!AE5)*'age profile_2019'!I5</f>
        <v>468021.62448475359</v>
      </c>
      <c r="AB5" s="120"/>
      <c r="AC5" s="120">
        <f>'age profile_2010'!AB5/('age profile_2010'!W5+'age profile_2010'!X5+'age profile_2010'!Y5+'age profile_2010'!Z5+'age profile_2010'!AB5+'age profile_2010'!AC5+'age profile_2010'!AD5+'age profile_2010'!AE5)*'age profile_2019'!I5</f>
        <v>172798.07035185909</v>
      </c>
      <c r="AD5" s="120"/>
      <c r="AE5" s="120">
        <f>'age profile_2010'!AC5/('age profile_2010'!W5+'age profile_2010'!X5+'age profile_2010'!Y5+'age profile_2010'!Z5+'age profile_2010'!AB5+'age profile_2010'!AC5+'age profile_2010'!AD5+'age profile_2010'!AE5)*'age profile_2019'!I5</f>
        <v>38268.579041045603</v>
      </c>
      <c r="AF5" s="120">
        <f>'age profile_2010'!AD5/('age profile_2010'!W5+'age profile_2010'!X5+'age profile_2010'!Y5+'age profile_2010'!Z5+'age profile_2010'!AB5+'age profile_2010'!AC5+'age profile_2010'!AD5+'age profile_2010'!AE5)*'age profile_2019'!I5</f>
        <v>7275.0596915119777</v>
      </c>
      <c r="AG5" s="120">
        <f>'age profile_2010'!AE5/('age profile_2010'!W5+'age profile_2010'!X5+'age profile_2010'!Y5+'age profile_2010'!Z5+'age profile_2010'!AB5+'age profile_2010'!AC5+'age profile_2010'!AD5+'age profile_2010'!AE5)*'age profile_2019'!I5</f>
        <v>377.99005492634899</v>
      </c>
      <c r="AH5" s="118">
        <f>M5*'population by age (1 year)'!C$2</f>
        <v>1218573.0061206876</v>
      </c>
      <c r="AI5" s="118" t="s">
        <v>730</v>
      </c>
      <c r="AJ5" s="134" t="s">
        <v>729</v>
      </c>
    </row>
    <row r="6" spans="1:36" s="118" customFormat="1" ht="15" x14ac:dyDescent="0.3">
      <c r="A6" s="118">
        <v>5</v>
      </c>
      <c r="B6" s="128" t="s">
        <v>332</v>
      </c>
      <c r="C6" s="118" t="s">
        <v>15</v>
      </c>
      <c r="D6" s="120">
        <f>'age profile_2010'!D6/('age profile_2010'!D6+'age profile_2010'!E6+'age profile_2010'!K6+'age profile_2010'!L6)*G6</f>
        <v>198351.5049264605</v>
      </c>
      <c r="E6" s="120">
        <f>'age profile_2010'!E6/('age profile_2010'!D6+'age profile_2010'!E6+'age profile_2010'!K6+'age profile_2010'!L6)*G6</f>
        <v>888691.03148458852</v>
      </c>
      <c r="F6" s="118">
        <f>VLOOKUP(B6,'age5-9'!A:H,8)*K6</f>
        <v>175033.79847364273</v>
      </c>
      <c r="G6" s="118">
        <v>3377673</v>
      </c>
      <c r="H6" s="118">
        <v>15914249</v>
      </c>
      <c r="I6" s="118">
        <v>3138918</v>
      </c>
      <c r="K6" s="120">
        <f>'age profile_2010'!K6/('age profile_2010'!D6+'age profile_2010'!E6+'age profile_2010'!K6+'age profile_2010'!L6)*G6</f>
        <v>1061706.3284376995</v>
      </c>
      <c r="L6" s="120">
        <f>'age profile_2010'!L6/('age profile_2010'!D6+'age profile_2010'!E6+'age profile_2010'!K6+'age profile_2010'!L6)*G6</f>
        <v>1228924.1351512515</v>
      </c>
      <c r="M6" s="120">
        <f>'age profile_2010'!M6/SUM('age profile_2010'!$M6:$U6)*'age profile_2019'!$H6</f>
        <v>1440513.847245489</v>
      </c>
      <c r="N6" s="120">
        <f>'age profile_2010'!N6/SUM('age profile_2010'!$M6:$U6)*'age profile_2019'!$H6</f>
        <v>1802950.6972742521</v>
      </c>
      <c r="O6" s="120">
        <f>'age profile_2010'!O6/SUM('age profile_2010'!$M6:$U6)*'age profile_2019'!$H6</f>
        <v>1782131.9426689844</v>
      </c>
      <c r="P6" s="120">
        <f>'age profile_2010'!P6/SUM('age profile_2010'!$M6:$U6)*'age profile_2019'!$H6</f>
        <v>1702547.0575864329</v>
      </c>
      <c r="Q6" s="120">
        <f>'age profile_2010'!Q6/SUM('age profile_2010'!$M6:$U6)*'age profile_2019'!$H6</f>
        <v>2198198.1537422542</v>
      </c>
      <c r="R6" s="120">
        <f>'age profile_2010'!R6/SUM('age profile_2010'!$M6:$U6)*'age profile_2019'!$H6</f>
        <v>2170524.3167357915</v>
      </c>
      <c r="S6" s="120">
        <f>'age profile_2010'!S6/SUM('age profile_2010'!$M6:$U6)*'age profile_2019'!$H6</f>
        <v>1937673.8748297694</v>
      </c>
      <c r="T6" s="120">
        <f>'age profile_2010'!T6/SUM('age profile_2010'!$M6:$U6)*'age profile_2019'!$H6</f>
        <v>1569202.1643001444</v>
      </c>
      <c r="U6" s="120">
        <f>'age profile_2010'!U6/SUM('age profile_2010'!$M6:$U6)*'age profile_2019'!$H6</f>
        <v>1310506.9456168821</v>
      </c>
      <c r="V6" s="120">
        <f>4757233-3138918</f>
        <v>1618315</v>
      </c>
      <c r="W6" s="120">
        <f>'age profile_2010'!W6/('age profile_2010'!W6+'age profile_2010'!X6+'age profile_2010'!Y6+'age profile_2010'!Z6+'age profile_2010'!AB6+'age profile_2010'!AC6+'age profile_2010'!AD6+'age profile_2010'!AE6)*'age profile_2019'!I6</f>
        <v>1115564.5586194457</v>
      </c>
      <c r="X6" s="120">
        <f>'age profile_2010'!X6/('age profile_2010'!W6+'age profile_2010'!X6+'age profile_2010'!Y6+'age profile_2010'!Z6+'age profile_2010'!AB6+'age profile_2010'!AC6+'age profile_2010'!AD6+'age profile_2010'!AE6)*'age profile_2019'!I6</f>
        <v>991812.51186263398</v>
      </c>
      <c r="Y6" s="120">
        <f>'age profile_2010'!Y6/('age profile_2010'!W6+'age profile_2010'!X6+'age profile_2010'!Y6+'age profile_2010'!Z6+'age profile_2010'!AB6+'age profile_2010'!AC6+'age profile_2010'!AD6+'age profile_2010'!AE6)*'age profile_2019'!I6</f>
        <v>625976.70888786239</v>
      </c>
      <c r="Z6" s="118">
        <f t="shared" si="0"/>
        <v>405564.22063005809</v>
      </c>
      <c r="AA6" s="120">
        <f>'age profile_2010'!Z6/('age profile_2010'!W6+'age profile_2010'!X6+'age profile_2010'!Y6+'age profile_2010'!Z6+'age profile_2010'!AB6+'age profile_2010'!AC6+'age profile_2010'!AD6+'age profile_2010'!AE6)*'age profile_2019'!I6</f>
        <v>280283.18846126465</v>
      </c>
      <c r="AB6" s="120"/>
      <c r="AC6" s="120">
        <f>'age profile_2010'!AB6/('age profile_2010'!W6+'age profile_2010'!X6+'age profile_2010'!Y6+'age profile_2010'!Z6+'age profile_2010'!AB6+'age profile_2010'!AC6+'age profile_2010'!AD6+'age profile_2010'!AE6)*'age profile_2019'!I6</f>
        <v>99476.46298503835</v>
      </c>
      <c r="AD6" s="120"/>
      <c r="AE6" s="120">
        <f>'age profile_2010'!AC6/('age profile_2010'!W6+'age profile_2010'!X6+'age profile_2010'!Y6+'age profile_2010'!Z6+'age profile_2010'!AB6+'age profile_2010'!AC6+'age profile_2010'!AD6+'age profile_2010'!AE6)*'age profile_2019'!I6</f>
        <v>20841.247307937094</v>
      </c>
      <c r="AF6" s="120">
        <f>'age profile_2010'!AD6/('age profile_2010'!W6+'age profile_2010'!X6+'age profile_2010'!Y6+'age profile_2010'!Z6+'age profile_2010'!AB6+'age profile_2010'!AC6+'age profile_2010'!AD6+'age profile_2010'!AE6)*'age profile_2019'!I6</f>
        <v>4647.4435709250247</v>
      </c>
      <c r="AG6" s="120">
        <f>'age profile_2010'!AE6/('age profile_2010'!W6+'age profile_2010'!X6+'age profile_2010'!Y6+'age profile_2010'!Z6+'age profile_2010'!AB6+'age profile_2010'!AC6+'age profile_2010'!AD6+'age profile_2010'!AE6)*'age profile_2019'!I6</f>
        <v>315.8783048929518</v>
      </c>
      <c r="AH6" s="118">
        <f>M6*'population by age (1 year)'!C$2</f>
        <v>587332.85519782291</v>
      </c>
      <c r="AI6" s="118" t="s">
        <v>732</v>
      </c>
      <c r="AJ6" s="118" t="s">
        <v>731</v>
      </c>
    </row>
    <row r="7" spans="1:36" s="119" customFormat="1" x14ac:dyDescent="0.3">
      <c r="A7" s="118">
        <v>6</v>
      </c>
      <c r="B7" s="128" t="s">
        <v>333</v>
      </c>
      <c r="C7" s="118" t="s">
        <v>17</v>
      </c>
      <c r="D7" s="120">
        <f>'age profile_2010'!D7/('age profile_2010'!D7+'age profile_2010'!E7+'age profile_2010'!K7+'age profile_2010'!L7)*G7</f>
        <v>250543.97433448263</v>
      </c>
      <c r="E7" s="120">
        <f>'age profile_2010'!E7/('age profile_2010'!D7+'age profile_2010'!E7+'age profile_2010'!K7+'age profile_2010'!L7)*G7</f>
        <v>1208638.9159167632</v>
      </c>
      <c r="F7" s="118">
        <f>VLOOKUP(B7,'age5-9'!A:H,8)*K7</f>
        <v>245645.12499081317</v>
      </c>
      <c r="G7" s="118">
        <v>4737939</v>
      </c>
      <c r="H7" s="118">
        <v>26899001</v>
      </c>
      <c r="I7" s="118">
        <v>7417481</v>
      </c>
      <c r="J7" s="118"/>
      <c r="K7" s="120">
        <f>'age profile_2010'!K7/('age profile_2010'!D7+'age profile_2010'!E7+'age profile_2010'!K7+'age profile_2010'!L7)*G7</f>
        <v>1550150.4103336879</v>
      </c>
      <c r="L7" s="120">
        <f>'age profile_2010'!L7/('age profile_2010'!D7+'age profile_2010'!E7+'age profile_2010'!K7+'age profile_2010'!L7)*G7</f>
        <v>1728605.6994150663</v>
      </c>
      <c r="M7" s="120">
        <f>'age profile_2010'!M7/SUM('age profile_2010'!$M7:$U7)*'age profile_2019'!$H7</f>
        <v>2112164.5350291017</v>
      </c>
      <c r="N7" s="120">
        <f>'age profile_2010'!N7/SUM('age profile_2010'!$M7:$U7)*'age profile_2019'!$H7</f>
        <v>3081162.083787119</v>
      </c>
      <c r="O7" s="120">
        <f>'age profile_2010'!O7/SUM('age profile_2010'!$M7:$U7)*'age profile_2019'!$H7</f>
        <v>2556940.565847768</v>
      </c>
      <c r="P7" s="120">
        <f>'age profile_2010'!P7/SUM('age profile_2010'!$M7:$U7)*'age profile_2019'!$H7</f>
        <v>2753728.0134179648</v>
      </c>
      <c r="Q7" s="120">
        <f>'age profile_2010'!Q7/SUM('age profile_2010'!$M7:$U7)*'age profile_2019'!$H7</f>
        <v>3127228.6470492422</v>
      </c>
      <c r="R7" s="120">
        <f>'age profile_2010'!R7/SUM('age profile_2010'!$M7:$U7)*'age profile_2019'!$H7</f>
        <v>3496147.8432758017</v>
      </c>
      <c r="S7" s="120">
        <f>'age profile_2010'!S7/SUM('age profile_2010'!$M7:$U7)*'age profile_2019'!$H7</f>
        <v>3586505.5577268801</v>
      </c>
      <c r="T7" s="120">
        <f>'age profile_2010'!T7/SUM('age profile_2010'!$M7:$U7)*'age profile_2019'!$H7</f>
        <v>3230365.6296519777</v>
      </c>
      <c r="U7" s="120">
        <f>'age profile_2010'!U7/SUM('age profile_2010'!$M7:$U7)*'age profile_2019'!$H7</f>
        <v>2954758.1242141454</v>
      </c>
      <c r="V7" s="120">
        <f>10954467-7417481</f>
        <v>3536986</v>
      </c>
      <c r="W7" s="120">
        <f>'age profile_2010'!W7/('age profile_2010'!W7+'age profile_2010'!X7+'age profile_2010'!Y7+'age profile_2010'!Z7+'age profile_2010'!AB7+'age profile_2010'!AC7+'age profile_2010'!AD7+'age profile_2010'!AE7)*'age profile_2019'!I7</f>
        <v>2537583.1402069568</v>
      </c>
      <c r="X7" s="120">
        <f>'age profile_2010'!X7/('age profile_2010'!W7+'age profile_2010'!X7+'age profile_2010'!Y7+'age profile_2010'!Z7+'age profile_2010'!AB7+'age profile_2010'!AC7+'age profile_2010'!AD7+'age profile_2010'!AE7)*'age profile_2019'!I7</f>
        <v>2073732.4346412339</v>
      </c>
      <c r="Y7" s="120">
        <f>'age profile_2010'!Y7/('age profile_2010'!W7+'age profile_2010'!X7+'age profile_2010'!Y7+'age profile_2010'!Z7+'age profile_2010'!AB7+'age profile_2010'!AC7+'age profile_2010'!AD7+'age profile_2010'!AE7)*'age profile_2019'!I7</f>
        <v>1488897.6508910973</v>
      </c>
      <c r="Z7" s="118">
        <f t="shared" si="0"/>
        <v>1317267.7742607123</v>
      </c>
      <c r="AA7" s="120">
        <f>'age profile_2010'!Z7/('age profile_2010'!W7+'age profile_2010'!X7+'age profile_2010'!Y7+'age profile_2010'!Z7+'age profile_2010'!AB7+'age profile_2010'!AC7+'age profile_2010'!AD7+'age profile_2010'!AE7)*'age profile_2019'!I7</f>
        <v>864052.85085645877</v>
      </c>
      <c r="AB7" s="120"/>
      <c r="AC7" s="120">
        <f>'age profile_2010'!AB7/('age profile_2010'!W7+'age profile_2010'!X7+'age profile_2010'!Y7+'age profile_2010'!Z7+'age profile_2010'!AB7+'age profile_2010'!AC7+'age profile_2010'!AD7+'age profile_2010'!AE7)*'age profile_2019'!I7</f>
        <v>343884.80696033052</v>
      </c>
      <c r="AD7" s="120"/>
      <c r="AE7" s="120">
        <f>'age profile_2010'!AC7/('age profile_2010'!W7+'age profile_2010'!X7+'age profile_2010'!Y7+'age profile_2010'!Z7+'age profile_2010'!AB7+'age profile_2010'!AC7+'age profile_2010'!AD7+'age profile_2010'!AE7)*'age profile_2019'!I7</f>
        <v>88371.078970763789</v>
      </c>
      <c r="AF7" s="120">
        <f>'age profile_2010'!AD7/('age profile_2010'!W7+'age profile_2010'!X7+'age profile_2010'!Y7+'age profile_2010'!Z7+'age profile_2010'!AB7+'age profile_2010'!AC7+'age profile_2010'!AD7+'age profile_2010'!AE7)*'age profile_2019'!I7</f>
        <v>19014.791491894448</v>
      </c>
      <c r="AG7" s="120">
        <f>'age profile_2010'!AE7/('age profile_2010'!W7+'age profile_2010'!X7+'age profile_2010'!Y7+'age profile_2010'!Z7+'age profile_2010'!AB7+'age profile_2010'!AC7+'age profile_2010'!AD7+'age profile_2010'!AE7)*'age profile_2019'!I7</f>
        <v>1944.2459812646402</v>
      </c>
      <c r="AH7" s="118">
        <f>M7*'population by age (1 year)'!C$2</f>
        <v>861181.32732868742</v>
      </c>
      <c r="AI7" s="118" t="s">
        <v>733</v>
      </c>
      <c r="AJ7" s="118" t="s">
        <v>734</v>
      </c>
    </row>
    <row r="8" spans="1:36" x14ac:dyDescent="0.3">
      <c r="A8" s="118">
        <v>7</v>
      </c>
      <c r="B8" s="128" t="s">
        <v>334</v>
      </c>
      <c r="C8" s="118" t="s">
        <v>19</v>
      </c>
      <c r="D8" s="120">
        <f>'age profile_2010'!D8/('age profile_2010'!D8+'age profile_2010'!E8+'age profile_2010'!K8+'age profile_2010'!L8)*G8</f>
        <v>151637.44326123383</v>
      </c>
      <c r="E8" s="120">
        <f>'age profile_2010'!E8/('age profile_2010'!D8+'age profile_2010'!E8+'age profile_2010'!K8+'age profile_2010'!L8)*G8</f>
        <v>772389.09666582115</v>
      </c>
      <c r="F8" s="118">
        <f>VLOOKUP(B8,'age5-9'!A:H,8)*K8</f>
        <v>132420.80324389003</v>
      </c>
      <c r="G8" s="118">
        <v>2818723</v>
      </c>
      <c r="H8" s="118">
        <v>15703565</v>
      </c>
      <c r="I8" s="118">
        <v>3757224</v>
      </c>
      <c r="J8" s="118"/>
      <c r="K8" s="120">
        <f>'age profile_2010'!K8/('age profile_2010'!D8+'age profile_2010'!E8+'age profile_2010'!K8+'age profile_2010'!L8)*G8</f>
        <v>937110.87000514951</v>
      </c>
      <c r="L8" s="120">
        <f>'age profile_2010'!L8/('age profile_2010'!D8+'age profile_2010'!E8+'age profile_2010'!K8+'age profile_2010'!L8)*G8</f>
        <v>957585.59006779559</v>
      </c>
      <c r="M8" s="120">
        <f>'age profile_2010'!M8/SUM('age profile_2010'!$M8:$U8)*'age profile_2019'!$H8</f>
        <v>1288072.6583430371</v>
      </c>
      <c r="N8" s="120">
        <f>'age profile_2010'!N8/SUM('age profile_2010'!$M8:$U8)*'age profile_2019'!$H8</f>
        <v>1912832.7911829662</v>
      </c>
      <c r="O8" s="120">
        <f>'age profile_2010'!O8/SUM('age profile_2010'!$M8:$U8)*'age profile_2019'!$H8</f>
        <v>1496259.2494338378</v>
      </c>
      <c r="P8" s="120">
        <f>'age profile_2010'!P8/SUM('age profile_2010'!$M8:$U8)*'age profile_2019'!$H8</f>
        <v>1660539.564913908</v>
      </c>
      <c r="Q8" s="120">
        <f>'age profile_2010'!Q8/SUM('age profile_2010'!$M8:$U8)*'age profile_2019'!$H8</f>
        <v>1955903.9803519419</v>
      </c>
      <c r="R8" s="120">
        <f>'age profile_2010'!R8/SUM('age profile_2010'!$M8:$U8)*'age profile_2019'!$H8</f>
        <v>2212468.2302264958</v>
      </c>
      <c r="S8" s="120">
        <f>'age profile_2010'!S8/SUM('age profile_2010'!$M8:$U8)*'age profile_2019'!$H8</f>
        <v>1999364.4176883658</v>
      </c>
      <c r="T8" s="120">
        <f>'age profile_2010'!T8/SUM('age profile_2010'!$M8:$U8)*'age profile_2019'!$H8</f>
        <v>1644561.2717691939</v>
      </c>
      <c r="U8" s="120">
        <f>'age profile_2010'!U8/SUM('age profile_2010'!$M8:$U8)*'age profile_2019'!$H8</f>
        <v>1533562.8360902532</v>
      </c>
      <c r="V8" s="120">
        <f>5551165-3757224</f>
        <v>1793941</v>
      </c>
      <c r="W8" s="120">
        <f>'age profile_2010'!W8/('age profile_2010'!W8+'age profile_2010'!X8+'age profile_2010'!Y8+'age profile_2010'!Z8+'age profile_2010'!AB8+'age profile_2010'!AC8+'age profile_2010'!AD8+'age profile_2010'!AE8)*'age profile_2019'!I8</f>
        <v>1366620.7401320161</v>
      </c>
      <c r="X8" s="120">
        <f>'age profile_2010'!X8/('age profile_2010'!W8+'age profile_2010'!X8+'age profile_2010'!Y8+'age profile_2010'!Z8+'age profile_2010'!AB8+'age profile_2010'!AC8+'age profile_2010'!AD8+'age profile_2010'!AE8)*'age profile_2019'!I8</f>
        <v>1110257.8491657535</v>
      </c>
      <c r="Y8" s="120">
        <f>'age profile_2010'!Y8/('age profile_2010'!W8+'age profile_2010'!X8+'age profile_2010'!Y8+'age profile_2010'!Z8+'age profile_2010'!AB8+'age profile_2010'!AC8+'age profile_2010'!AD8+'age profile_2010'!AE8)*'age profile_2019'!I8</f>
        <v>701238.42139021086</v>
      </c>
      <c r="Z8" s="118">
        <f t="shared" ref="Z8" si="1">SUM(AA8:AG8)</f>
        <v>579106.9893120192</v>
      </c>
      <c r="AA8" s="120">
        <f>'age profile_2010'!Z8/('age profile_2010'!W8+'age profile_2010'!X8+'age profile_2010'!Y8+'age profile_2010'!Z8+'age profile_2010'!AB8+'age profile_2010'!AC8+'age profile_2010'!AD8+'age profile_2010'!AE8)*'age profile_2019'!I8</f>
        <v>380107.00704393617</v>
      </c>
      <c r="AB8" s="120"/>
      <c r="AC8" s="120">
        <f>'age profile_2010'!AB8/('age profile_2010'!W8+'age profile_2010'!X8+'age profile_2010'!Y8+'age profile_2010'!Z8+'age profile_2010'!AB8+'age profile_2010'!AC8+'age profile_2010'!AD8+'age profile_2010'!AE8)*'age profile_2019'!I8</f>
        <v>149014.93964040908</v>
      </c>
      <c r="AD8" s="120"/>
      <c r="AE8" s="120">
        <f>'age profile_2010'!AC8/('age profile_2010'!W8+'age profile_2010'!X8+'age profile_2010'!Y8+'age profile_2010'!Z8+'age profile_2010'!AB8+'age profile_2010'!AC8+'age profile_2010'!AD8+'age profile_2010'!AE8)*'age profile_2019'!I8</f>
        <v>38862.746299261722</v>
      </c>
      <c r="AF8" s="120">
        <f>'age profile_2010'!AD8/('age profile_2010'!W8+'age profile_2010'!X8+'age profile_2010'!Y8+'age profile_2010'!Z8+'age profile_2010'!AB8+'age profile_2010'!AC8+'age profile_2010'!AD8+'age profile_2010'!AE8)*'age profile_2019'!I8</f>
        <v>10177.211272035651</v>
      </c>
      <c r="AG8" s="120">
        <f>'age profile_2010'!AE8/('age profile_2010'!W8+'age profile_2010'!X8+'age profile_2010'!Y8+'age profile_2010'!Z8+'age profile_2010'!AB8+'age profile_2010'!AC8+'age profile_2010'!AD8+'age profile_2010'!AE8)*'age profile_2019'!I8</f>
        <v>945.08505637668668</v>
      </c>
      <c r="AH8" s="118">
        <f>M8*'population by age (1 year)'!C$2</f>
        <v>525178.84057378327</v>
      </c>
      <c r="AI8" s="118" t="s">
        <v>728</v>
      </c>
      <c r="AJ8" s="118" t="s">
        <v>723</v>
      </c>
    </row>
    <row r="9" spans="1:36" s="122" customFormat="1" x14ac:dyDescent="0.3">
      <c r="A9" s="118">
        <v>8</v>
      </c>
      <c r="B9" s="118" t="s">
        <v>335</v>
      </c>
      <c r="C9" s="118" t="s">
        <v>21</v>
      </c>
      <c r="D9" s="118"/>
      <c r="E9" s="118"/>
      <c r="F9" s="118">
        <f>VLOOKUP(B9,'age5-9'!A:H,8)*K9</f>
        <v>184761.89741126625</v>
      </c>
      <c r="G9" s="118"/>
      <c r="H9" s="118"/>
      <c r="I9" s="118"/>
      <c r="J9" s="118">
        <v>1194000</v>
      </c>
      <c r="K9" s="118">
        <v>1285000</v>
      </c>
      <c r="L9" s="118">
        <v>1396000</v>
      </c>
      <c r="M9" s="118">
        <v>1568000</v>
      </c>
      <c r="N9" s="118">
        <v>2086000</v>
      </c>
      <c r="O9" s="118">
        <v>2687000</v>
      </c>
      <c r="P9" s="118">
        <v>2794000</v>
      </c>
      <c r="Q9" s="118">
        <v>3020000</v>
      </c>
      <c r="R9" s="118">
        <v>3639000</v>
      </c>
      <c r="S9" s="118">
        <v>3688000</v>
      </c>
      <c r="T9" s="118">
        <v>3378000</v>
      </c>
      <c r="U9" s="118">
        <v>2818000</v>
      </c>
      <c r="V9" s="118">
        <v>2802000</v>
      </c>
      <c r="W9" s="118">
        <v>1877000</v>
      </c>
      <c r="X9" s="118">
        <v>1586000</v>
      </c>
      <c r="Y9" s="118">
        <v>965000</v>
      </c>
      <c r="Z9" s="118">
        <f>SUM(AA9:AG9)</f>
        <v>730000</v>
      </c>
      <c r="AA9" s="118">
        <v>489000</v>
      </c>
      <c r="AB9" s="123"/>
      <c r="AC9" s="118">
        <v>179000</v>
      </c>
      <c r="AD9" s="118">
        <v>62000</v>
      </c>
      <c r="AE9" s="118"/>
      <c r="AF9" s="118"/>
      <c r="AG9" s="118"/>
      <c r="AH9" s="118">
        <f>M9*'population by age (1 year)'!C$2</f>
        <v>639312.08902377333</v>
      </c>
      <c r="AI9" s="118" t="s">
        <v>716</v>
      </c>
      <c r="AJ9" s="118" t="s">
        <v>715</v>
      </c>
    </row>
    <row r="10" spans="1:36" x14ac:dyDescent="0.3">
      <c r="A10" s="118">
        <v>9</v>
      </c>
      <c r="B10" s="128" t="s">
        <v>336</v>
      </c>
      <c r="C10" s="118" t="s">
        <v>23</v>
      </c>
      <c r="D10" s="120">
        <f>'age profile_2010'!D10/('age profile_2010'!D10+'age profile_2010'!E10+'age profile_2010'!K10+'age profile_2010'!L10)*G10</f>
        <v>157543.60028221877</v>
      </c>
      <c r="E10" s="120">
        <f>'age profile_2010'!E10/('age profile_2010'!D10+'age profile_2010'!E10+'age profile_2010'!K10+'age profile_2010'!L10)*G10</f>
        <v>817160.82162574353</v>
      </c>
      <c r="F10" s="118">
        <f>VLOOKUP(B10,'age5-9'!A:H,8)*K10</f>
        <v>136606.25500300076</v>
      </c>
      <c r="G10" s="118">
        <v>2436296</v>
      </c>
      <c r="H10" s="118">
        <v>16619137</v>
      </c>
      <c r="I10" s="118">
        <v>4049012</v>
      </c>
      <c r="J10" s="118"/>
      <c r="K10" s="120">
        <f>'age profile_2010'!K10/('age profile_2010'!D10+'age profile_2010'!E10+'age profile_2010'!K10+'age profile_2010'!L10)*G10</f>
        <v>777486.79647317331</v>
      </c>
      <c r="L10" s="120">
        <f>'age profile_2010'!L10/('age profile_2010'!D10+'age profile_2010'!E10+'age profile_2010'!K10+'age profile_2010'!L10)*G10</f>
        <v>684104.78161886451</v>
      </c>
      <c r="M10" s="120">
        <f>'age profile_2010'!M10/SUM('age profile_2010'!$M10:$U10)*'age profile_2019'!$H10</f>
        <v>1060696.098931147</v>
      </c>
      <c r="N10" s="120">
        <f>'age profile_2010'!N10/SUM('age profile_2010'!$M10:$U10)*'age profile_2019'!$H10</f>
        <v>2479027.5147401202</v>
      </c>
      <c r="O10" s="120">
        <f>'age profile_2010'!O10/SUM('age profile_2010'!$M10:$U10)*'age profile_2019'!$H10</f>
        <v>2432491.7642840575</v>
      </c>
      <c r="P10" s="120">
        <f>'age profile_2010'!P10/SUM('age profile_2010'!$M10:$U10)*'age profile_2019'!$H10</f>
        <v>2013325.6443016387</v>
      </c>
      <c r="Q10" s="120">
        <f>'age profile_2010'!Q10/SUM('age profile_2010'!$M10:$U10)*'age profile_2019'!$H10</f>
        <v>1817662.4396507549</v>
      </c>
      <c r="R10" s="120">
        <f>'age profile_2010'!R10/SUM('age profile_2010'!$M10:$U10)*'age profile_2019'!$H10</f>
        <v>1776451.115460051</v>
      </c>
      <c r="S10" s="120">
        <f>'age profile_2010'!S10/SUM('age profile_2010'!$M10:$U10)*'age profile_2019'!$H10</f>
        <v>1703549.6159653827</v>
      </c>
      <c r="T10" s="120">
        <f>'age profile_2010'!T10/SUM('age profile_2010'!$M10:$U10)*'age profile_2019'!$H10</f>
        <v>1705483.3628179755</v>
      </c>
      <c r="U10" s="120">
        <f>'age profile_2010'!U10/SUM('age profile_2010'!$M10:$U10)*'age profile_2019'!$H10</f>
        <v>1630449.4438488726</v>
      </c>
      <c r="V10" s="118">
        <f>5815462-4049012</f>
        <v>1766450</v>
      </c>
      <c r="W10" s="120">
        <f>'age profile_2010'!W10/('age profile_2010'!W10+'age profile_2010'!X10+'age profile_2010'!Y10+'age profile_2010'!Z10+'age profile_2010'!AB10+'age profile_2010'!AC10+'age profile_2010'!AD10+'age profile_2010'!AE10)*'age profile_2019'!I10</f>
        <v>1155581.5462085099</v>
      </c>
      <c r="X10" s="120">
        <f>'age profile_2010'!X10/('age profile_2010'!W10+'age profile_2010'!X10+'age profile_2010'!Y10+'age profile_2010'!Z10+'age profile_2010'!AB10+'age profile_2010'!AC10+'age profile_2010'!AD10+'age profile_2010'!AE10)*'age profile_2019'!I10</f>
        <v>908425.2434417858</v>
      </c>
      <c r="Y10" s="120">
        <f>'age profile_2010'!Y10/('age profile_2010'!W10+'age profile_2010'!X10+'age profile_2010'!Y10+'age profile_2010'!Z10+'age profile_2010'!AB10+'age profile_2010'!AC10+'age profile_2010'!AD10+'age profile_2010'!AE10)*'age profile_2019'!I10</f>
        <v>964110.35425444797</v>
      </c>
      <c r="Z10" s="118">
        <f t="shared" ref="Z10" si="2">SUM(AA10:AG10)</f>
        <v>1020894.8560952562</v>
      </c>
      <c r="AA10" s="120">
        <f>'age profile_2010'!Z10/('age profile_2010'!W10+'age profile_2010'!X10+'age profile_2010'!Y10+'age profile_2010'!Z10+'age profile_2010'!AB10+'age profile_2010'!AC10+'age profile_2010'!AD10+'age profile_2010'!AE10)*'age profile_2019'!I10</f>
        <v>610535.43147573911</v>
      </c>
      <c r="AB10" s="118"/>
      <c r="AC10" s="120">
        <f>'age profile_2010'!AB10/('age profile_2010'!W10+'age profile_2010'!X10+'age profile_2010'!Y10+'age profile_2010'!Z10+'age profile_2010'!AB10+'age profile_2010'!AC10+'age profile_2010'!AD10+'age profile_2010'!AE10)*'age profile_2019'!I10</f>
        <v>300364.74437537987</v>
      </c>
      <c r="AD10" s="120"/>
      <c r="AE10" s="120">
        <f>'age profile_2010'!AC10/('age profile_2010'!W10+'age profile_2010'!X10+'age profile_2010'!Y10+'age profile_2010'!Z10+'age profile_2010'!AB10+'age profile_2010'!AC10+'age profile_2010'!AD10+'age profile_2010'!AE10)*'age profile_2019'!I10</f>
        <v>90825.677435848382</v>
      </c>
      <c r="AF10" s="120">
        <f>'age profile_2010'!AD10/('age profile_2010'!W10+'age profile_2010'!X10+'age profile_2010'!Y10+'age profile_2010'!Z10+'age profile_2010'!AB10+'age profile_2010'!AC10+'age profile_2010'!AD10+'age profile_2010'!AE10)*'age profile_2019'!I10</f>
        <v>17557.257351543958</v>
      </c>
      <c r="AG10" s="120">
        <f>'age profile_2010'!AE10/('age profile_2010'!W10+'age profile_2010'!X10+'age profile_2010'!Y10+'age profile_2010'!Z10+'age profile_2010'!AB10+'age profile_2010'!AC10+'age profile_2010'!AD10+'age profile_2010'!AE10)*'age profile_2019'!I10</f>
        <v>1611.7454567447614</v>
      </c>
      <c r="AH10" s="118">
        <f>M10*'population by age (1 year)'!C$2</f>
        <v>432471.83598663175</v>
      </c>
      <c r="AI10" s="118" t="s">
        <v>736</v>
      </c>
      <c r="AJ10" s="118" t="s">
        <v>735</v>
      </c>
    </row>
    <row r="11" spans="1:36" x14ac:dyDescent="0.3">
      <c r="A11" s="118">
        <v>10</v>
      </c>
      <c r="B11" s="118" t="s">
        <v>337</v>
      </c>
      <c r="C11" s="118" t="s">
        <v>25</v>
      </c>
      <c r="D11" s="118"/>
      <c r="E11" s="118"/>
      <c r="F11" s="118">
        <f>VLOOKUP(B11,'age5-9'!A:H,8)*K11</f>
        <v>2452.6267590560742</v>
      </c>
      <c r="G11" s="118"/>
      <c r="H11" s="118"/>
      <c r="I11" s="118"/>
      <c r="J11" s="118">
        <v>14053</v>
      </c>
      <c r="K11" s="118">
        <v>17770</v>
      </c>
      <c r="L11" s="118">
        <v>16907</v>
      </c>
      <c r="M11" s="118">
        <v>12424</v>
      </c>
      <c r="N11" s="118">
        <v>15561</v>
      </c>
      <c r="O11" s="118">
        <v>23011</v>
      </c>
      <c r="P11" s="118">
        <v>26922</v>
      </c>
      <c r="Q11" s="118">
        <v>21629</v>
      </c>
      <c r="R11" s="118">
        <v>23039</v>
      </c>
      <c r="S11" s="118">
        <v>28805</v>
      </c>
      <c r="T11" s="118">
        <v>33378</v>
      </c>
      <c r="U11" s="118">
        <v>25143</v>
      </c>
      <c r="V11" s="118">
        <v>23483</v>
      </c>
      <c r="W11" s="118">
        <v>22140</v>
      </c>
      <c r="X11" s="118">
        <v>15397</v>
      </c>
      <c r="Y11" s="118">
        <v>10110</v>
      </c>
      <c r="Z11" s="118">
        <f t="shared" si="0"/>
        <v>10898</v>
      </c>
      <c r="AA11" s="118">
        <v>6262</v>
      </c>
      <c r="AB11" s="118"/>
      <c r="AC11" s="118">
        <v>3320</v>
      </c>
      <c r="AD11" s="118">
        <v>1316</v>
      </c>
      <c r="AE11" s="118"/>
      <c r="AF11" s="118"/>
      <c r="AG11" s="118"/>
      <c r="AH11" s="118">
        <f>M11*'population by age (1 year)'!C$2</f>
        <v>5065.5697666016331</v>
      </c>
      <c r="AI11" s="118" t="s">
        <v>644</v>
      </c>
      <c r="AJ11" s="118" t="s">
        <v>645</v>
      </c>
    </row>
    <row r="12" spans="1:36" x14ac:dyDescent="0.3">
      <c r="A12" s="118">
        <v>11</v>
      </c>
      <c r="B12" s="128" t="s">
        <v>338</v>
      </c>
      <c r="C12" s="118" t="s">
        <v>27</v>
      </c>
      <c r="D12" s="120">
        <f>'age profile_2010'!D12/('age profile_2010'!D12+'age profile_2010'!E12+'age profile_2010'!K12+'age profile_2010'!L12)*G12</f>
        <v>535297.64647621568</v>
      </c>
      <c r="E12" s="120">
        <f>'age profile_2010'!E12/('age profile_2010'!D12+'age profile_2010'!E12+'age profile_2010'!K12+'age profile_2010'!L12)*G12</f>
        <v>2404278.7742982232</v>
      </c>
      <c r="F12" s="118">
        <f>VLOOKUP(B12,'age5-9'!A:H,8)*K12</f>
        <v>438917.88078348973</v>
      </c>
      <c r="G12" s="118">
        <v>8681781</v>
      </c>
      <c r="H12" s="118">
        <v>43813123</v>
      </c>
      <c r="I12" s="118">
        <v>8566349</v>
      </c>
      <c r="J12" s="118"/>
      <c r="K12" s="120">
        <f>'age profile_2010'!K12/('age profile_2010'!D12+'age profile_2010'!E12+'age profile_2010'!K12+'age profile_2010'!L12)*G12</f>
        <v>2871226.6760523436</v>
      </c>
      <c r="L12" s="120">
        <f>'age profile_2010'!L12/('age profile_2010'!D12+'age profile_2010'!E12+'age profile_2010'!K12+'age profile_2010'!L12)*G12</f>
        <v>2870977.9031732175</v>
      </c>
      <c r="M12" s="120">
        <f>'age profile_2010'!M12/SUM('age profile_2010'!$M12:$U12)*'age profile_2019'!$H12</f>
        <v>3965883.6803293303</v>
      </c>
      <c r="N12" s="120">
        <f>'age profile_2010'!N12/SUM('age profile_2010'!$M12:$U12)*'age profile_2019'!$H12</f>
        <v>5466429.0184591245</v>
      </c>
      <c r="O12" s="120">
        <f>'age profile_2010'!O12/SUM('age profile_2010'!$M12:$U12)*'age profile_2019'!$H12</f>
        <v>4932107.7069936646</v>
      </c>
      <c r="P12" s="120">
        <f>'age profile_2010'!P12/SUM('age profile_2010'!$M12:$U12)*'age profile_2019'!$H12</f>
        <v>4924612.5053176619</v>
      </c>
      <c r="Q12" s="120">
        <f>'age profile_2010'!Q12/SUM('age profile_2010'!$M12:$U12)*'age profile_2019'!$H12</f>
        <v>5711392.2612141483</v>
      </c>
      <c r="R12" s="120">
        <f>'age profile_2010'!R12/SUM('age profile_2010'!$M12:$U12)*'age profile_2019'!$H12</f>
        <v>6045979.9190601781</v>
      </c>
      <c r="S12" s="120">
        <f>'age profile_2010'!S12/SUM('age profile_2010'!$M12:$U12)*'age profile_2019'!$H12</f>
        <v>5218421.5401382884</v>
      </c>
      <c r="T12" s="120">
        <f>'age profile_2010'!T12/SUM('age profile_2010'!$M12:$U12)*'age profile_2019'!$H12</f>
        <v>3862043.9991250578</v>
      </c>
      <c r="U12" s="120">
        <f>'age profile_2010'!U12/SUM('age profile_2010'!$M12:$U12)*'age profile_2019'!$H12</f>
        <v>3686252.3693625443</v>
      </c>
      <c r="V12" s="118">
        <f>12072684-8566349</f>
        <v>3506335</v>
      </c>
      <c r="W12" s="120">
        <f>'age profile_2010'!W12/('age profile_2010'!W12+'age profile_2010'!X12+'age profile_2010'!Y12+'age profile_2010'!Z12+'age profile_2010'!AB12+'age profile_2010'!AC12+'age profile_2010'!AD12+'age profile_2010'!AE12)*'age profile_2019'!I12</f>
        <v>2563422.2124187397</v>
      </c>
      <c r="X12" s="120">
        <f>'age profile_2010'!X12/('age profile_2010'!W12+'age profile_2010'!X12+'age profile_2010'!Y12+'age profile_2010'!Z12+'age profile_2010'!AB12+'age profile_2010'!AC12+'age profile_2010'!AD12+'age profile_2010'!AE12)*'age profile_2019'!I12</f>
        <v>2226589.0896617747</v>
      </c>
      <c r="Y12" s="120">
        <f>'age profile_2010'!Y12/('age profile_2010'!W12+'age profile_2010'!X12+'age profile_2010'!Y12+'age profile_2010'!Z12+'age profile_2010'!AB12+'age profile_2010'!AC12+'age profile_2010'!AD12+'age profile_2010'!AE12)*'age profile_2019'!I12</f>
        <v>1967500.3030795949</v>
      </c>
      <c r="Z12" s="118">
        <f t="shared" ref="Z12" si="3">SUM(AA12:AG12)</f>
        <v>1808837.3948398901</v>
      </c>
      <c r="AA12" s="120">
        <f>'age profile_2010'!Z12/('age profile_2010'!W12+'age profile_2010'!X12+'age profile_2010'!Y12+'age profile_2010'!Z12+'age profile_2010'!AB12+'age profile_2010'!AC12+'age profile_2010'!AD12+'age profile_2010'!AE12)*'age profile_2019'!I12</f>
        <v>1145803.0695378983</v>
      </c>
      <c r="AB12" s="118"/>
      <c r="AC12" s="120">
        <f>'age profile_2010'!AB12/('age profile_2010'!W12+'age profile_2010'!X12+'age profile_2010'!Y12+'age profile_2010'!Z12+'age profile_2010'!AB12+'age profile_2010'!AC12+'age profile_2010'!AD12+'age profile_2010'!AE12)*'age profile_2019'!I12</f>
        <v>507109.0480158609</v>
      </c>
      <c r="AD12" s="120"/>
      <c r="AE12" s="120">
        <f>'age profile_2010'!AC12/('age profile_2010'!W12+'age profile_2010'!X12+'age profile_2010'!Y12+'age profile_2010'!Z12+'age profile_2010'!AB12+'age profile_2010'!AC12+'age profile_2010'!AD12+'age profile_2010'!AE12)*'age profile_2019'!I12</f>
        <v>131500.68683888679</v>
      </c>
      <c r="AF12" s="120">
        <f>'age profile_2010'!AD12/('age profile_2010'!W12+'age profile_2010'!X12+'age profile_2010'!Y12+'age profile_2010'!Z12+'age profile_2010'!AB12+'age profile_2010'!AC12+'age profile_2010'!AD12+'age profile_2010'!AE12)*'age profile_2019'!I12</f>
        <v>22416.882032400736</v>
      </c>
      <c r="AG12" s="120">
        <f>'age profile_2010'!AE12/('age profile_2010'!W12+'age profile_2010'!X12+'age profile_2010'!Y12+'age profile_2010'!Z12+'age profile_2010'!AB12+'age profile_2010'!AC12+'age profile_2010'!AD12+'age profile_2010'!AE12)*'age profile_2019'!I12</f>
        <v>2007.7084148435308</v>
      </c>
      <c r="AH12" s="118">
        <f>M12*'population by age (1 year)'!C$2</f>
        <v>1616988.1253167314</v>
      </c>
      <c r="AI12" s="118" t="s">
        <v>738</v>
      </c>
      <c r="AJ12" s="118" t="s">
        <v>737</v>
      </c>
    </row>
    <row r="13" spans="1:36" x14ac:dyDescent="0.3">
      <c r="A13" s="118">
        <v>12</v>
      </c>
      <c r="B13" s="118" t="s">
        <v>339</v>
      </c>
      <c r="C13" s="118" t="s">
        <v>29</v>
      </c>
      <c r="D13" s="118"/>
      <c r="E13" s="118"/>
      <c r="F13" s="118">
        <f>VLOOKUP(B13,'age5-9'!A:H,8)*K13</f>
        <v>6522.3640809033877</v>
      </c>
      <c r="G13" s="118"/>
      <c r="H13" s="118"/>
      <c r="I13" s="118">
        <v>88677</v>
      </c>
      <c r="J13" s="118">
        <v>37002</v>
      </c>
      <c r="K13" s="118">
        <v>42670</v>
      </c>
      <c r="L13" s="118">
        <v>40707</v>
      </c>
      <c r="M13" s="118">
        <v>32634</v>
      </c>
      <c r="N13" s="118">
        <v>29589</v>
      </c>
      <c r="O13" s="121">
        <v>40166</v>
      </c>
      <c r="P13" s="118">
        <v>40878</v>
      </c>
      <c r="Q13" s="118">
        <v>35918</v>
      </c>
      <c r="R13" s="118">
        <v>43077</v>
      </c>
      <c r="S13" s="118">
        <v>61939</v>
      </c>
      <c r="T13" s="118">
        <v>67674</v>
      </c>
      <c r="U13" s="118">
        <v>47141</v>
      </c>
      <c r="V13" s="118">
        <v>28519</v>
      </c>
      <c r="W13" s="120">
        <f>'age profile_2010'!W13/('age profile_2010'!W13+'age profile_2010'!X13+'age profile_2010'!Y13+'age profile_2010'!Z13+'age profile_2010'!AB13+'age profile_2010'!AC13+'age profile_2010'!AD13+'age profile_2010'!AE13)*'age profile_2019'!I13</f>
        <v>32177.364096231962</v>
      </c>
      <c r="X13" s="120">
        <f>'age profile_2010'!X13/('age profile_2010'!W13+'age profile_2010'!X13+'age profile_2010'!Y13+'age profile_2010'!Z13+'age profile_2010'!AB13+'age profile_2010'!AC13+'age profile_2010'!AD13+'age profile_2010'!AE13)*'age profile_2019'!I13</f>
        <v>23423.645460435189</v>
      </c>
      <c r="Y13" s="120">
        <f>'age profile_2010'!Y13/('age profile_2010'!W13+'age profile_2010'!X13+'age profile_2010'!Y13+'age profile_2010'!Z13+'age profile_2010'!AB13+'age profile_2010'!AC13+'age profile_2010'!AD13+'age profile_2010'!AE13)*'age profile_2019'!I13</f>
        <v>17414.527186078569</v>
      </c>
      <c r="Z13" s="118">
        <f t="shared" si="0"/>
        <v>15661.463257254276</v>
      </c>
      <c r="AA13" s="120">
        <f>'age profile_2010'!Z13/('age profile_2010'!W13+'age profile_2010'!X13+'age profile_2010'!Y13+'age profile_2010'!Z13+'age profile_2010'!AB13+'age profile_2010'!AC13+'age profile_2010'!AD13+'age profile_2010'!AE13)*'age profile_2019'!I13</f>
        <v>9990.4356752547592</v>
      </c>
      <c r="AB13" s="120"/>
      <c r="AC13" s="120">
        <f>'age profile_2010'!AB13/('age profile_2010'!W13+'age profile_2010'!X13+'age profile_2010'!Y13+'age profile_2010'!Z13+'age profile_2010'!AB13+'age profile_2010'!AC13+'age profile_2010'!AD13+'age profile_2010'!AE13)*'age profile_2019'!I13</f>
        <v>4332.7434231762163</v>
      </c>
      <c r="AD13" s="120"/>
      <c r="AE13" s="120">
        <f>'age profile_2010'!AC13/('age profile_2010'!W13+'age profile_2010'!X13+'age profile_2010'!Y13+'age profile_2010'!Z13+'age profile_2010'!AB13+'age profile_2010'!AC13+'age profile_2010'!AD13+'age profile_2010'!AE13)*'age profile_2019'!I13</f>
        <v>1074.3466453054525</v>
      </c>
      <c r="AF13" s="120">
        <f>'age profile_2010'!AD13/('age profile_2010'!W13+'age profile_2010'!X13+'age profile_2010'!Y13+'age profile_2010'!Z13+'age profile_2010'!AB13+'age profile_2010'!AC13+'age profile_2010'!AD13+'age profile_2010'!AE13)*'age profile_2019'!I13</f>
        <v>234.84754791974689</v>
      </c>
      <c r="AG13" s="120">
        <f>'age profile_2010'!AE13/('age profile_2010'!W13+'age profile_2010'!X13+'age profile_2010'!Y13+'age profile_2010'!Z13+'age profile_2010'!AB13+'age profile_2010'!AC13+'age profile_2010'!AD13+'age profile_2010'!AE13)*'age profile_2019'!I13</f>
        <v>29.089965598101944</v>
      </c>
      <c r="AH13" s="118">
        <f>M13*'population by age (1 year)'!C$2</f>
        <v>13305.682852807284</v>
      </c>
      <c r="AI13" s="118" t="s">
        <v>648</v>
      </c>
      <c r="AJ13" s="118" t="s">
        <v>647</v>
      </c>
    </row>
    <row r="14" spans="1:36" x14ac:dyDescent="0.3">
      <c r="A14" s="118">
        <v>13</v>
      </c>
      <c r="B14" s="118" t="s">
        <v>340</v>
      </c>
      <c r="C14" s="118" t="s">
        <v>31</v>
      </c>
      <c r="D14" s="118"/>
      <c r="E14" s="118"/>
      <c r="F14" s="118">
        <f>VLOOKUP(B14,'age5-9'!A:H,8)*K14</f>
        <v>331875.58734878915</v>
      </c>
      <c r="G14" s="118"/>
      <c r="H14" s="118"/>
      <c r="I14" s="118"/>
      <c r="J14" s="118">
        <f>39730000*6.63%</f>
        <v>2634099</v>
      </c>
      <c r="K14" s="118">
        <f>39730000*5.26%</f>
        <v>2089798</v>
      </c>
      <c r="L14" s="118">
        <f>39730000*5.01%</f>
        <v>1990473</v>
      </c>
      <c r="M14" s="118">
        <f>39730000*4.47%</f>
        <v>1775930.9999999998</v>
      </c>
      <c r="N14" s="118">
        <f>39730000*4.83%</f>
        <v>1918959</v>
      </c>
      <c r="O14" s="118">
        <f>39730000*8.49%</f>
        <v>3373077</v>
      </c>
      <c r="P14" s="118">
        <f>39730000*9.7%</f>
        <v>3853809.9999999995</v>
      </c>
      <c r="Q14" s="118">
        <f>39730000*8.19%</f>
        <v>3253887</v>
      </c>
      <c r="R14" s="118">
        <f>39730000*8.39%</f>
        <v>3333347</v>
      </c>
      <c r="S14" s="118">
        <f>39730000*9.49%</f>
        <v>3770377</v>
      </c>
      <c r="T14" s="118">
        <f>39730000*8.56%</f>
        <v>3400888.0000000005</v>
      </c>
      <c r="U14" s="118">
        <f>39730000*6.35%</f>
        <v>2522855</v>
      </c>
      <c r="V14" s="118">
        <f>39730000*5.33%</f>
        <v>2117609</v>
      </c>
      <c r="W14" s="118">
        <f>39730000*3.98%</f>
        <v>1581254</v>
      </c>
      <c r="X14" s="118">
        <f>39730000*2.26%</f>
        <v>897898</v>
      </c>
      <c r="Y14" s="118">
        <f>39730000*1.47%</f>
        <v>584031</v>
      </c>
      <c r="Z14" s="118">
        <f>39730000*1.59%</f>
        <v>631707</v>
      </c>
      <c r="AA14" s="120"/>
      <c r="AB14" s="118"/>
      <c r="AC14" s="118"/>
      <c r="AD14" s="118"/>
      <c r="AE14" s="118"/>
      <c r="AF14" s="118"/>
      <c r="AG14" s="118"/>
      <c r="AH14" s="118">
        <f>M14*'population by age (1 year)'!C$2</f>
        <v>724090.66171688691</v>
      </c>
      <c r="AI14" s="118" t="s">
        <v>649</v>
      </c>
      <c r="AJ14" s="118" t="s">
        <v>650</v>
      </c>
    </row>
    <row r="15" spans="1:36" x14ac:dyDescent="0.3">
      <c r="A15" s="118">
        <v>14</v>
      </c>
      <c r="B15" s="118" t="s">
        <v>341</v>
      </c>
      <c r="C15" s="118" t="s">
        <v>33</v>
      </c>
      <c r="D15" s="120"/>
      <c r="E15" s="118"/>
      <c r="F15" s="118">
        <f>VLOOKUP(B15,'age5-9'!A:H,8)*K15</f>
        <v>519428.63791383069</v>
      </c>
      <c r="G15" s="118"/>
      <c r="H15" s="118"/>
      <c r="I15" s="118"/>
      <c r="J15" s="118">
        <f>46661318*6.84%</f>
        <v>3191634.1512000002</v>
      </c>
      <c r="K15" s="118">
        <f>46661318*7.34%</f>
        <v>3424940.7411999996</v>
      </c>
      <c r="L15" s="118">
        <f>46661318*6.13%</f>
        <v>2860338.7933999998</v>
      </c>
      <c r="M15" s="118">
        <f>46661318*6.61%</f>
        <v>3084313.1198000005</v>
      </c>
      <c r="N15" s="118">
        <f>46661318*8.37%</f>
        <v>3905552.3166</v>
      </c>
      <c r="O15" s="118">
        <f>46661318*6.77%</f>
        <v>3158971.2286</v>
      </c>
      <c r="P15" s="118">
        <f>46661318*6.76%</f>
        <v>3154305.0967999995</v>
      </c>
      <c r="Q15" s="118">
        <f>46661318*8.21%</f>
        <v>3830894.2078000004</v>
      </c>
      <c r="R15" s="118">
        <f>46661318*8.35%</f>
        <v>3896220.0529999994</v>
      </c>
      <c r="S15" s="118">
        <f>46661318*7.47%</f>
        <v>3485600.4546000003</v>
      </c>
      <c r="T15" s="118">
        <f>46661318*5.82%</f>
        <v>2715688.7075999998</v>
      </c>
      <c r="U15" s="118">
        <f>46661318*5.79%</f>
        <v>2701690.3122</v>
      </c>
      <c r="V15" s="118">
        <f>46661318*4.56%</f>
        <v>2127756.1007999997</v>
      </c>
      <c r="W15" s="118">
        <f>46661318*3.96%</f>
        <v>1847788.1927999998</v>
      </c>
      <c r="X15" s="118">
        <f>46661318*2.97%</f>
        <v>1385841.1446</v>
      </c>
      <c r="Y15" s="118">
        <f>46661318*1.93%</f>
        <v>900563.43739999994</v>
      </c>
      <c r="Z15" s="118">
        <f t="shared" si="0"/>
        <v>989219.94160000002</v>
      </c>
      <c r="AA15" s="118">
        <f>46661318*1.33%</f>
        <v>620595.5294</v>
      </c>
      <c r="AB15" s="118"/>
      <c r="AC15" s="118">
        <f>46661318*0.56%</f>
        <v>261303.38080000004</v>
      </c>
      <c r="AD15" s="118">
        <f>46661318*0.23%</f>
        <v>107321.03139999999</v>
      </c>
      <c r="AE15" s="118"/>
      <c r="AF15" s="118"/>
      <c r="AG15" s="118"/>
      <c r="AH15" s="118">
        <f>M15*'population by age (1 year)'!C$2</f>
        <v>1257550.1682543177</v>
      </c>
      <c r="AI15" s="148" t="s">
        <v>711</v>
      </c>
      <c r="AJ15" s="118" t="s">
        <v>710</v>
      </c>
    </row>
    <row r="16" spans="1:36" x14ac:dyDescent="0.3">
      <c r="A16" s="118">
        <v>15</v>
      </c>
      <c r="B16" s="128" t="s">
        <v>342</v>
      </c>
      <c r="C16" s="118" t="s">
        <v>35</v>
      </c>
      <c r="D16" s="120">
        <f>'age profile_2010'!D16/('age profile_2010'!D16+'age profile_2010'!E16+'age profile_2010'!K16+'age profile_2010'!L16)*G16</f>
        <v>1239835.8049211071</v>
      </c>
      <c r="E16" s="120">
        <f>'age profile_2010'!E16/('age profile_2010'!D16+'age profile_2010'!E16+'age profile_2010'!K16+'age profile_2010'!L16)*G16</f>
        <v>5506399.4540039878</v>
      </c>
      <c r="F16" s="118">
        <f>VLOOKUP(B16,'age5-9'!A:H,8)*K16</f>
        <v>1140629.4118629766</v>
      </c>
      <c r="G16" s="118">
        <v>19062638</v>
      </c>
      <c r="H16" s="118">
        <v>61244009</v>
      </c>
      <c r="I16" s="118">
        <v>15364078</v>
      </c>
      <c r="J16" s="118"/>
      <c r="K16" s="120">
        <f>'age profile_2010'!K16/('age profile_2010'!D16+'age profile_2010'!E16+'age profile_2010'!K16+'age profile_2010'!L16)*G16</f>
        <v>6282371.0981311183</v>
      </c>
      <c r="L16" s="120">
        <f>'age profile_2010'!L16/('age profile_2010'!D16+'age profile_2010'!E16+'age profile_2010'!K16+'age profile_2010'!L16)*G16</f>
        <v>6034031.6429437855</v>
      </c>
      <c r="M16" s="120">
        <f>'age profile_2010'!M16/SUM('age profile_2010'!$M16:$U16)*'age profile_2019'!$H16</f>
        <v>5023146.445709995</v>
      </c>
      <c r="N16" s="120">
        <f>'age profile_2010'!N16/SUM('age profile_2010'!$M16:$U16)*'age profile_2019'!$H16</f>
        <v>8724138.6479504593</v>
      </c>
      <c r="O16" s="120">
        <f>'age profile_2010'!O16/SUM('age profile_2010'!$M16:$U16)*'age profile_2019'!$H16</f>
        <v>6380986.7857822347</v>
      </c>
      <c r="P16" s="120">
        <f>'age profile_2010'!P16/SUM('age profile_2010'!$M16:$U16)*'age profile_2019'!$H16</f>
        <v>5979874.1402230151</v>
      </c>
      <c r="Q16" s="120">
        <f>'age profile_2010'!Q16/SUM('age profile_2010'!$M16:$U16)*'age profile_2019'!$H16</f>
        <v>7276701.3722969564</v>
      </c>
      <c r="R16" s="120">
        <f>'age profile_2010'!R16/SUM('age profile_2010'!$M16:$U16)*'age profile_2019'!$H16</f>
        <v>8578415.2082690988</v>
      </c>
      <c r="S16" s="120">
        <f>'age profile_2010'!S16/SUM('age profile_2010'!$M16:$U16)*'age profile_2019'!$H16</f>
        <v>7426985.8262322564</v>
      </c>
      <c r="T16" s="120">
        <f>'age profile_2010'!T16/SUM('age profile_2010'!$M16:$U16)*'age profile_2019'!$H16</f>
        <v>5751437.1347277798</v>
      </c>
      <c r="U16" s="120">
        <f>'age profile_2010'!U16/SUM('age profile_2010'!$M16:$U16)*'age profile_2019'!$H16</f>
        <v>6102323.4388082018</v>
      </c>
      <c r="V16" s="118">
        <f>21220806-15364078</f>
        <v>5856728</v>
      </c>
      <c r="W16" s="120">
        <f>'age profile_2010'!W16/('age profile_2010'!W16+'age profile_2010'!X16+'age profile_2010'!Y16+'age profile_2010'!Z16+'age profile_2010'!AB16+'age profile_2010'!AC16+'age profile_2010'!AD16+'age profile_2010'!AE16)*'age profile_2019'!I16</f>
        <v>5126643.7962850519</v>
      </c>
      <c r="X16" s="120">
        <f>'age profile_2010'!X16/('age profile_2010'!W16+'age profile_2010'!X16+'age profile_2010'!Y16+'age profile_2010'!Z16+'age profile_2010'!AB16+'age profile_2010'!AC16+'age profile_2010'!AD16+'age profile_2010'!AE16)*'age profile_2019'!I16</f>
        <v>4067521.7382727275</v>
      </c>
      <c r="Y16" s="120">
        <f>'age profile_2010'!Y16/('age profile_2010'!W16+'age profile_2010'!X16+'age profile_2010'!Y16+'age profile_2010'!Z16+'age profile_2010'!AB16+'age profile_2010'!AC16+'age profile_2010'!AD16+'age profile_2010'!AE16)*'age profile_2019'!I16</f>
        <v>3201972.3280442213</v>
      </c>
      <c r="Z16" s="118">
        <f t="shared" ref="Z16" si="4">SUM(AA16:AG16)</f>
        <v>2967940.1373980008</v>
      </c>
      <c r="AA16" s="120">
        <f>'age profile_2010'!Z16/('age profile_2010'!W16+'age profile_2010'!X16+'age profile_2010'!Y16+'age profile_2010'!Z16+'age profile_2010'!AB16+'age profile_2010'!AC16+'age profile_2010'!AD16+'age profile_2010'!AE16)*'age profile_2019'!I16</f>
        <v>1888384.6416022761</v>
      </c>
      <c r="AB16" s="118"/>
      <c r="AC16" s="120">
        <f>'age profile_2010'!AB16/('age profile_2010'!W16+'age profile_2010'!X16+'age profile_2010'!Y16+'age profile_2010'!Z16+'age profile_2010'!AB16+'age profile_2010'!AC16+'age profile_2010'!AD16+'age profile_2010'!AE16)*'age profile_2019'!I16</f>
        <v>795708.14473249693</v>
      </c>
      <c r="AD16" s="120"/>
      <c r="AE16" s="120">
        <f>'age profile_2010'!AC16/('age profile_2010'!W16+'age profile_2010'!X16+'age profile_2010'!Y16+'age profile_2010'!Z16+'age profile_2010'!AB16+'age profile_2010'!AC16+'age profile_2010'!AD16+'age profile_2010'!AE16)*'age profile_2019'!I16</f>
        <v>231573.53044247709</v>
      </c>
      <c r="AF16" s="120">
        <f>'age profile_2010'!AD16/('age profile_2010'!W16+'age profile_2010'!X16+'age profile_2010'!Y16+'age profile_2010'!Z16+'age profile_2010'!AB16+'age profile_2010'!AC16+'age profile_2010'!AD16+'age profile_2010'!AE16)*'age profile_2019'!I16</f>
        <v>47876.25674407398</v>
      </c>
      <c r="AG16" s="120">
        <f>'age profile_2010'!AE16/('age profile_2010'!W16+'age profile_2010'!X16+'age profile_2010'!Y16+'age profile_2010'!Z16+'age profile_2010'!AB16+'age profile_2010'!AC16+'age profile_2010'!AD16+'age profile_2010'!AE16)*'age profile_2019'!I16</f>
        <v>4397.563876676275</v>
      </c>
      <c r="AH16" s="118">
        <f>M16*'population by age (1 year)'!C$2</f>
        <v>2048060.1069382648</v>
      </c>
      <c r="AI16" s="118" t="s">
        <v>742</v>
      </c>
      <c r="AJ16" s="118" t="s">
        <v>741</v>
      </c>
    </row>
    <row r="17" spans="1:36" x14ac:dyDescent="0.3">
      <c r="A17" s="118">
        <v>16</v>
      </c>
      <c r="B17" s="118" t="s">
        <v>343</v>
      </c>
      <c r="C17" s="118" t="s">
        <v>37</v>
      </c>
      <c r="D17" s="118"/>
      <c r="E17" s="118"/>
      <c r="F17" s="118">
        <f>VLOOKUP(B17,'age5-9'!A:H,8)*K17</f>
        <v>1294154.0083702311</v>
      </c>
      <c r="G17" s="118"/>
      <c r="H17" s="118"/>
      <c r="I17" s="118"/>
      <c r="J17" s="126">
        <f>96400000*0.0634</f>
        <v>6111760</v>
      </c>
      <c r="K17" s="126">
        <f>96400000*0.0731</f>
        <v>7046840</v>
      </c>
      <c r="L17" s="126">
        <f>96400000*0.0762</f>
        <v>7345680</v>
      </c>
      <c r="M17" s="126">
        <f>96400000*0.0642</f>
        <v>6188879.9999999991</v>
      </c>
      <c r="N17" s="126">
        <f>96400000*0.0497</f>
        <v>4791080</v>
      </c>
      <c r="O17" s="126">
        <f>96400000*0.0814</f>
        <v>7846960</v>
      </c>
      <c r="P17" s="126">
        <f>96400000*0.0742</f>
        <v>7152880</v>
      </c>
      <c r="Q17" s="126">
        <f>96400000*0.0593</f>
        <v>5716520</v>
      </c>
      <c r="R17" s="126">
        <f>96400000*0.0607</f>
        <v>5851480</v>
      </c>
      <c r="S17" s="126">
        <f>96400000*0.0812</f>
        <v>7827679.9999999991</v>
      </c>
      <c r="T17" s="126">
        <f>96400000*0.0823</f>
        <v>7933720</v>
      </c>
      <c r="U17" s="126">
        <f>96400000*0.0659</f>
        <v>6352760</v>
      </c>
      <c r="V17" s="126">
        <f>96400000*0.0568</f>
        <v>5475520</v>
      </c>
      <c r="W17" s="126">
        <f>96400000*0.0469</f>
        <v>4521160</v>
      </c>
      <c r="X17" s="126">
        <f>96400000*0.0295</f>
        <v>2843800</v>
      </c>
      <c r="Y17" s="126">
        <f>96400000*0.0176</f>
        <v>1696640</v>
      </c>
      <c r="Z17" s="118">
        <f t="shared" si="0"/>
        <v>1696640</v>
      </c>
      <c r="AA17" s="126">
        <f>96400000*0.0107</f>
        <v>1031480</v>
      </c>
      <c r="AB17" s="120"/>
      <c r="AC17" s="126">
        <f>96400000*0.005</f>
        <v>482000</v>
      </c>
      <c r="AD17" s="120"/>
      <c r="AE17" s="126">
        <f>96400000*0.0016</f>
        <v>154240</v>
      </c>
      <c r="AF17" s="126">
        <f>96400000*0.0003</f>
        <v>28919.999999999996</v>
      </c>
      <c r="AG17" s="118"/>
      <c r="AH17" s="118">
        <f>M17*'population by age (1 year)'!C$2</f>
        <v>2523358.2917840881</v>
      </c>
      <c r="AI17" s="118" t="s">
        <v>721</v>
      </c>
      <c r="AJ17" s="118" t="s">
        <v>720</v>
      </c>
    </row>
    <row r="18" spans="1:36" ht="13.5" customHeight="1" x14ac:dyDescent="0.3">
      <c r="A18" s="118">
        <v>17</v>
      </c>
      <c r="B18" s="128" t="s">
        <v>344</v>
      </c>
      <c r="C18" s="118" t="s">
        <v>39</v>
      </c>
      <c r="D18" s="120">
        <f>'age profile_2010'!D18/('age profile_2010'!D18+'age profile_2010'!E18+'age profile_2010'!K18+'age profile_2010'!L18)*G18</f>
        <v>698869.80122888449</v>
      </c>
      <c r="E18" s="120">
        <f>'age profile_2010'!E18/('age profile_2010'!D18+'age profile_2010'!E18+'age profile_2010'!K18+'age profile_2010'!L18)*G18</f>
        <v>2826264.466680387</v>
      </c>
      <c r="F18" s="118">
        <f>VLOOKUP(B18,'age5-9'!A:H,8)*K18</f>
        <v>459101.43640326348</v>
      </c>
      <c r="G18" s="118">
        <v>9420477</v>
      </c>
      <c r="H18" s="118">
        <v>36537085</v>
      </c>
      <c r="I18" s="118">
        <v>8424339</v>
      </c>
      <c r="J18" s="118"/>
      <c r="K18" s="120">
        <f>'age profile_2010'!K18/('age profile_2010'!D18+'age profile_2010'!E18+'age profile_2010'!K18+'age profile_2010'!L18)*G18</f>
        <v>2911218.7771291072</v>
      </c>
      <c r="L18" s="120">
        <f>'age profile_2010'!L18/('age profile_2010'!D18+'age profile_2010'!E18+'age profile_2010'!K18+'age profile_2010'!L18)*G18</f>
        <v>2984123.9549616217</v>
      </c>
      <c r="M18" s="120">
        <f>'age profile_2010'!M18/SUM('age profile_2010'!$M18:$U18)*'age profile_2019'!$H18</f>
        <v>4252404.9439573316</v>
      </c>
      <c r="N18" s="120">
        <f>'age profile_2010'!N18/SUM('age profile_2010'!$M18:$U18)*'age profile_2019'!$H18</f>
        <v>4940177.7351826066</v>
      </c>
      <c r="O18" s="120">
        <f>'age profile_2010'!O18/SUM('age profile_2010'!$M18:$U18)*'age profile_2019'!$H18</f>
        <v>3556365.7400291492</v>
      </c>
      <c r="P18" s="120">
        <f>'age profile_2010'!P18/SUM('age profile_2010'!$M18:$U18)*'age profile_2019'!$H18</f>
        <v>3466252.6409368762</v>
      </c>
      <c r="Q18" s="120">
        <f>'age profile_2010'!Q18/SUM('age profile_2010'!$M18:$U18)*'age profile_2019'!$H18</f>
        <v>4297647.27546704</v>
      </c>
      <c r="R18" s="120">
        <f>'age profile_2010'!R18/SUM('age profile_2010'!$M18:$U18)*'age profile_2019'!$H18</f>
        <v>4968655.456170043</v>
      </c>
      <c r="S18" s="120">
        <f>'age profile_2010'!S18/SUM('age profile_2010'!$M18:$U18)*'age profile_2019'!$H18</f>
        <v>4519455.0158029208</v>
      </c>
      <c r="T18" s="120">
        <f>'age profile_2010'!T18/SUM('age profile_2010'!$M18:$U18)*'age profile_2019'!$H18</f>
        <v>3272528.0560848471</v>
      </c>
      <c r="U18" s="120">
        <f>'age profile_2010'!U18/SUM('age profile_2010'!$M18:$U18)*'age profile_2019'!$H18</f>
        <v>3263598.1363691841</v>
      </c>
      <c r="V18" s="118">
        <f>11794995-8424339</f>
        <v>3370656</v>
      </c>
      <c r="W18" s="120">
        <f>'age profile_2010'!W18/('age profile_2010'!W18+'age profile_2010'!X18+'age profile_2010'!Y18+'age profile_2010'!Z18+'age profile_2010'!AB18+'age profile_2010'!AC18+'age profile_2010'!AD18+'age profile_2010'!AE18)*'age profile_2019'!I18</f>
        <v>3114824.3530156515</v>
      </c>
      <c r="X18" s="120">
        <f>'age profile_2010'!X18/('age profile_2010'!W18+'age profile_2010'!X18+'age profile_2010'!Y18+'age profile_2010'!Z18+'age profile_2010'!AB18+'age profile_2010'!AC18+'age profile_2010'!AD18+'age profile_2010'!AE18)*'age profile_2019'!I18</f>
        <v>2313195.4012094443</v>
      </c>
      <c r="Y18" s="120">
        <f>'age profile_2010'!Y18/('age profile_2010'!W18+'age profile_2010'!X18+'age profile_2010'!Y18+'age profile_2010'!Z18+'age profile_2010'!AB18+'age profile_2010'!AC18+'age profile_2010'!AD18+'age profile_2010'!AE18)*'age profile_2019'!I18</f>
        <v>1689938.7011519265</v>
      </c>
      <c r="Z18" s="118">
        <f t="shared" ref="Z18" si="5">SUM(AA18:AG18)</f>
        <v>1306380.5446229775</v>
      </c>
      <c r="AA18" s="120">
        <f>'age profile_2010'!Z18/('age profile_2010'!W18+'age profile_2010'!X18+'age profile_2010'!Y18+'age profile_2010'!Z18+'age profile_2010'!AB18+'age profile_2010'!AC18+'age profile_2010'!AD18+'age profile_2010'!AE18)*'age profile_2019'!I18</f>
        <v>836130.2542272103</v>
      </c>
      <c r="AB18" s="118"/>
      <c r="AC18" s="120">
        <f>'age profile_2010'!AB18/('age profile_2010'!W18+'age profile_2010'!X18+'age profile_2010'!Y18+'age profile_2010'!Z18+'age profile_2010'!AB18+'age profile_2010'!AC18+'age profile_2010'!AD18+'age profile_2010'!AE18)*'age profile_2019'!I18</f>
        <v>360658.77536893293</v>
      </c>
      <c r="AD18" s="120"/>
      <c r="AE18" s="120">
        <f>'age profile_2010'!AC18/('age profile_2010'!W18+'age profile_2010'!X18+'age profile_2010'!Y18+'age profile_2010'!Z18+'age profile_2010'!AB18+'age profile_2010'!AC18+'age profile_2010'!AD18+'age profile_2010'!AE18)*'age profile_2019'!I18</f>
        <v>85932.599937253617</v>
      </c>
      <c r="AF18" s="120">
        <f>'age profile_2010'!AD18/('age profile_2010'!W18+'age profile_2010'!X18+'age profile_2010'!Y18+'age profile_2010'!Z18+'age profile_2010'!AB18+'age profile_2010'!AC18+'age profile_2010'!AD18+'age profile_2010'!AE18)*'age profile_2019'!I18</f>
        <v>22321.228467362082</v>
      </c>
      <c r="AG18" s="120">
        <f>'age profile_2010'!AE18/('age profile_2010'!W18+'age profile_2010'!X18+'age profile_2010'!Y18+'age profile_2010'!Z18+'age profile_2010'!AB18+'age profile_2010'!AC18+'age profile_2010'!AD18+'age profile_2010'!AE18)*'age profile_2019'!I18</f>
        <v>1337.6866222187534</v>
      </c>
      <c r="AH18" s="118">
        <f>M18*'population by age (1 year)'!C$2</f>
        <v>1733809.8776124895</v>
      </c>
      <c r="AI18" s="118" t="s">
        <v>739</v>
      </c>
      <c r="AJ18" s="118" t="s">
        <v>740</v>
      </c>
    </row>
    <row r="19" spans="1:36" s="122" customFormat="1" x14ac:dyDescent="0.3">
      <c r="A19" s="118">
        <v>18</v>
      </c>
      <c r="B19" s="128" t="s">
        <v>608</v>
      </c>
      <c r="C19" s="118" t="s">
        <v>41</v>
      </c>
      <c r="D19" s="120">
        <f>'age profile_2010'!D19/('age profile_2010'!D19+'age profile_2010'!E19+'age profile_2010'!K19+'age profile_2010'!L19)*G19</f>
        <v>891171.31995147071</v>
      </c>
      <c r="E19" s="120">
        <f>'age profile_2010'!E19/('age profile_2010'!D19+'age profile_2010'!E19+'age profile_2010'!K19+'age profile_2010'!L19)*G19</f>
        <v>3798353.7174196211</v>
      </c>
      <c r="F19" s="118">
        <f>VLOOKUP(B19,'age5-9'!A:H,8)*K19</f>
        <v>786678.46819913643</v>
      </c>
      <c r="G19" s="118">
        <v>12969522</v>
      </c>
      <c r="H19" s="118">
        <v>40264061</v>
      </c>
      <c r="I19" s="118">
        <v>9842067</v>
      </c>
      <c r="J19" s="118"/>
      <c r="K19" s="120">
        <f>'age profile_2010'!K19/('age profile_2010'!D19+'age profile_2010'!E19+'age profile_2010'!K19+'age profile_2010'!L19)*G19</f>
        <v>4397656.5543742655</v>
      </c>
      <c r="L19" s="120">
        <f>'age profile_2010'!L19/('age profile_2010'!D19+'age profile_2010'!E19+'age profile_2010'!K19+'age profile_2010'!L19)*G19</f>
        <v>3882340.408254643</v>
      </c>
      <c r="M19" s="120">
        <f>'age profile_2010'!M19/SUM('age profile_2010'!$M19:$U19)*'age profile_2019'!$H19</f>
        <v>3779851.0744530531</v>
      </c>
      <c r="N19" s="120">
        <f>'age profile_2010'!N19/SUM('age profile_2010'!$M19:$U19)*'age profile_2019'!$H19</f>
        <v>5554675.6990522249</v>
      </c>
      <c r="O19" s="120">
        <f>'age profile_2010'!O19/SUM('age profile_2010'!$M19:$U19)*'age profile_2019'!$H19</f>
        <v>4282114.7764248364</v>
      </c>
      <c r="P19" s="120">
        <f>'age profile_2010'!P19/SUM('age profile_2010'!$M19:$U19)*'age profile_2019'!$H19</f>
        <v>3911636.8335341183</v>
      </c>
      <c r="Q19" s="120">
        <f>'age profile_2010'!Q19/SUM('age profile_2010'!$M19:$U19)*'age profile_2019'!$H19</f>
        <v>5147726.6160398778</v>
      </c>
      <c r="R19" s="120">
        <f>'age profile_2010'!R19/SUM('age profile_2010'!$M19:$U19)*'age profile_2019'!$H19</f>
        <v>5784919.9851339273</v>
      </c>
      <c r="S19" s="120">
        <f>'age profile_2010'!S19/SUM('age profile_2010'!$M19:$U19)*'age profile_2019'!$H19</f>
        <v>4833929.3600758649</v>
      </c>
      <c r="T19" s="120">
        <f>'age profile_2010'!T19/SUM('age profile_2010'!$M19:$U19)*'age profile_2019'!$H19</f>
        <v>3297422.9026400638</v>
      </c>
      <c r="U19" s="120">
        <f>'age profile_2010'!U19/SUM('age profile_2010'!$M19:$U19)*'age profile_2019'!$H19</f>
        <v>3671783.7526460346</v>
      </c>
      <c r="V19" s="118">
        <f>13211281-9842067</f>
        <v>3369214</v>
      </c>
      <c r="W19" s="120">
        <f>'age profile_2010'!W19/('age profile_2010'!W19+'age profile_2010'!X19+'age profile_2010'!Y19+'age profile_2010'!Z19+'age profile_2010'!AB19+'age profile_2010'!AC19+'age profile_2010'!AD19+'age profile_2010'!AE19)*'age profile_2019'!I19</f>
        <v>3226630.4355489588</v>
      </c>
      <c r="X19" s="120">
        <f>'age profile_2010'!X19/('age profile_2010'!W19+'age profile_2010'!X19+'age profile_2010'!Y19+'age profile_2010'!Z19+'age profile_2010'!AB19+'age profile_2010'!AC19+'age profile_2010'!AD19+'age profile_2010'!AE19)*'age profile_2019'!I19</f>
        <v>2881288.2151293564</v>
      </c>
      <c r="Y19" s="120">
        <f>'age profile_2010'!Y19/('age profile_2010'!W19+'age profile_2010'!X19+'age profile_2010'!Y19+'age profile_2010'!Z19+'age profile_2010'!AB19+'age profile_2010'!AC19+'age profile_2010'!AD19+'age profile_2010'!AE19)*'age profile_2019'!I19</f>
        <v>2003659.4797655095</v>
      </c>
      <c r="Z19" s="118">
        <f t="shared" ref="Z19" si="6">SUM(AA19:AG19)</f>
        <v>1730488.8695561755</v>
      </c>
      <c r="AA19" s="120">
        <f>'age profile_2010'!Z19/('age profile_2010'!W19+'age profile_2010'!X19+'age profile_2010'!Y19+'age profile_2010'!Z19+'age profile_2010'!AB19+'age profile_2010'!AC19+'age profile_2010'!AD19+'age profile_2010'!AE19)*'age profile_2019'!I19</f>
        <v>1119684.8923280681</v>
      </c>
      <c r="AB19" s="118"/>
      <c r="AC19" s="120">
        <f>'age profile_2010'!AB19/('age profile_2010'!W19+'age profile_2010'!X19+'age profile_2010'!Y19+'age profile_2010'!Z19+'age profile_2010'!AB19+'age profile_2010'!AC19+'age profile_2010'!AD19+'age profile_2010'!AE19)*'age profile_2019'!I19</f>
        <v>460168.56620355207</v>
      </c>
      <c r="AD19" s="120"/>
      <c r="AE19" s="120">
        <f>'age profile_2010'!AC19/('age profile_2010'!W19+'age profile_2010'!X19+'age profile_2010'!Y19+'age profile_2010'!Z19+'age profile_2010'!AB19+'age profile_2010'!AC19+'age profile_2010'!AD19+'age profile_2010'!AE19)*'age profile_2019'!I19</f>
        <v>119349.24107679876</v>
      </c>
      <c r="AF19" s="120">
        <f>'age profile_2010'!AD19/('age profile_2010'!W19+'age profile_2010'!X19+'age profile_2010'!Y19+'age profile_2010'!Z19+'age profile_2010'!AB19+'age profile_2010'!AC19+'age profile_2010'!AD19+'age profile_2010'!AE19)*'age profile_2019'!I19</f>
        <v>28837.673750237758</v>
      </c>
      <c r="AG19" s="120">
        <f>'age profile_2010'!AE19/('age profile_2010'!W19+'age profile_2010'!X19+'age profile_2010'!Y19+'age profile_2010'!Z19+'age profile_2010'!AB19+'age profile_2010'!AC19+'age profile_2010'!AD19+'age profile_2010'!AE19)*'age profile_2019'!I19</f>
        <v>2448.4961975187252</v>
      </c>
      <c r="AH19" s="118">
        <f>M19*'population by age (1 year)'!C$2</f>
        <v>1541138.0654383518</v>
      </c>
      <c r="AI19" s="118" t="s">
        <v>743</v>
      </c>
      <c r="AJ19" s="118" t="s">
        <v>744</v>
      </c>
    </row>
    <row r="20" spans="1:36" x14ac:dyDescent="0.3">
      <c r="A20" s="118">
        <v>19</v>
      </c>
      <c r="B20" s="128" t="s">
        <v>345</v>
      </c>
      <c r="C20" s="118" t="s">
        <v>43</v>
      </c>
      <c r="D20" s="120">
        <f>'age profile_2010'!D20/('age profile_2010'!D20+'age profile_2010'!E20+'age profile_2010'!K20+'age profile_2010'!L20)*G20</f>
        <v>1458564.5972616498</v>
      </c>
      <c r="E20" s="120">
        <f>'age profile_2010'!E20/('age profile_2010'!D20+'age profile_2010'!E20+'age profile_2010'!K20+'age profile_2010'!L20)*G20</f>
        <v>6129857.8424383504</v>
      </c>
      <c r="F20" s="118">
        <f>VLOOKUP(B20,'age5-9'!A:H,8)*K20</f>
        <v>1126860.1244077354</v>
      </c>
      <c r="G20" s="118">
        <v>23749882</v>
      </c>
      <c r="H20" s="118">
        <v>86697562</v>
      </c>
      <c r="I20" s="118">
        <v>10813000</v>
      </c>
      <c r="J20" s="118"/>
      <c r="K20" s="120">
        <f>'age profile_2010'!K20/('age profile_2010'!D20+'age profile_2010'!E20+'age profile_2010'!K20+'age profile_2010'!L20)*G20</f>
        <v>6971039.8857711563</v>
      </c>
      <c r="L20" s="120">
        <f>'age profile_2010'!L20/('age profile_2010'!D20+'age profile_2010'!E20+'age profile_2010'!K20+'age profile_2010'!L20)*G20</f>
        <v>9190419.6745288447</v>
      </c>
      <c r="M20" s="120">
        <f>'age profile_2010'!M20/SUM('age profile_2010'!$M20:$U20)*'age profile_2019'!$H20</f>
        <v>11311712.827308794</v>
      </c>
      <c r="N20" s="120">
        <f>'age profile_2010'!N20/SUM('age profile_2010'!$M20:$U20)*'age profile_2019'!$H20</f>
        <v>13900194.963010963</v>
      </c>
      <c r="O20" s="120">
        <f>'age profile_2010'!O20/SUM('age profile_2010'!$M20:$U20)*'age profile_2019'!$H20</f>
        <v>12027029.638262469</v>
      </c>
      <c r="P20" s="120">
        <f>'age profile_2010'!P20/SUM('age profile_2010'!$M20:$U20)*'age profile_2019'!$H20</f>
        <v>10117391.204924537</v>
      </c>
      <c r="Q20" s="120">
        <f>'age profile_2010'!Q20/SUM('age profile_2010'!$M20:$U20)*'age profile_2019'!$H20</f>
        <v>10795065.186047763</v>
      </c>
      <c r="R20" s="120">
        <f>'age profile_2010'!R20/SUM('age profile_2010'!$M20:$U20)*'age profile_2019'!$H20</f>
        <v>10038058.513593392</v>
      </c>
      <c r="S20" s="120">
        <f>'age profile_2010'!S20/SUM('age profile_2010'!$M20:$U20)*'age profile_2019'!$H20</f>
        <v>7979474.8206646312</v>
      </c>
      <c r="T20" s="120">
        <f>'age profile_2010'!T20/SUM('age profile_2010'!$M20:$U20)*'age profile_2019'!$H20</f>
        <v>5547134.0515103191</v>
      </c>
      <c r="U20" s="120">
        <f>'age profile_2010'!U20/SUM('age profile_2010'!$M20:$U20)*'age profile_2019'!$H20</f>
        <v>4981500.7946771299</v>
      </c>
      <c r="V20" s="120">
        <f>15565066-10813000</f>
        <v>4752066</v>
      </c>
      <c r="W20" s="120">
        <f>'age profile_2010'!W20/('age profile_2010'!W20+'age profile_2010'!X20+'age profile_2010'!Y20+'age profile_2010'!Z20+'age profile_2010'!AB20+'age profile_2010'!AC20+'age profile_2010'!AD20+'age profile_2010'!AE20)*'age profile_2019'!I20</f>
        <v>3307919.0515300976</v>
      </c>
      <c r="X20" s="120">
        <f>'age profile_2010'!X20/('age profile_2010'!W20+'age profile_2010'!X20+'age profile_2010'!Y20+'age profile_2010'!Z20+'age profile_2010'!AB20+'age profile_2010'!AC20+'age profile_2010'!AD20+'age profile_2010'!AE20)*'age profile_2019'!I20</f>
        <v>2916081.9883857947</v>
      </c>
      <c r="Y20" s="120">
        <f>'age profile_2010'!Y20/('age profile_2010'!W20+'age profile_2010'!X20+'age profile_2010'!Y20+'age profile_2010'!Z20+'age profile_2010'!AB20+'age profile_2010'!AC20+'age profile_2010'!AD20+'age profile_2010'!AE20)*'age profile_2019'!I20</f>
        <v>2279187.4913740181</v>
      </c>
      <c r="Z20" s="118">
        <f t="shared" si="0"/>
        <v>2309811.4687100896</v>
      </c>
      <c r="AA20" s="120">
        <f>'age profile_2010'!Z20/('age profile_2010'!W20+'age profile_2010'!X20+'age profile_2010'!Y20+'age profile_2010'!Z20+'age profile_2010'!AB20+'age profile_2010'!AC20+'age profile_2010'!AD20+'age profile_2010'!AE20)*'age profile_2019'!I20</f>
        <v>1377940.1200934215</v>
      </c>
      <c r="AB20" s="120"/>
      <c r="AC20" s="120">
        <f>'age profile_2010'!AB20/('age profile_2010'!W20+'age profile_2010'!X20+'age profile_2010'!Y20+'age profile_2010'!Z20+'age profile_2010'!AB20+'age profile_2010'!AC20+'age profile_2010'!AD20+'age profile_2010'!AE20)*'age profile_2019'!I20</f>
        <v>643901.58774510841</v>
      </c>
      <c r="AD20" s="120"/>
      <c r="AE20" s="120">
        <f>'age profile_2010'!AC20/('age profile_2010'!W20+'age profile_2010'!X20+'age profile_2010'!Y20+'age profile_2010'!Z20+'age profile_2010'!AB20+'age profile_2010'!AC20+'age profile_2010'!AD20+'age profile_2010'!AE20)*'age profile_2019'!I20</f>
        <v>217180.13843906776</v>
      </c>
      <c r="AF20" s="120">
        <f>'age profile_2010'!AD20/('age profile_2010'!W20+'age profile_2010'!X20+'age profile_2010'!Y20+'age profile_2010'!Z20+'age profile_2010'!AB20+'age profile_2010'!AC20+'age profile_2010'!AD20+'age profile_2010'!AE20)*'age profile_2019'!I20</f>
        <v>64228.104541958615</v>
      </c>
      <c r="AG20" s="120">
        <f>'age profile_2010'!AE20/('age profile_2010'!W20+'age profile_2010'!X20+'age profile_2010'!Y20+'age profile_2010'!Z20+'age profile_2010'!AB20+'age profile_2010'!AC20+'age profile_2010'!AD20+'age profile_2010'!AE20)*'age profile_2019'!I20</f>
        <v>6561.5178905329403</v>
      </c>
      <c r="AH20" s="118">
        <f>M20*'population by age (1 year)'!C$2</f>
        <v>4612062.9834590554</v>
      </c>
      <c r="AI20" s="118" t="s">
        <v>745</v>
      </c>
      <c r="AJ20" s="118" t="s">
        <v>746</v>
      </c>
    </row>
    <row r="21" spans="1:36" x14ac:dyDescent="0.3">
      <c r="A21" s="118">
        <v>20</v>
      </c>
      <c r="B21" s="128" t="s">
        <v>609</v>
      </c>
      <c r="C21" s="118" t="s">
        <v>45</v>
      </c>
      <c r="D21" s="120">
        <f>'age profile_2010'!D21/('age profile_2010'!D21+'age profile_2010'!E21+'age profile_2010'!K21+'age profile_2010'!L21)*G21</f>
        <v>845016.87903236377</v>
      </c>
      <c r="E21" s="120">
        <f>'age profile_2010'!E21/('age profile_2010'!D21+'age profile_2010'!E21+'age profile_2010'!K21+'age profile_2010'!L21)*G21</f>
        <v>3327941.0868824492</v>
      </c>
      <c r="F21" s="118">
        <f>VLOOKUP(B21,'age5-9'!A:H,8)*K21</f>
        <v>746267.29119181191</v>
      </c>
      <c r="G21" s="118">
        <v>11842501</v>
      </c>
      <c r="H21" s="118">
        <v>29920524</v>
      </c>
      <c r="I21" s="118">
        <v>6114117</v>
      </c>
      <c r="J21" s="118"/>
      <c r="K21" s="120">
        <f>'age profile_2010'!K21/('age profile_2010'!D21+'age profile_2010'!E21+'age profile_2010'!K21+'age profile_2010'!L21)*G21</f>
        <v>3933295.6363936453</v>
      </c>
      <c r="L21" s="120">
        <f>'age profile_2010'!L21/('age profile_2010'!D21+'age profile_2010'!E21+'age profile_2010'!K21+'age profile_2010'!L21)*G21</f>
        <v>3736247.3976915414</v>
      </c>
      <c r="M21" s="120">
        <f>'age profile_2010'!M21/SUM('age profile_2010'!$M21:$U21)*'age profile_2019'!$H21</f>
        <v>3420586.689455302</v>
      </c>
      <c r="N21" s="120">
        <f>'age profile_2010'!N21/SUM('age profile_2010'!$M21:$U21)*'age profile_2019'!$H21</f>
        <v>3844095.3748285561</v>
      </c>
      <c r="O21" s="120">
        <f>'age profile_2010'!O21/SUM('age profile_2010'!$M21:$U21)*'age profile_2019'!$H21</f>
        <v>3647746.3080718266</v>
      </c>
      <c r="P21" s="120">
        <f>'age profile_2010'!P21/SUM('age profile_2010'!$M21:$U21)*'age profile_2019'!$H21</f>
        <v>3472219.2255189619</v>
      </c>
      <c r="Q21" s="120">
        <f>'age profile_2010'!Q21/SUM('age profile_2010'!$M21:$U21)*'age profile_2019'!$H21</f>
        <v>3706769.0276548364</v>
      </c>
      <c r="R21" s="120">
        <f>'age profile_2010'!R21/SUM('age profile_2010'!$M21:$U21)*'age profile_2019'!$H21</f>
        <v>3783578.4596844735</v>
      </c>
      <c r="S21" s="120">
        <f>'age profile_2010'!S21/SUM('age profile_2010'!$M21:$U21)*'age profile_2019'!$H21</f>
        <v>3282211.0140237398</v>
      </c>
      <c r="T21" s="120">
        <f>'age profile_2010'!T21/SUM('age profile_2010'!$M21:$U21)*'age profile_2019'!$H21</f>
        <v>2371091.8557389602</v>
      </c>
      <c r="U21" s="120">
        <f>'age profile_2010'!U21/SUM('age profile_2010'!$M21:$U21)*'age profile_2019'!$H21</f>
        <v>2392226.0450233435</v>
      </c>
      <c r="V21" s="120">
        <f>8363779-6114117</f>
        <v>2249662</v>
      </c>
      <c r="W21" s="120">
        <f>'age profile_2010'!W21/('age profile_2010'!W21+'age profile_2010'!X21+'age profile_2010'!Y21+'age profile_2010'!Z21+'age profile_2010'!AB21+'age profile_2010'!AC21+'age profile_2010'!AD21+'age profile_2010'!AE21)*'age profile_2019'!I21</f>
        <v>2021579.1213490681</v>
      </c>
      <c r="X21" s="120">
        <f>'age profile_2010'!X21/('age profile_2010'!W21+'age profile_2010'!X21+'age profile_2010'!Y21+'age profile_2010'!Z21+'age profile_2010'!AB21+'age profile_2010'!AC21+'age profile_2010'!AD21+'age profile_2010'!AE21)*'age profile_2019'!I21</f>
        <v>1683830.0596112646</v>
      </c>
      <c r="Y21" s="120">
        <f>'age profile_2010'!Y21/('age profile_2010'!W21+'age profile_2010'!X21+'age profile_2010'!Y21+'age profile_2010'!Z21+'age profile_2010'!AB21+'age profile_2010'!AC21+'age profile_2010'!AD21+'age profile_2010'!AE21)*'age profile_2019'!I21</f>
        <v>1235597.8721424639</v>
      </c>
      <c r="Z21" s="118">
        <f t="shared" si="0"/>
        <v>1173109.9468972033</v>
      </c>
      <c r="AA21" s="120">
        <f>'age profile_2010'!Z21/('age profile_2010'!W21+'age profile_2010'!X21+'age profile_2010'!Y21+'age profile_2010'!Z21+'age profile_2010'!AB21+'age profile_2010'!AC21+'age profile_2010'!AD21+'age profile_2010'!AE21)*'age profile_2019'!I21</f>
        <v>705337.52384349483</v>
      </c>
      <c r="AB21" s="120"/>
      <c r="AC21" s="120">
        <f>'age profile_2010'!AB21/('age profile_2010'!W21+'age profile_2010'!X21+'age profile_2010'!Y21+'age profile_2010'!Z21+'age profile_2010'!AB21+'age profile_2010'!AC21+'age profile_2010'!AD21+'age profile_2010'!AE21)*'age profile_2019'!I21</f>
        <v>315005.79165589955</v>
      </c>
      <c r="AD21" s="120"/>
      <c r="AE21" s="120">
        <f>'age profile_2010'!AC21/('age profile_2010'!W21+'age profile_2010'!X21+'age profile_2010'!Y21+'age profile_2010'!Z21+'age profile_2010'!AB21+'age profile_2010'!AC21+'age profile_2010'!AD21+'age profile_2010'!AE21)*'age profile_2019'!I21</f>
        <v>114683.87384599903</v>
      </c>
      <c r="AF21" s="120">
        <f>'age profile_2010'!AD21/('age profile_2010'!W21+'age profile_2010'!X21+'age profile_2010'!Y21+'age profile_2010'!Z21+'age profile_2010'!AB21+'age profile_2010'!AC21+'age profile_2010'!AD21+'age profile_2010'!AE21)*'age profile_2019'!I21</f>
        <v>33802.939913767506</v>
      </c>
      <c r="AG21" s="120">
        <f>'age profile_2010'!AE21/('age profile_2010'!W21+'age profile_2010'!X21+'age profile_2010'!Y21+'age profile_2010'!Z21+'age profile_2010'!AB21+'age profile_2010'!AC21+'age profile_2010'!AD21+'age profile_2010'!AE21)*'age profile_2019'!I21</f>
        <v>4279.8176380421828</v>
      </c>
      <c r="AH21" s="118">
        <f>M21*'population by age (1 year)'!C$2</f>
        <v>1394657.1569659326</v>
      </c>
      <c r="AI21" s="118" t="s">
        <v>747</v>
      </c>
      <c r="AJ21" s="118" t="s">
        <v>708</v>
      </c>
    </row>
    <row r="22" spans="1:36" x14ac:dyDescent="0.3">
      <c r="A22" s="118">
        <v>21</v>
      </c>
      <c r="B22" s="128" t="s">
        <v>610</v>
      </c>
      <c r="C22" s="118" t="s">
        <v>47</v>
      </c>
      <c r="D22" s="120">
        <f>'age profile_2010'!D22/('age profile_2010'!D22+'age profile_2010'!E22+'age profile_2010'!K22+'age profile_2010'!L22)*G22</f>
        <v>142016.11830695084</v>
      </c>
      <c r="E22" s="120">
        <f>'age profile_2010'!E22/('age profile_2010'!D22+'age profile_2010'!E22+'age profile_2010'!K22+'age profile_2010'!L22)*G22</f>
        <v>567682.93984060339</v>
      </c>
      <c r="F22" s="118">
        <f>VLOOKUP(B22,'age5-9'!A:H,8)*K22</f>
        <v>121957.16356919752</v>
      </c>
      <c r="G22" s="118">
        <v>2013725</v>
      </c>
      <c r="H22" s="118">
        <v>6590908</v>
      </c>
      <c r="I22" s="118">
        <v>1051500</v>
      </c>
      <c r="J22" s="118"/>
      <c r="K22" s="120">
        <f>'age profile_2010'!K22/('age profile_2010'!D22+'age profile_2010'!E22+'age profile_2010'!K22+'age profile_2010'!L22)*G22</f>
        <v>628920.80940954667</v>
      </c>
      <c r="L22" s="120">
        <f>'age profile_2010'!L22/('age profile_2010'!D22+'age profile_2010'!E22+'age profile_2010'!K22+'age profile_2010'!L22)*G22</f>
        <v>675105.13244289916</v>
      </c>
      <c r="M22" s="120">
        <f>'age profile_2010'!M22/SUM('age profile_2010'!$M22:$U22)*'age profile_2019'!$H22</f>
        <v>863275.03571739455</v>
      </c>
      <c r="N22" s="120">
        <f>'age profile_2010'!N22/SUM('age profile_2010'!$M22:$U22)*'age profile_2019'!$H22</f>
        <v>890523.96100568213</v>
      </c>
      <c r="O22" s="120">
        <f>'age profile_2010'!O22/SUM('age profile_2010'!$M22:$U22)*'age profile_2019'!$H22</f>
        <v>852863.33809226006</v>
      </c>
      <c r="P22" s="120">
        <f>'age profile_2010'!P22/SUM('age profile_2010'!$M22:$U22)*'age profile_2019'!$H22</f>
        <v>745656.06142256246</v>
      </c>
      <c r="Q22" s="120">
        <f>'age profile_2010'!Q22/SUM('age profile_2010'!$M22:$U22)*'age profile_2019'!$H22</f>
        <v>776435.4977207504</v>
      </c>
      <c r="R22" s="120">
        <f>'age profile_2010'!R22/SUM('age profile_2010'!$M22:$U22)*'age profile_2019'!$H22</f>
        <v>806463.59714464389</v>
      </c>
      <c r="S22" s="120">
        <f>'age profile_2010'!S22/SUM('age profile_2010'!$M22:$U22)*'age profile_2019'!$H22</f>
        <v>734221.61888924753</v>
      </c>
      <c r="T22" s="120">
        <f>'age profile_2010'!T22/SUM('age profile_2010'!$M22:$U22)*'age profile_2019'!$H22</f>
        <v>485692.39963199891</v>
      </c>
      <c r="U22" s="120">
        <f>'age profile_2010'!U22/SUM('age profile_2010'!$M22:$U22)*'age profile_2019'!$H22</f>
        <v>435776.49037546018</v>
      </c>
      <c r="V22" s="120">
        <f>1476599-1051500</f>
        <v>425099</v>
      </c>
      <c r="W22" s="120">
        <f>'age profile_2010'!W22/('age profile_2010'!W22+'age profile_2010'!X22+'age profile_2010'!Y22+'age profile_2010'!Z22+'age profile_2010'!AB22+'age profile_2010'!AC22+'age profile_2010'!AD22+'age profile_2010'!AE22)*'age profile_2019'!I22</f>
        <v>290655.48206185095</v>
      </c>
      <c r="X22" s="120">
        <f>'age profile_2010'!X22/('age profile_2010'!W22+'age profile_2010'!X22+'age profile_2010'!Y22+'age profile_2010'!Z22+'age profile_2010'!AB22+'age profile_2010'!AC22+'age profile_2010'!AD22+'age profile_2010'!AE22)*'age profile_2019'!I22</f>
        <v>303528.68588873232</v>
      </c>
      <c r="Y22" s="120">
        <f>'age profile_2010'!Y22/('age profile_2010'!W22+'age profile_2010'!X22+'age profile_2010'!Y22+'age profile_2010'!Z22+'age profile_2010'!AB22+'age profile_2010'!AC22+'age profile_2010'!AD22+'age profile_2010'!AE22)*'age profile_2019'!I22</f>
        <v>227434.61601127367</v>
      </c>
      <c r="Z22" s="118">
        <f t="shared" si="0"/>
        <v>229881.21603814303</v>
      </c>
      <c r="AA22" s="120">
        <f>'age profile_2010'!Z22/('age profile_2010'!W22+'age profile_2010'!X22+'age profile_2010'!Y22+'age profile_2010'!Z22+'age profile_2010'!AB22+'age profile_2010'!AC22+'age profile_2010'!AD22+'age profile_2010'!AE22)*'age profile_2019'!I22</f>
        <v>136255.18306887985</v>
      </c>
      <c r="AB22" s="120"/>
      <c r="AC22" s="120">
        <f>'age profile_2010'!AB22/('age profile_2010'!W22+'age profile_2010'!X22+'age profile_2010'!Y22+'age profile_2010'!Z22+'age profile_2010'!AB22+'age profile_2010'!AC22+'age profile_2010'!AD22+'age profile_2010'!AE22)*'age profile_2019'!I22</f>
        <v>62700.888403589059</v>
      </c>
      <c r="AD22" s="120"/>
      <c r="AE22" s="120">
        <f>'age profile_2010'!AC22/('age profile_2010'!W22+'age profile_2010'!X22+'age profile_2010'!Y22+'age profile_2010'!Z22+'age profile_2010'!AB22+'age profile_2010'!AC22+'age profile_2010'!AD22+'age profile_2010'!AE22)*'age profile_2019'!I22</f>
        <v>22374.067076186042</v>
      </c>
      <c r="AF22" s="120">
        <f>'age profile_2010'!AD22/('age profile_2010'!W22+'age profile_2010'!X22+'age profile_2010'!Y22+'age profile_2010'!Z22+'age profile_2010'!AB22+'age profile_2010'!AC22+'age profile_2010'!AD22+'age profile_2010'!AE22)*'age profile_2019'!I22</f>
        <v>6804.7941779265439</v>
      </c>
      <c r="AG22" s="120">
        <f>'age profile_2010'!AE22/('age profile_2010'!W22+'age profile_2010'!X22+'age profile_2010'!Y22+'age profile_2010'!Z22+'age profile_2010'!AB22+'age profile_2010'!AC22+'age profile_2010'!AD22+'age profile_2010'!AE22)*'age profile_2019'!I22</f>
        <v>1746.2833115615379</v>
      </c>
      <c r="AH22" s="118">
        <f>M22*'population by age (1 year)'!C$2</f>
        <v>351978.42250418372</v>
      </c>
      <c r="AI22" s="118" t="s">
        <v>748</v>
      </c>
      <c r="AJ22" s="118" t="s">
        <v>749</v>
      </c>
    </row>
    <row r="23" spans="1:36" x14ac:dyDescent="0.3">
      <c r="A23" s="118">
        <v>22</v>
      </c>
      <c r="B23" s="128" t="s">
        <v>346</v>
      </c>
      <c r="C23" s="118" t="s">
        <v>49</v>
      </c>
      <c r="D23" s="120">
        <f>'age profile_2010'!D23/('age profile_2010'!D23+'age profile_2010'!E23+'age profile_2010'!K23+'age profile_2010'!L23)*G23</f>
        <v>273002.85674374306</v>
      </c>
      <c r="E23" s="120">
        <f>'age profile_2010'!E23/('age profile_2010'!D23+'age profile_2010'!E23+'age profile_2010'!K23+'age profile_2010'!L23)*G23</f>
        <v>1355994.2853859395</v>
      </c>
      <c r="F23" s="118">
        <f>VLOOKUP(B23,'age5-9'!A:H,8)*K23</f>
        <v>238064.44170769898</v>
      </c>
      <c r="G23" s="118">
        <v>5098363</v>
      </c>
      <c r="H23" s="118">
        <v>19945356</v>
      </c>
      <c r="I23" s="118">
        <v>5473605</v>
      </c>
      <c r="J23" s="118"/>
      <c r="K23" s="120">
        <f>'age profile_2010'!K23/('age profile_2010'!D23+'age profile_2010'!E23+'age profile_2010'!K23+'age profile_2010'!L23)*G23</f>
        <v>1601149.002032076</v>
      </c>
      <c r="L23" s="120">
        <f>'age profile_2010'!L23/('age profile_2010'!D23+'age profile_2010'!E23+'age profile_2010'!K23+'age profile_2010'!L23)*G23</f>
        <v>1868216.8558382418</v>
      </c>
      <c r="M23" s="120">
        <f>'age profile_2010'!M23/SUM('age profile_2010'!$M23:$U23)*'age profile_2019'!$H23</f>
        <v>2367224.9057083847</v>
      </c>
      <c r="N23" s="120">
        <f>'age profile_2010'!N23/SUM('age profile_2010'!$M23:$U23)*'age profile_2019'!$H23</f>
        <v>2265722.7982245446</v>
      </c>
      <c r="O23" s="120">
        <f>'age profile_2010'!O23/SUM('age profile_2010'!$M23:$U23)*'age profile_2019'!$H23</f>
        <v>1650978.0190576208</v>
      </c>
      <c r="P23" s="120">
        <f>'age profile_2010'!P23/SUM('age profile_2010'!$M23:$U23)*'age profile_2019'!$H23</f>
        <v>1535129.2345344345</v>
      </c>
      <c r="Q23" s="120">
        <f>'age profile_2010'!Q23/SUM('age profile_2010'!$M23:$U23)*'age profile_2019'!$H23</f>
        <v>3007112.2153011118</v>
      </c>
      <c r="R23" s="120">
        <f>'age profile_2010'!R23/SUM('age profile_2010'!$M23:$U23)*'age profile_2019'!$H23</f>
        <v>2873901.5056247837</v>
      </c>
      <c r="S23" s="120">
        <f>'age profile_2010'!S23/SUM('age profile_2010'!$M23:$U23)*'age profile_2019'!$H23</f>
        <v>2320956.6613999819</v>
      </c>
      <c r="T23" s="120">
        <f>'age profile_2010'!T23/SUM('age profile_2010'!$M23:$U23)*'age profile_2019'!$H23</f>
        <v>1616333.2399431327</v>
      </c>
      <c r="U23" s="120">
        <f>'age profile_2010'!U23/SUM('age profile_2010'!$M23:$U23)*'age profile_2019'!$H23</f>
        <v>2307997.4202060048</v>
      </c>
      <c r="V23" s="120">
        <f>7010440-5473605</f>
        <v>1536835</v>
      </c>
      <c r="W23" s="120">
        <f>'age profile_2010'!W23/('age profile_2010'!W23+'age profile_2010'!X23+'age profile_2010'!Y23+'age profile_2010'!Z23+'age profile_2010'!AB23+'age profile_2010'!AC23+'age profile_2010'!AD23+'age profile_2010'!AE23)*'age profile_2019'!I23</f>
        <v>2051191.1720870936</v>
      </c>
      <c r="X23" s="120">
        <f>'age profile_2010'!X23/('age profile_2010'!W23+'age profile_2010'!X23+'age profile_2010'!Y23+'age profile_2010'!Z23+'age profile_2010'!AB23+'age profile_2010'!AC23+'age profile_2010'!AD23+'age profile_2010'!AE23)*'age profile_2019'!I23</f>
        <v>1475040.0304926736</v>
      </c>
      <c r="Y23" s="120">
        <f>'age profile_2010'!Y23/('age profile_2010'!W23+'age profile_2010'!X23+'age profile_2010'!Y23+'age profile_2010'!Z23+'age profile_2010'!AB23+'age profile_2010'!AC23+'age profile_2010'!AD23+'age profile_2010'!AE23)*'age profile_2019'!I23</f>
        <v>1019076.2446990478</v>
      </c>
      <c r="Z23" s="118">
        <f t="shared" ref="Z23" si="7">SUM(AA23:AG23)</f>
        <v>928297.55272118503</v>
      </c>
      <c r="AA23" s="120">
        <f>'age profile_2010'!Z23/('age profile_2010'!W23+'age profile_2010'!X23+'age profile_2010'!Y23+'age profile_2010'!Z23+'age profile_2010'!AB23+'age profile_2010'!AC23+'age profile_2010'!AD23+'age profile_2010'!AE23)*'age profile_2019'!I23</f>
        <v>601375.44852708944</v>
      </c>
      <c r="AB23" s="120"/>
      <c r="AC23" s="120">
        <f>'age profile_2010'!AB23/('age profile_2010'!W23+'age profile_2010'!X23+'age profile_2010'!Y23+'age profile_2010'!Z23+'age profile_2010'!AB23+'age profile_2010'!AC23+'age profile_2010'!AD23+'age profile_2010'!AE23)*'age profile_2019'!I23</f>
        <v>239596.11366572152</v>
      </c>
      <c r="AD23" s="120"/>
      <c r="AE23" s="120">
        <f>'age profile_2010'!AC23/('age profile_2010'!W23+'age profile_2010'!X23+'age profile_2010'!Y23+'age profile_2010'!Z23+'age profile_2010'!AB23+'age profile_2010'!AC23+'age profile_2010'!AD23+'age profile_2010'!AE23)*'age profile_2019'!I23</f>
        <v>70198.454646029481</v>
      </c>
      <c r="AF23" s="120">
        <f>'age profile_2010'!AD23/('age profile_2010'!W23+'age profile_2010'!X23+'age profile_2010'!Y23+'age profile_2010'!Z23+'age profile_2010'!AB23+'age profile_2010'!AC23+'age profile_2010'!AD23+'age profile_2010'!AE23)*'age profile_2019'!I23</f>
        <v>15790.484125533643</v>
      </c>
      <c r="AG23" s="120">
        <f>'age profile_2010'!AE23/('age profile_2010'!W23+'age profile_2010'!X23+'age profile_2010'!Y23+'age profile_2010'!Z23+'age profile_2010'!AB23+'age profile_2010'!AC23+'age profile_2010'!AD23+'age profile_2010'!AE23)*'age profile_2019'!I23</f>
        <v>1337.0517568109472</v>
      </c>
      <c r="AH23" s="118">
        <f>M23*'population by age (1 year)'!C$2</f>
        <v>965175.7013122018</v>
      </c>
      <c r="AI23" s="118" t="s">
        <v>752</v>
      </c>
      <c r="AJ23" s="118" t="s">
        <v>709</v>
      </c>
    </row>
    <row r="24" spans="1:36" x14ac:dyDescent="0.3">
      <c r="A24" s="118">
        <v>23</v>
      </c>
      <c r="B24" s="128" t="s">
        <v>347</v>
      </c>
      <c r="C24" s="118" t="s">
        <v>51</v>
      </c>
      <c r="D24" s="120">
        <f>'age profile_2010'!D24/('age profile_2010'!D24+'age profile_2010'!E24+'age profile_2010'!K24+'age profile_2010'!L24)*G24</f>
        <v>731348.34098351724</v>
      </c>
      <c r="E24" s="120">
        <f>'age profile_2010'!E24/('age profile_2010'!D24+'age profile_2010'!E24+'age profile_2010'!K24+'age profile_2010'!L24)*G24</f>
        <v>3490544.2099343576</v>
      </c>
      <c r="F24" s="118">
        <f>VLOOKUP(B24,'age5-9'!A:H,8)*K24</f>
        <v>630604.98275008902</v>
      </c>
      <c r="G24" s="118">
        <v>13471112</v>
      </c>
      <c r="H24" s="118">
        <v>52039950</v>
      </c>
      <c r="I24" s="118">
        <v>14167600</v>
      </c>
      <c r="J24" s="118"/>
      <c r="K24" s="120">
        <f>'age profile_2010'!K24/('age profile_2010'!D24+'age profile_2010'!E24+'age profile_2010'!K24+'age profile_2010'!L24)*G24</f>
        <v>4222456.1865612259</v>
      </c>
      <c r="L24" s="120">
        <f>'age profile_2010'!L24/('age profile_2010'!D24+'age profile_2010'!E24+'age profile_2010'!K24+'age profile_2010'!L24)*G24</f>
        <v>5026763.2625208991</v>
      </c>
      <c r="M24" s="120">
        <f>'age profile_2010'!M24/SUM('age profile_2010'!$M24:$U24)*'age profile_2019'!$H24</f>
        <v>6025544.0169785237</v>
      </c>
      <c r="N24" s="120">
        <f>'age profile_2010'!N24/SUM('age profile_2010'!$M24:$U24)*'age profile_2019'!$H24</f>
        <v>6167954.3006581599</v>
      </c>
      <c r="O24" s="120">
        <f>'age profile_2010'!O24/SUM('age profile_2010'!$M24:$U24)*'age profile_2019'!$H24</f>
        <v>4377801.4167740829</v>
      </c>
      <c r="P24" s="120">
        <f>'age profile_2010'!P24/SUM('age profile_2010'!$M24:$U24)*'age profile_2019'!$H24</f>
        <v>4726923.6045432752</v>
      </c>
      <c r="Q24" s="120">
        <f>'age profile_2010'!Q24/SUM('age profile_2010'!$M24:$U24)*'age profile_2019'!$H24</f>
        <v>7833571.284998931</v>
      </c>
      <c r="R24" s="120">
        <f>'age profile_2010'!R24/SUM('age profile_2010'!$M24:$U24)*'age profile_2019'!$H24</f>
        <v>7583244.5646887049</v>
      </c>
      <c r="S24" s="120">
        <f>'age profile_2010'!S24/SUM('age profile_2010'!$M24:$U24)*'age profile_2019'!$H24</f>
        <v>5754888.3486857815</v>
      </c>
      <c r="T24" s="120">
        <f>'age profile_2010'!T24/SUM('age profile_2010'!$M24:$U24)*'age profile_2019'!$H24</f>
        <v>4017653.5725974282</v>
      </c>
      <c r="U24" s="120">
        <f>'age profile_2010'!U24/SUM('age profile_2010'!$M24:$U24)*'age profile_2019'!$H24</f>
        <v>5552368.8900751118</v>
      </c>
      <c r="V24" s="118">
        <f>18163804-14167600</f>
        <v>3996204</v>
      </c>
      <c r="W24" s="120">
        <f>'age profile_2010'!W24/('age profile_2010'!W24+'age profile_2010'!X24+'age profile_2010'!Y24+'age profile_2010'!Z24+'age profile_2010'!AB24+'age profile_2010'!AC24+'age profile_2010'!AD24+'age profile_2010'!AE24)*'age profile_2019'!I24</f>
        <v>5301854.2504821131</v>
      </c>
      <c r="X24" s="120">
        <f>'age profile_2010'!X24/('age profile_2010'!W24+'age profile_2010'!X24+'age profile_2010'!Y24+'age profile_2010'!Z24+'age profile_2010'!AB24+'age profile_2010'!AC24+'age profile_2010'!AD24+'age profile_2010'!AE24)*'age profile_2019'!I24</f>
        <v>3875362.8522696081</v>
      </c>
      <c r="Y24" s="120">
        <f>'age profile_2010'!Y24/('age profile_2010'!W24+'age profile_2010'!X24+'age profile_2010'!Y24+'age profile_2010'!Z24+'age profile_2010'!AB24+'age profile_2010'!AC24+'age profile_2010'!AD24+'age profile_2010'!AE24)*'age profile_2019'!I24</f>
        <v>2555893.8264429295</v>
      </c>
      <c r="Z24" s="118">
        <f t="shared" ref="Z24" si="8">SUM(AA24:AG24)</f>
        <v>2434489.0708053494</v>
      </c>
      <c r="AA24" s="120">
        <f>'age profile_2010'!Z24/('age profile_2010'!W24+'age profile_2010'!X24+'age profile_2010'!Y24+'age profile_2010'!Z24+'age profile_2010'!AB24+'age profile_2010'!AC24+'age profile_2010'!AD24+'age profile_2010'!AE24)*'age profile_2019'!I24</f>
        <v>1548166.4570592018</v>
      </c>
      <c r="AB24" s="118"/>
      <c r="AC24" s="120">
        <f>'age profile_2010'!AB24/('age profile_2010'!W24+'age profile_2010'!X24+'age profile_2010'!Y24+'age profile_2010'!Z24+'age profile_2010'!AB24+'age profile_2010'!AC24+'age profile_2010'!AD24+'age profile_2010'!AE24)*'age profile_2019'!I24</f>
        <v>642729.54495408386</v>
      </c>
      <c r="AD24" s="120"/>
      <c r="AE24" s="120">
        <f>'age profile_2010'!AC24/('age profile_2010'!W24+'age profile_2010'!X24+'age profile_2010'!Y24+'age profile_2010'!Z24+'age profile_2010'!AB24+'age profile_2010'!AC24+'age profile_2010'!AD24+'age profile_2010'!AE24)*'age profile_2019'!I24</f>
        <v>191075.40778742213</v>
      </c>
      <c r="AF24" s="120">
        <f>'age profile_2010'!AD24/('age profile_2010'!W24+'age profile_2010'!X24+'age profile_2010'!Y24+'age profile_2010'!Z24+'age profile_2010'!AB24+'age profile_2010'!AC24+'age profile_2010'!AD24+'age profile_2010'!AE24)*'age profile_2019'!I24</f>
        <v>47325.586862857526</v>
      </c>
      <c r="AG24" s="120">
        <f>'age profile_2010'!AE24/('age profile_2010'!W24+'age profile_2010'!X24+'age profile_2010'!Y24+'age profile_2010'!Z24+'age profile_2010'!AB24+'age profile_2010'!AC24+'age profile_2010'!AD24+'age profile_2010'!AE24)*'age profile_2019'!I24</f>
        <v>5192.0741417842264</v>
      </c>
      <c r="AH24" s="118">
        <f>M24*'population by age (1 year)'!C$2</f>
        <v>2456762.2021678821</v>
      </c>
      <c r="AI24" s="118" t="s">
        <v>753</v>
      </c>
      <c r="AJ24" s="118" t="s">
        <v>751</v>
      </c>
    </row>
    <row r="25" spans="1:36" x14ac:dyDescent="0.3">
      <c r="A25" s="118">
        <v>24</v>
      </c>
      <c r="B25" s="128" t="s">
        <v>348</v>
      </c>
      <c r="C25" s="118" t="s">
        <v>53</v>
      </c>
      <c r="D25" s="120">
        <f>'age profile_2010'!D25/('age profile_2010'!D25+'age profile_2010'!E25+'age profile_2010'!K25+'age profile_2010'!L25)*G25</f>
        <v>500393.39365626971</v>
      </c>
      <c r="E25" s="120">
        <f>'age profile_2010'!E25/('age profile_2010'!D25+'age profile_2010'!E25+'age profile_2010'!K25+'age profile_2010'!L25)*G25</f>
        <v>2067680.0141584156</v>
      </c>
      <c r="F25" s="118">
        <f>VLOOKUP(B25,'age5-9'!A:H,8)*K25</f>
        <v>534989.20203418576</v>
      </c>
      <c r="G25" s="118">
        <v>9242038</v>
      </c>
      <c r="H25" s="118">
        <v>23388753</v>
      </c>
      <c r="I25" s="118">
        <v>4456455</v>
      </c>
      <c r="J25" s="118"/>
      <c r="K25" s="120">
        <f>'age profile_2010'!K25/('age profile_2010'!D25+'age profile_2010'!E25+'age profile_2010'!K25+'age profile_2010'!L25)*G25</f>
        <v>2890885.1684446614</v>
      </c>
      <c r="L25" s="120">
        <f>'age profile_2010'!L25/('age profile_2010'!D25+'age profile_2010'!E25+'age profile_2010'!K25+'age profile_2010'!L25)*G25</f>
        <v>3783079.4237406533</v>
      </c>
      <c r="M25" s="120">
        <f>'age profile_2010'!M25/SUM('age profile_2010'!$M25:$U25)*'age profile_2019'!$H25</f>
        <v>3074921.8016491858</v>
      </c>
      <c r="N25" s="120">
        <f>'age profile_2010'!N25/SUM('age profile_2010'!$M25:$U25)*'age profile_2019'!$H25</f>
        <v>2638516.72981958</v>
      </c>
      <c r="O25" s="120">
        <f>'age profile_2010'!O25/SUM('age profile_2010'!$M25:$U25)*'age profile_2019'!$H25</f>
        <v>2239788.691801941</v>
      </c>
      <c r="P25" s="120">
        <f>'age profile_2010'!P25/SUM('age profile_2010'!$M25:$U25)*'age profile_2019'!$H25</f>
        <v>2613662.2185251671</v>
      </c>
      <c r="Q25" s="120">
        <f>'age profile_2010'!Q25/SUM('age profile_2010'!$M25:$U25)*'age profile_2019'!$H25</f>
        <v>3366369.9527488486</v>
      </c>
      <c r="R25" s="120">
        <f>'age profile_2010'!R25/SUM('age profile_2010'!$M25:$U25)*'age profile_2019'!$H25</f>
        <v>3231245.2274568062</v>
      </c>
      <c r="S25" s="120">
        <f>'age profile_2010'!S25/SUM('age profile_2010'!$M25:$U25)*'age profile_2019'!$H25</f>
        <v>2520519.5106481267</v>
      </c>
      <c r="T25" s="120">
        <f>'age profile_2010'!T25/SUM('age profile_2010'!$M25:$U25)*'age profile_2019'!$H25</f>
        <v>1726570.2727335324</v>
      </c>
      <c r="U25" s="120">
        <f>'age profile_2010'!U25/SUM('age profile_2010'!$M25:$U25)*'age profile_2019'!$H25</f>
        <v>1977158.5946168129</v>
      </c>
      <c r="V25" s="120">
        <f>5931357-4456455</f>
        <v>1474902</v>
      </c>
      <c r="W25" s="120">
        <f>'age profile_2010'!W25/('age profile_2010'!W25+'age profile_2010'!X25+'age profile_2010'!Y25+'age profile_2010'!Z25+'age profile_2010'!AB25+'age profile_2010'!AC25+'age profile_2010'!AD25+'age profile_2010'!AE25)*'age profile_2019'!I25</f>
        <v>1666165.3283941047</v>
      </c>
      <c r="X25" s="120">
        <f>'age profile_2010'!X25/('age profile_2010'!W25+'age profile_2010'!X25+'age profile_2010'!Y25+'age profile_2010'!Z25+'age profile_2010'!AB25+'age profile_2010'!AC25+'age profile_2010'!AD25+'age profile_2010'!AE25)*'age profile_2019'!I25</f>
        <v>1335849.2548132448</v>
      </c>
      <c r="Y25" s="120">
        <f>'age profile_2010'!Y25/('age profile_2010'!W25+'age profile_2010'!X25+'age profile_2010'!Y25+'age profile_2010'!Z25+'age profile_2010'!AB25+'age profile_2010'!AC25+'age profile_2010'!AD25+'age profile_2010'!AE25)*'age profile_2019'!I25</f>
        <v>830659.44605428423</v>
      </c>
      <c r="Z25" s="118">
        <f t="shared" si="0"/>
        <v>623780.97073836636</v>
      </c>
      <c r="AA25" s="120">
        <f>'age profile_2010'!Z25/('age profile_2010'!W25+'age profile_2010'!X25+'age profile_2010'!Y25+'age profile_2010'!Z25+'age profile_2010'!AB25+'age profile_2010'!AC25+'age profile_2010'!AD25+'age profile_2010'!AE25)*'age profile_2019'!I25</f>
        <v>426156.52326149691</v>
      </c>
      <c r="AB25" s="120"/>
      <c r="AC25" s="120">
        <f>'age profile_2010'!AB25/('age profile_2010'!W25+'age profile_2010'!X25+'age profile_2010'!Y25+'age profile_2010'!Z25+'age profile_2010'!AB25+'age profile_2010'!AC25+'age profile_2010'!AD25+'age profile_2010'!AE25)*'age profile_2019'!I25</f>
        <v>144394.64316906358</v>
      </c>
      <c r="AD25" s="120"/>
      <c r="AE25" s="120">
        <f>'age profile_2010'!AC25/('age profile_2010'!W25+'age profile_2010'!X25+'age profile_2010'!Y25+'age profile_2010'!Z25+'age profile_2010'!AB25+'age profile_2010'!AC25+'age profile_2010'!AD25+'age profile_2010'!AE25)*'age profile_2019'!I25</f>
        <v>41476.717709548771</v>
      </c>
      <c r="AF25" s="120">
        <f>'age profile_2010'!AD25/('age profile_2010'!W25+'age profile_2010'!X25+'age profile_2010'!Y25+'age profile_2010'!Z25+'age profile_2010'!AB25+'age profile_2010'!AC25+'age profile_2010'!AD25+'age profile_2010'!AE25)*'age profile_2019'!I25</f>
        <v>10529.328301909238</v>
      </c>
      <c r="AG25" s="120">
        <f>'age profile_2010'!AE25/('age profile_2010'!W25+'age profile_2010'!X25+'age profile_2010'!Y25+'age profile_2010'!Z25+'age profile_2010'!AB25+'age profile_2010'!AC25+'age profile_2010'!AD25+'age profile_2010'!AE25)*'age profile_2019'!I25</f>
        <v>1223.758296347773</v>
      </c>
      <c r="AH25" s="118">
        <f>M25*'population by age (1 year)'!C$2</f>
        <v>1253721.0973195701</v>
      </c>
      <c r="AI25" s="118" t="s">
        <v>754</v>
      </c>
      <c r="AJ25" s="118" t="s">
        <v>750</v>
      </c>
    </row>
    <row r="26" spans="1:36" s="123" customFormat="1" ht="15" x14ac:dyDescent="0.3">
      <c r="A26" s="123">
        <v>25</v>
      </c>
      <c r="B26" s="150" t="s">
        <v>349</v>
      </c>
      <c r="C26" s="123" t="s">
        <v>350</v>
      </c>
      <c r="D26" s="120">
        <f>'age profile_2010'!D26/('age profile_2010'!D26+'age profile_2010'!E26+'age profile_2010'!K26+'age profile_2010'!L26)*G26</f>
        <v>540033.14356795023</v>
      </c>
      <c r="E26" s="120">
        <f>'age profile_2010'!E26/('age profile_2010'!D26+'age profile_2010'!E26+'age profile_2010'!K26+'age profile_2010'!L26)*G26</f>
        <v>2289243.8060977925</v>
      </c>
      <c r="F26" s="118">
        <f>VLOOKUP(B26,'age5-9'!A:H,8)*K26</f>
        <v>520693.05094904039</v>
      </c>
      <c r="G26" s="118">
        <v>9237474</v>
      </c>
      <c r="H26" s="118">
        <v>30933773</v>
      </c>
      <c r="I26" s="118">
        <v>5073259</v>
      </c>
      <c r="J26" s="118"/>
      <c r="K26" s="120">
        <f>'age profile_2010'!K26/('age profile_2010'!D26+'age profile_2010'!E26+'age profile_2010'!K26+'age profile_2010'!L26)*G26</f>
        <v>3038413.7771138488</v>
      </c>
      <c r="L26" s="120">
        <f>'age profile_2010'!L26/('age profile_2010'!D26+'age profile_2010'!E26+'age profile_2010'!K26+'age profile_2010'!L26)*G26</f>
        <v>3369783.2732204082</v>
      </c>
      <c r="M26" s="120">
        <f>'age profile_2010'!M26/SUM('age profile_2010'!$M26:$U26)*'age profile_2019'!$H26</f>
        <v>3643567.9008280016</v>
      </c>
      <c r="N26" s="120">
        <f>'age profile_2010'!N26/SUM('age profile_2010'!$M26:$U26)*'age profile_2019'!$H26</f>
        <v>4028909.0846541827</v>
      </c>
      <c r="O26" s="120">
        <f>'age profile_2010'!O26/SUM('age profile_2010'!$M26:$U26)*'age profile_2019'!$H26</f>
        <v>3524643.938298109</v>
      </c>
      <c r="P26" s="120">
        <f>'age profile_2010'!P26/SUM('age profile_2010'!$M26:$U26)*'age profile_2019'!$H26</f>
        <v>3878809.289502095</v>
      </c>
      <c r="Q26" s="120">
        <f>'age profile_2010'!Q26/SUM('age profile_2010'!$M26:$U26)*'age profile_2019'!$H26</f>
        <v>4321102.6027517384</v>
      </c>
      <c r="R26" s="120">
        <f>'age profile_2010'!R26/SUM('age profile_2010'!$M26:$U26)*'age profile_2019'!$H26</f>
        <v>4013828.2689116863</v>
      </c>
      <c r="S26" s="120">
        <f>'age profile_2010'!S26/SUM('age profile_2010'!$M26:$U26)*'age profile_2019'!$H26</f>
        <v>3300494.6346294382</v>
      </c>
      <c r="T26" s="120">
        <f>'age profile_2010'!T26/SUM('age profile_2010'!$M26:$U26)*'age profile_2019'!$H26</f>
        <v>2104852.1247191844</v>
      </c>
      <c r="U26" s="120">
        <f>'age profile_2010'!U26/SUM('age profile_2010'!$M26:$U26)*'age profile_2019'!$H26</f>
        <v>2117565.1557055642</v>
      </c>
      <c r="V26" s="118">
        <f>7038030-5073259</f>
        <v>1964771</v>
      </c>
      <c r="W26" s="120">
        <f>'age profile_2010'!W26/('age profile_2010'!W26+'age profile_2010'!X26+'age profile_2010'!Y26+'age profile_2010'!Z26+'age profile_2010'!AB26+'age profile_2010'!AC26+'age profile_2010'!AD26+'age profile_2010'!AE26)*'age profile_2019'!I26</f>
        <v>1785049.2960447003</v>
      </c>
      <c r="X26" s="120">
        <f>'age profile_2010'!X26/('age profile_2010'!W26+'age profile_2010'!X26+'age profile_2010'!Y26+'age profile_2010'!Z26+'age profile_2010'!AB26+'age profile_2010'!AC26+'age profile_2010'!AD26+'age profile_2010'!AE26)*'age profile_2019'!I26</f>
        <v>1453087.3826532448</v>
      </c>
      <c r="Y26" s="120">
        <f>'age profile_2010'!Y26/('age profile_2010'!W26+'age profile_2010'!X26+'age profile_2010'!Y26+'age profile_2010'!Z26+'age profile_2010'!AB26+'age profile_2010'!AC26+'age profile_2010'!AD26+'age profile_2010'!AE26)*'age profile_2019'!I26</f>
        <v>1004758.7630320465</v>
      </c>
      <c r="Z26" s="118">
        <f t="shared" ref="Z26" si="9">SUM(AA26:AG26)</f>
        <v>830363.55827000854</v>
      </c>
      <c r="AA26" s="120">
        <f>'age profile_2010'!Z26/('age profile_2010'!W26+'age profile_2010'!X26+'age profile_2010'!Y26+'age profile_2010'!Z26+'age profile_2010'!AB26+'age profile_2010'!AC26+'age profile_2010'!AD26+'age profile_2010'!AE26)*'age profile_2019'!I26</f>
        <v>555059.60799309879</v>
      </c>
      <c r="AB26" s="118"/>
      <c r="AC26" s="120">
        <f>'age profile_2010'!AB26/('age profile_2010'!W26+'age profile_2010'!X26+'age profile_2010'!Y26+'age profile_2010'!Z26+'age profile_2010'!AB26+'age profile_2010'!AC26+'age profile_2010'!AD26+'age profile_2010'!AE26)*'age profile_2019'!I26</f>
        <v>206073.8211919415</v>
      </c>
      <c r="AD26" s="120"/>
      <c r="AE26" s="120">
        <f>'age profile_2010'!AC26/('age profile_2010'!W26+'age profile_2010'!X26+'age profile_2010'!Y26+'age profile_2010'!Z26+'age profile_2010'!AB26+'age profile_2010'!AC26+'age profile_2010'!AD26+'age profile_2010'!AE26)*'age profile_2019'!I26</f>
        <v>54734.582364610324</v>
      </c>
      <c r="AF26" s="120">
        <f>'age profile_2010'!AD26/('age profile_2010'!W26+'age profile_2010'!X26+'age profile_2010'!Y26+'age profile_2010'!Z26+'age profile_2010'!AB26+'age profile_2010'!AC26+'age profile_2010'!AD26+'age profile_2010'!AE26)*'age profile_2019'!I26</f>
        <v>13371.041947822177</v>
      </c>
      <c r="AG26" s="120">
        <f>'age profile_2010'!AE26/('age profile_2010'!W26+'age profile_2010'!X26+'age profile_2010'!Y26+'age profile_2010'!Z26+'age profile_2010'!AB26+'age profile_2010'!AC26+'age profile_2010'!AD26+'age profile_2010'!AE26)*'age profile_2019'!I26</f>
        <v>1124.5047725357542</v>
      </c>
      <c r="AH26" s="118">
        <f>M26*'population by age (1 year)'!C$2</f>
        <v>1485572.0702667821</v>
      </c>
      <c r="AI26" s="118" t="s">
        <v>755</v>
      </c>
      <c r="AJ26" s="118" t="s">
        <v>756</v>
      </c>
    </row>
    <row r="27" spans="1:36" x14ac:dyDescent="0.3">
      <c r="A27" s="118">
        <v>26</v>
      </c>
      <c r="B27" s="128" t="s">
        <v>351</v>
      </c>
      <c r="C27" s="118" t="s">
        <v>56</v>
      </c>
      <c r="D27" s="120">
        <f>'age profile_2010'!D27/('age profile_2010'!D27+'age profile_2010'!E27+'age profile_2010'!K27+'age profile_2010'!L27)*G27</f>
        <v>55363.720977908502</v>
      </c>
      <c r="E27" s="120">
        <f>'age profile_2010'!E27/('age profile_2010'!D27+'age profile_2010'!E27+'age profile_2010'!K27+'age profile_2010'!L27)*G27</f>
        <v>245862.71680807561</v>
      </c>
      <c r="F27" s="118">
        <f>VLOOKUP(B27,'age5-9'!A:H,8)*K27</f>
        <v>57411.891247730069</v>
      </c>
      <c r="G27" s="118">
        <v>894865</v>
      </c>
      <c r="H27" s="118">
        <v>2442251</v>
      </c>
      <c r="I27" s="118">
        <v>206963</v>
      </c>
      <c r="J27" s="118"/>
      <c r="K27" s="120">
        <f>'age profile_2010'!K27/('age profile_2010'!D27+'age profile_2010'!E27+'age profile_2010'!K27+'age profile_2010'!L27)*G27</f>
        <v>291057.01700460853</v>
      </c>
      <c r="L27" s="120">
        <f>'age profile_2010'!L27/('age profile_2010'!D27+'age profile_2010'!E27+'age profile_2010'!K27+'age profile_2010'!L27)*G27</f>
        <v>302581.54520940734</v>
      </c>
      <c r="M27" s="120">
        <f>'age profile_2010'!M27/SUM('age profile_2010'!$M27:$U27)*'age profile_2019'!$H27</f>
        <v>324028.77553286182</v>
      </c>
      <c r="N27" s="120">
        <f>'age profile_2010'!N27/SUM('age profile_2010'!$M27:$U27)*'age profile_2019'!$H27</f>
        <v>392210.39153165801</v>
      </c>
      <c r="O27" s="120">
        <f>'age profile_2010'!O27/SUM('age profile_2010'!$M27:$U27)*'age profile_2019'!$H27</f>
        <v>371361.45773769723</v>
      </c>
      <c r="P27" s="120">
        <f>'age profile_2010'!P27/SUM('age profile_2010'!$M27:$U27)*'age profile_2019'!$H27</f>
        <v>302062.93457136751</v>
      </c>
      <c r="Q27" s="120">
        <f>'age profile_2010'!Q27/SUM('age profile_2010'!$M27:$U27)*'age profile_2019'!$H27</f>
        <v>297688.68077697547</v>
      </c>
      <c r="R27" s="120">
        <f>'age profile_2010'!R27/SUM('age profile_2010'!$M27:$U27)*'age profile_2019'!$H27</f>
        <v>272914.41086046089</v>
      </c>
      <c r="S27" s="120">
        <f>'age profile_2010'!S27/SUM('age profile_2010'!$M27:$U27)*'age profile_2019'!$H27</f>
        <v>224889.79688409876</v>
      </c>
      <c r="T27" s="120">
        <f>'age profile_2010'!T27/SUM('age profile_2010'!$M27:$U27)*'age profile_2019'!$H27</f>
        <v>144771.75926957096</v>
      </c>
      <c r="U27" s="120">
        <f>'age profile_2010'!U27/SUM('age profile_2010'!$M27:$U27)*'age profile_2019'!$H27</f>
        <v>112322.79283530937</v>
      </c>
      <c r="V27" s="118">
        <f>310984-206963</f>
        <v>104021</v>
      </c>
      <c r="W27" s="120">
        <f>'age profile_2010'!W27/('age profile_2010'!W27+'age profile_2010'!X27+'age profile_2010'!Y27+'age profile_2010'!Z27+'age profile_2010'!AB27+'age profile_2010'!AC27+'age profile_2010'!AD27+'age profile_2010'!AE27)*'age profile_2019'!I27</f>
        <v>81819.874368901554</v>
      </c>
      <c r="X27" s="120">
        <f>'age profile_2010'!X27/('age profile_2010'!W27+'age profile_2010'!X27+'age profile_2010'!Y27+'age profile_2010'!Z27+'age profile_2010'!AB27+'age profile_2010'!AC27+'age profile_2010'!AD27+'age profile_2010'!AE27)*'age profile_2019'!I27</f>
        <v>58293.10751563032</v>
      </c>
      <c r="Y27" s="120">
        <f>'age profile_2010'!Y27/('age profile_2010'!W27+'age profile_2010'!X27+'age profile_2010'!Y27+'age profile_2010'!Z27+'age profile_2010'!AB27+'age profile_2010'!AC27+'age profile_2010'!AD27+'age profile_2010'!AE27)*'age profile_2019'!I27</f>
        <v>35846.444214821982</v>
      </c>
      <c r="Z27" s="118">
        <f t="shared" ref="Z27" si="10">SUM(AA27:AG27)</f>
        <v>31003.573900646144</v>
      </c>
      <c r="AA27" s="120">
        <f>'age profile_2010'!Z27/('age profile_2010'!W27+'age profile_2010'!X27+'age profile_2010'!Y27+'age profile_2010'!Z27+'age profile_2010'!AB27+'age profile_2010'!AC27+'age profile_2010'!AD27+'age profile_2010'!AE27)*'age profile_2019'!I27</f>
        <v>20276.981603317028</v>
      </c>
      <c r="AB27" s="118"/>
      <c r="AC27" s="120">
        <f>'age profile_2010'!AB27/('age profile_2010'!W27+'age profile_2010'!X27+'age profile_2010'!Y27+'age profile_2010'!Z27+'age profile_2010'!AB27+'age profile_2010'!AC27+'age profile_2010'!AD27+'age profile_2010'!AE27)*'age profile_2019'!I27</f>
        <v>7886.9215541371286</v>
      </c>
      <c r="AD27" s="120"/>
      <c r="AE27" s="120">
        <f>'age profile_2010'!AC27/('age profile_2010'!W27+'age profile_2010'!X27+'age profile_2010'!Y27+'age profile_2010'!Z27+'age profile_2010'!AB27+'age profile_2010'!AC27+'age profile_2010'!AD27+'age profile_2010'!AE27)*'age profile_2019'!I27</f>
        <v>2053.2795602584561</v>
      </c>
      <c r="AF27" s="120">
        <f>'age profile_2010'!AD27/('age profile_2010'!W27+'age profile_2010'!X27+'age profile_2010'!Y27+'age profile_2010'!Z27+'age profile_2010'!AB27+'age profile_2010'!AC27+'age profile_2010'!AD27+'age profile_2010'!AE27)*'age profile_2019'!I27</f>
        <v>734.95768043529449</v>
      </c>
      <c r="AG27" s="120">
        <f>'age profile_2010'!AE27/('age profile_2010'!W27+'age profile_2010'!X27+'age profile_2010'!Y27+'age profile_2010'!Z27+'age profile_2010'!AB27+'age profile_2010'!AC27+'age profile_2010'!AD27+'age profile_2010'!AE27)*'age profile_2019'!I27</f>
        <v>51.433502498234226</v>
      </c>
      <c r="AH27" s="118">
        <f>M27*'population by age (1 year)'!C$2</f>
        <v>132114.48558018447</v>
      </c>
      <c r="AI27" s="118" t="s">
        <v>758</v>
      </c>
      <c r="AJ27" s="118" t="s">
        <v>757</v>
      </c>
    </row>
    <row r="28" spans="1:36" x14ac:dyDescent="0.3">
      <c r="A28" s="118">
        <v>27</v>
      </c>
      <c r="B28" s="127" t="s">
        <v>57</v>
      </c>
      <c r="C28" s="118" t="s">
        <v>58</v>
      </c>
      <c r="D28" s="120">
        <f>'age profile_2010'!D28/('age profile_2010'!D28+'age profile_2010'!E28+'age profile_2010'!K28+'age profile_2010'!L28)*G28</f>
        <v>417815.87100035616</v>
      </c>
      <c r="E28" s="120">
        <f>'age profile_2010'!E28/('age profile_2010'!D28+'age profile_2010'!E28+'age profile_2010'!K28+'age profile_2010'!L28)*G28</f>
        <v>1836830.503097336</v>
      </c>
      <c r="F28" s="118">
        <f>VLOOKUP(B28,'age5-9'!A:H,8)*K28</f>
        <v>372844.17264121282</v>
      </c>
      <c r="G28" s="118">
        <v>6852205</v>
      </c>
      <c r="H28" s="118">
        <v>25085592</v>
      </c>
      <c r="I28" s="118">
        <v>5266597</v>
      </c>
      <c r="J28" s="120"/>
      <c r="K28" s="120">
        <f>'age profile_2010'!K28/('age profile_2010'!D28+'age profile_2010'!E28+'age profile_2010'!K28+'age profile_2010'!L28)*G28</f>
        <v>2084257.3176160578</v>
      </c>
      <c r="L28" s="120">
        <f>'age profile_2010'!L28/('age profile_2010'!D28+'age profile_2010'!E28+'age profile_2010'!K28+'age profile_2010'!L28)*G28</f>
        <v>2513301.3082862501</v>
      </c>
      <c r="M28" s="120">
        <f>'age profile_2010'!M28/SUM('age profile_2010'!$M28:$U28)*'age profile_2019'!$H28</f>
        <v>3090364.4743480543</v>
      </c>
      <c r="N28" s="120">
        <f>'age profile_2010'!N28/SUM('age profile_2010'!$M28:$U28)*'age profile_2019'!$H28</f>
        <v>3656445.0812420249</v>
      </c>
      <c r="O28" s="120">
        <f>'age profile_2010'!O28/SUM('age profile_2010'!$M28:$U28)*'age profile_2019'!$H28</f>
        <v>2622568.0253308616</v>
      </c>
      <c r="P28" s="120">
        <f>'age profile_2010'!P28/SUM('age profile_2010'!$M28:$U28)*'age profile_2019'!$H28</f>
        <v>2358840.1980385091</v>
      </c>
      <c r="Q28" s="120">
        <f>'age profile_2010'!Q28/SUM('age profile_2010'!$M28:$U28)*'age profile_2019'!$H28</f>
        <v>3054973.4201978352</v>
      </c>
      <c r="R28" s="120">
        <f>'age profile_2010'!R28/SUM('age profile_2010'!$M28:$U28)*'age profile_2019'!$H28</f>
        <v>3144860.2039679876</v>
      </c>
      <c r="S28" s="120">
        <f>'age profile_2010'!S28/SUM('age profile_2010'!$M28:$U28)*'age profile_2019'!$H28</f>
        <v>2743428.243333451</v>
      </c>
      <c r="T28" s="120">
        <f>'age profile_2010'!T28/SUM('age profile_2010'!$M28:$U28)*'age profile_2019'!$H28</f>
        <v>2308607.1655042972</v>
      </c>
      <c r="U28" s="120">
        <f>'age profile_2010'!U28/SUM('age profile_2010'!$M28:$U28)*'age profile_2019'!$H28</f>
        <v>2105505.1880369796</v>
      </c>
      <c r="V28" s="120">
        <f>7591202-5266597</f>
        <v>2324605</v>
      </c>
      <c r="W28" s="120">
        <f>'age profile_2010'!W28/('age profile_2010'!W28+'age profile_2010'!X28+'age profile_2010'!Y28+'age profile_2010'!Z28+'age profile_2010'!AB28+'age profile_2010'!AC28+'age profile_2010'!AD28+'age profile_2010'!AE28)*'age profile_2019'!I28</f>
        <v>2017735.9439663526</v>
      </c>
      <c r="X28" s="120">
        <f>'age profile_2010'!X28/('age profile_2010'!W28+'age profile_2010'!X28+'age profile_2010'!Y28+'age profile_2010'!Z28+'age profile_2010'!AB28+'age profile_2010'!AC28+'age profile_2010'!AD28+'age profile_2010'!AE28)*'age profile_2019'!I28</f>
        <v>1564646.4638591737</v>
      </c>
      <c r="Y28" s="120">
        <f>'age profile_2010'!Y28/('age profile_2010'!W28+'age profile_2010'!X28+'age profile_2010'!Y28+'age profile_2010'!Z28+'age profile_2010'!AB28+'age profile_2010'!AC28+'age profile_2010'!AD28+'age profile_2010'!AE28)*'age profile_2019'!I28</f>
        <v>987542.45546835463</v>
      </c>
      <c r="Z28" s="118">
        <f t="shared" si="0"/>
        <v>696672.13670611905</v>
      </c>
      <c r="AA28" s="120">
        <f>'age profile_2010'!Z28/('age profile_2010'!W28+'age profile_2010'!X28+'age profile_2010'!Y28+'age profile_2010'!Z28+'age profile_2010'!AB28+'age profile_2010'!AC28+'age profile_2010'!AD28+'age profile_2010'!AE28)*'age profile_2019'!I28</f>
        <v>450896.05512279685</v>
      </c>
      <c r="AB28" s="120"/>
      <c r="AC28" s="120">
        <f>'age profile_2010'!AB28/('age profile_2010'!W28+'age profile_2010'!X28+'age profile_2010'!Y28+'age profile_2010'!Z28+'age profile_2010'!AB28+'age profile_2010'!AC28+'age profile_2010'!AD28+'age profile_2010'!AE28)*'age profile_2019'!I28</f>
        <v>187274.8236665382</v>
      </c>
      <c r="AD28" s="120"/>
      <c r="AE28" s="120">
        <f>'age profile_2010'!AC28/('age profile_2010'!W28+'age profile_2010'!X28+'age profile_2010'!Y28+'age profile_2010'!Z28+'age profile_2010'!AB28+'age profile_2010'!AC28+'age profile_2010'!AD28+'age profile_2010'!AE28)*'age profile_2019'!I28</f>
        <v>46746.749667146905</v>
      </c>
      <c r="AF28" s="120">
        <f>'age profile_2010'!AD28/('age profile_2010'!W28+'age profile_2010'!X28+'age profile_2010'!Y28+'age profile_2010'!Z28+'age profile_2010'!AB28+'age profile_2010'!AC28+'age profile_2010'!AD28+'age profile_2010'!AE28)*'age profile_2019'!I28</f>
        <v>11192.091586975088</v>
      </c>
      <c r="AG28" s="120">
        <f>'age profile_2010'!AE28/('age profile_2010'!W28+'age profile_2010'!X28+'age profile_2010'!Y28+'age profile_2010'!Z28+'age profile_2010'!AB28+'age profile_2010'!AC28+'age profile_2010'!AD28+'age profile_2010'!AE28)*'age profile_2019'!I28</f>
        <v>562.41666266206471</v>
      </c>
      <c r="AH28" s="118">
        <f>M28*'population by age (1 year)'!C$2</f>
        <v>1260017.4540435651</v>
      </c>
      <c r="AI28" s="118" t="s">
        <v>759</v>
      </c>
      <c r="AJ28" s="102" t="s">
        <v>760</v>
      </c>
    </row>
    <row r="29" spans="1:36" x14ac:dyDescent="0.3">
      <c r="A29" s="118">
        <v>28</v>
      </c>
      <c r="B29" s="128" t="s">
        <v>611</v>
      </c>
      <c r="C29" s="118" t="s">
        <v>60</v>
      </c>
      <c r="D29" s="120">
        <f>'age profile_2010'!D29/('age profile_2010'!D29+'age profile_2010'!E29+'age profile_2010'!K29+'age profile_2010'!L29)*G29</f>
        <v>289466.12867864524</v>
      </c>
      <c r="E29" s="120">
        <f>'age profile_2010'!E29/('age profile_2010'!D29+'age profile_2010'!E29+'age profile_2010'!K29+'age profile_2010'!L29)*G29</f>
        <v>1162838.102075198</v>
      </c>
      <c r="F29" s="118">
        <f>VLOOKUP(B29,'age5-9'!A:H,8)*K29</f>
        <v>244214.09349954687</v>
      </c>
      <c r="G29" s="118">
        <v>4853543</v>
      </c>
      <c r="H29" s="118">
        <v>15905297</v>
      </c>
      <c r="I29" s="118">
        <v>3147817</v>
      </c>
      <c r="J29" s="118"/>
      <c r="K29" s="120">
        <f>'age profile_2010'!K29/('age profile_2010'!D29+'age profile_2010'!E29+'age profile_2010'!K29+'age profile_2010'!L29)*G29</f>
        <v>1510769.7482396613</v>
      </c>
      <c r="L29" s="120">
        <f>'age profile_2010'!L29/('age profile_2010'!D29+'age profile_2010'!E29+'age profile_2010'!K29+'age profile_2010'!L29)*G29</f>
        <v>1890469.0210064955</v>
      </c>
      <c r="M29" s="120">
        <f>'age profile_2010'!M29/SUM('age profile_2010'!$M29:$U29)*'age profile_2019'!$H29</f>
        <v>2182428.9317145599</v>
      </c>
      <c r="N29" s="120">
        <f>'age profile_2010'!N29/SUM('age profile_2010'!$M29:$U29)*'age profile_2019'!$H29</f>
        <v>2077571.1599602711</v>
      </c>
      <c r="O29" s="120">
        <f>'age profile_2010'!O29/SUM('age profile_2010'!$M29:$U29)*'age profile_2019'!$H29</f>
        <v>1510772.3452852266</v>
      </c>
      <c r="P29" s="120">
        <f>'age profile_2010'!P29/SUM('age profile_2010'!$M29:$U29)*'age profile_2019'!$H29</f>
        <v>1433168.2214053082</v>
      </c>
      <c r="Q29" s="120">
        <f>'age profile_2010'!Q29/SUM('age profile_2010'!$M29:$U29)*'age profile_2019'!$H29</f>
        <v>2137089.2200987367</v>
      </c>
      <c r="R29" s="120">
        <f>'age profile_2010'!R29/SUM('age profile_2010'!$M29:$U29)*'age profile_2019'!$H29</f>
        <v>2386409.6948057124</v>
      </c>
      <c r="S29" s="120">
        <f>'age profile_2010'!S29/SUM('age profile_2010'!$M29:$U29)*'age profile_2019'!$H29</f>
        <v>1827866.2757534394</v>
      </c>
      <c r="T29" s="120">
        <f>'age profile_2010'!T29/SUM('age profile_2010'!$M29:$U29)*'age profile_2019'!$H29</f>
        <v>1131980.2420604869</v>
      </c>
      <c r="U29" s="120">
        <f>'age profile_2010'!U29/SUM('age profile_2010'!$M29:$U29)*'age profile_2019'!$H29</f>
        <v>1218010.9089162587</v>
      </c>
      <c r="V29" s="120">
        <f>4260991-3147817</f>
        <v>1113174</v>
      </c>
      <c r="W29" s="120">
        <f>'age profile_2010'!W29/('age profile_2010'!W29+'age profile_2010'!X29+'age profile_2010'!Y29+'age profile_2010'!Z29+'age profile_2010'!AB29+'age profile_2010'!AC29+'age profile_2010'!AD29+'age profile_2010'!AE29)*'age profile_2019'!I29</f>
        <v>1279321.146929461</v>
      </c>
      <c r="X29" s="120">
        <f>'age profile_2010'!X29/('age profile_2010'!W29+'age profile_2010'!X29+'age profile_2010'!Y29+'age profile_2010'!Z29+'age profile_2010'!AB29+'age profile_2010'!AC29+'age profile_2010'!AD29+'age profile_2010'!AE29)*'age profile_2019'!I29</f>
        <v>969448.25194448058</v>
      </c>
      <c r="Y29" s="120">
        <f>'age profile_2010'!Y29/('age profile_2010'!W29+'age profile_2010'!X29+'age profile_2010'!Y29+'age profile_2010'!Z29+'age profile_2010'!AB29+'age profile_2010'!AC29+'age profile_2010'!AD29+'age profile_2010'!AE29)*'age profile_2019'!I29</f>
        <v>573384.60455172579</v>
      </c>
      <c r="Z29" s="118">
        <f t="shared" si="0"/>
        <v>325662.99657433241</v>
      </c>
      <c r="AA29" s="120">
        <f>'age profile_2010'!Z29/('age profile_2010'!W29+'age profile_2010'!X29+'age profile_2010'!Y29+'age profile_2010'!Z29+'age profile_2010'!AB29+'age profile_2010'!AC29+'age profile_2010'!AD29+'age profile_2010'!AE29)*'age profile_2019'!I29</f>
        <v>215933.60096220748</v>
      </c>
      <c r="AB29" s="120"/>
      <c r="AC29" s="120">
        <f>'age profile_2010'!AB29/('age profile_2010'!W29+'age profile_2010'!X29+'age profile_2010'!Y29+'age profile_2010'!Z29+'age profile_2010'!AB29+'age profile_2010'!AC29+'age profile_2010'!AD29+'age profile_2010'!AE29)*'age profile_2019'!I29</f>
        <v>84327.992837585931</v>
      </c>
      <c r="AD29" s="120"/>
      <c r="AE29" s="120">
        <f>'age profile_2010'!AC29/('age profile_2010'!W29+'age profile_2010'!X29+'age profile_2010'!Y29+'age profile_2010'!Z29+'age profile_2010'!AB29+'age profile_2010'!AC29+'age profile_2010'!AD29+'age profile_2010'!AE29)*'age profile_2019'!I29</f>
        <v>19964.118218538879</v>
      </c>
      <c r="AF29" s="120">
        <f>'age profile_2010'!AD29/('age profile_2010'!W29+'age profile_2010'!X29+'age profile_2010'!Y29+'age profile_2010'!Z29+'age profile_2010'!AB29+'age profile_2010'!AC29+'age profile_2010'!AD29+'age profile_2010'!AE29)*'age profile_2019'!I29</f>
        <v>5148.7511715327164</v>
      </c>
      <c r="AG29" s="120">
        <f>'age profile_2010'!AE29/('age profile_2010'!W29+'age profile_2010'!X29+'age profile_2010'!Y29+'age profile_2010'!Z29+'age profile_2010'!AB29+'age profile_2010'!AC29+'age profile_2010'!AD29+'age profile_2010'!AE29)*'age profile_2019'!I29</f>
        <v>288.53338446742578</v>
      </c>
      <c r="AH29" s="118">
        <f>M29*'population by age (1 year)'!C$2</f>
        <v>889829.84660737077</v>
      </c>
      <c r="AI29" s="118" t="s">
        <v>762</v>
      </c>
      <c r="AJ29" s="118" t="s">
        <v>761</v>
      </c>
    </row>
    <row r="30" spans="1:36" x14ac:dyDescent="0.3">
      <c r="A30" s="118">
        <v>29</v>
      </c>
      <c r="B30" s="128" t="s">
        <v>352</v>
      </c>
      <c r="C30" s="118" t="s">
        <v>62</v>
      </c>
      <c r="D30" s="120">
        <f>'age profile_2010'!D30/('age profile_2010'!D30+'age profile_2010'!E30+'age profile_2010'!K30+'age profile_2010'!L30)*G30</f>
        <v>75064.232774278615</v>
      </c>
      <c r="E30" s="120">
        <f>'age profile_2010'!E30/('age profile_2010'!D30+'age profile_2010'!E30+'age profile_2010'!K30+'age profile_2010'!L30)*G30</f>
        <v>311253.02837977209</v>
      </c>
      <c r="F30" s="118">
        <f>VLOOKUP(B30,'age5-9'!A:H,8)*K30</f>
        <v>70706.74700190287</v>
      </c>
      <c r="G30" s="118">
        <v>1232956</v>
      </c>
      <c r="H30" s="118">
        <v>3971599</v>
      </c>
      <c r="I30" s="118">
        <v>514093</v>
      </c>
      <c r="J30" s="118"/>
      <c r="K30" s="120">
        <f>'age profile_2010'!K30/('age profile_2010'!D30+'age profile_2010'!E30+'age profile_2010'!K30+'age profile_2010'!L30)*G30</f>
        <v>404426.57015765784</v>
      </c>
      <c r="L30" s="120">
        <f>'age profile_2010'!L30/('age profile_2010'!D30+'age profile_2010'!E30+'age profile_2010'!K30+'age profile_2010'!L30)*G30</f>
        <v>442212.16868829151</v>
      </c>
      <c r="M30" s="120">
        <f>'age profile_2010'!M30/SUM('age profile_2010'!$M30:$U30)*'age profile_2019'!$H30</f>
        <v>495811.46394789004</v>
      </c>
      <c r="N30" s="120">
        <f>'age profile_2010'!N30/SUM('age profile_2010'!$M30:$U30)*'age profile_2019'!$H30</f>
        <v>493799.16392655112</v>
      </c>
      <c r="O30" s="120">
        <f>'age profile_2010'!O30/SUM('age profile_2010'!$M30:$U30)*'age profile_2019'!$H30</f>
        <v>432790.48504282342</v>
      </c>
      <c r="P30" s="120">
        <f>'age profile_2010'!P30/SUM('age profile_2010'!$M30:$U30)*'age profile_2019'!$H30</f>
        <v>495856.06908690213</v>
      </c>
      <c r="Q30" s="120">
        <f>'age profile_2010'!Q30/SUM('age profile_2010'!$M30:$U30)*'age profile_2019'!$H30</f>
        <v>576845.82274170825</v>
      </c>
      <c r="R30" s="120">
        <f>'age profile_2010'!R30/SUM('age profile_2010'!$M30:$U30)*'age profile_2019'!$H30</f>
        <v>566732.62122388592</v>
      </c>
      <c r="S30" s="120">
        <f>'age profile_2010'!S30/SUM('age profile_2010'!$M30:$U30)*'age profile_2019'!$H30</f>
        <v>428545.90056456334</v>
      </c>
      <c r="T30" s="120">
        <f>'age profile_2010'!T30/SUM('age profile_2010'!$M30:$U30)*'age profile_2019'!$H30</f>
        <v>245222.8342376863</v>
      </c>
      <c r="U30" s="120">
        <f>'age profile_2010'!U30/SUM('age profile_2010'!$M30:$U30)*'age profile_2019'!$H30</f>
        <v>235994.63922798936</v>
      </c>
      <c r="V30" s="120">
        <f>719402-514093</f>
        <v>205309</v>
      </c>
      <c r="W30" s="120">
        <f>'age profile_2010'!W30/('age profile_2010'!W30+'age profile_2010'!X30+'age profile_2010'!Y30+'age profile_2010'!Z30+'age profile_2010'!AB30+'age profile_2010'!AC30+'age profile_2010'!AD30+'age profile_2010'!AE30)*'age profile_2019'!I30</f>
        <v>208855.5354681914</v>
      </c>
      <c r="X30" s="120">
        <f>'age profile_2010'!X30/('age profile_2010'!W30+'age profile_2010'!X30+'age profile_2010'!Y30+'age profile_2010'!Z30+'age profile_2010'!AB30+'age profile_2010'!AC30+'age profile_2010'!AD30+'age profile_2010'!AE30)*'age profile_2019'!I30</f>
        <v>158259.95080409606</v>
      </c>
      <c r="Y30" s="120">
        <f>'age profile_2010'!Y30/('age profile_2010'!W30+'age profile_2010'!X30+'age profile_2010'!Y30+'age profile_2010'!Z30+'age profile_2010'!AB30+'age profile_2010'!AC30+'age profile_2010'!AD30+'age profile_2010'!AE30)*'age profile_2019'!I30</f>
        <v>92600.341405307263</v>
      </c>
      <c r="Z30" s="118">
        <f t="shared" ref="Z30:Z32" si="11">SUM(AA30:AG30)</f>
        <v>54377.172322405284</v>
      </c>
      <c r="AA30" s="120">
        <f>'age profile_2010'!Z30/('age profile_2010'!W30+'age profile_2010'!X30+'age profile_2010'!Y30+'age profile_2010'!Z30+'age profile_2010'!AB30+'age profile_2010'!AC30+'age profile_2010'!AD30+'age profile_2010'!AE30)*'age profile_2019'!I30</f>
        <v>37955.022775202713</v>
      </c>
      <c r="AB30" s="120"/>
      <c r="AC30" s="120">
        <f>'age profile_2010'!AB30/('age profile_2010'!W30+'age profile_2010'!X30+'age profile_2010'!Y30+'age profile_2010'!Z30+'age profile_2010'!AB30+'age profile_2010'!AC30+'age profile_2010'!AD30+'age profile_2010'!AE30)*'age profile_2019'!I30</f>
        <v>12868.123890561739</v>
      </c>
      <c r="AD30" s="120"/>
      <c r="AE30" s="120">
        <f>'age profile_2010'!AC30/('age profile_2010'!W30+'age profile_2010'!X30+'age profile_2010'!Y30+'age profile_2010'!Z30+'age profile_2010'!AB30+'age profile_2010'!AC30+'age profile_2010'!AD30+'age profile_2010'!AE30)*'age profile_2019'!I30</f>
        <v>2795.9687975775623</v>
      </c>
      <c r="AF30" s="120">
        <f>'age profile_2010'!AD30/('age profile_2010'!W30+'age profile_2010'!X30+'age profile_2010'!Y30+'age profile_2010'!Z30+'age profile_2010'!AB30+'age profile_2010'!AC30+'age profile_2010'!AD30+'age profile_2010'!AE30)*'age profile_2019'!I30</f>
        <v>636.30394097280953</v>
      </c>
      <c r="AG30" s="120">
        <f>'age profile_2010'!AE30/('age profile_2010'!W30+'age profile_2010'!X30+'age profile_2010'!Y30+'age profile_2010'!Z30+'age profile_2010'!AB30+'age profile_2010'!AC30+'age profile_2010'!AD30+'age profile_2010'!AE30)*'age profile_2019'!I30</f>
        <v>121.75291809046927</v>
      </c>
      <c r="AH30" s="118">
        <f>M30*'population by age (1 year)'!C$2</f>
        <v>202154.50432299802</v>
      </c>
      <c r="AI30" s="118" t="s">
        <v>764</v>
      </c>
      <c r="AJ30" s="118" t="s">
        <v>763</v>
      </c>
    </row>
    <row r="31" spans="1:36" x14ac:dyDescent="0.3">
      <c r="A31" s="118">
        <v>30</v>
      </c>
      <c r="B31" s="128" t="s">
        <v>612</v>
      </c>
      <c r="C31" s="118" t="s">
        <v>64</v>
      </c>
      <c r="D31" s="120">
        <f>'age profile_2010'!D31/('age profile_2010'!D31+'age profile_2010'!E31+'age profile_2010'!K31+'age profile_2010'!L31)*G31</f>
        <v>81976.615585706546</v>
      </c>
      <c r="E31" s="120">
        <f>'age profile_2010'!E31/('age profile_2010'!D31+'age profile_2010'!E31+'age profile_2010'!K31+'age profile_2010'!L31)*G31</f>
        <v>372166.66914237814</v>
      </c>
      <c r="F31" s="118">
        <f>VLOOKUP(B31,'age5-9'!A:H,8)*K31</f>
        <v>92066.629402184233</v>
      </c>
      <c r="G31" s="118">
        <v>1468004</v>
      </c>
      <c r="H31" s="118">
        <v>4760508</v>
      </c>
      <c r="I31" s="118">
        <v>692824</v>
      </c>
      <c r="J31" s="118"/>
      <c r="K31" s="120">
        <f>'age profile_2010'!K31/('age profile_2010'!D31+'age profile_2010'!E31+'age profile_2010'!K31+'age profile_2010'!L31)*G31</f>
        <v>479365.6022165679</v>
      </c>
      <c r="L31" s="120">
        <f>'age profile_2010'!L31/('age profile_2010'!D31+'age profile_2010'!E31+'age profile_2010'!K31+'age profile_2010'!L31)*G31</f>
        <v>534495.11305534746</v>
      </c>
      <c r="M31" s="120">
        <f>'age profile_2010'!M31/SUM('age profile_2010'!$M31:$U31)*'age profile_2019'!$H31</f>
        <v>605073.08443114394</v>
      </c>
      <c r="N31" s="120">
        <f>'age profile_2010'!N31/SUM('age profile_2010'!$M31:$U31)*'age profile_2019'!$H31</f>
        <v>604334.46474272129</v>
      </c>
      <c r="O31" s="120">
        <f>'age profile_2010'!O31/SUM('age profile_2010'!$M31:$U31)*'age profile_2019'!$H31</f>
        <v>549119.90334586008</v>
      </c>
      <c r="P31" s="120">
        <f>'age profile_2010'!P31/SUM('age profile_2010'!$M31:$U31)*'age profile_2019'!$H31</f>
        <v>590943.96923406294</v>
      </c>
      <c r="Q31" s="120">
        <f>'age profile_2010'!Q31/SUM('age profile_2010'!$M31:$U31)*'age profile_2019'!$H31</f>
        <v>648988.07964502962</v>
      </c>
      <c r="R31" s="120">
        <f>'age profile_2010'!R31/SUM('age profile_2010'!$M31:$U31)*'age profile_2019'!$H31</f>
        <v>631588.87372057023</v>
      </c>
      <c r="S31" s="120">
        <f>'age profile_2010'!S31/SUM('age profile_2010'!$M31:$U31)*'age profile_2019'!$H31</f>
        <v>488054.465811776</v>
      </c>
      <c r="T31" s="120">
        <f>'age profile_2010'!T31/SUM('age profile_2010'!$M31:$U31)*'age profile_2019'!$H31</f>
        <v>320803.13313021907</v>
      </c>
      <c r="U31" s="120">
        <f>'age profile_2010'!U31/SUM('age profile_2010'!$M31:$U31)*'age profile_2019'!$H31</f>
        <v>321602.02593861683</v>
      </c>
      <c r="V31" s="118">
        <f>974142-692824</f>
        <v>281318</v>
      </c>
      <c r="W31" s="120">
        <f>'age profile_2010'!W31/('age profile_2010'!W31+'age profile_2010'!X31+'age profile_2010'!Y31+'age profile_2010'!Z31+'age profile_2010'!AB31+'age profile_2010'!AC31+'age profile_2010'!AD31+'age profile_2010'!AE31)*'age profile_2019'!I31</f>
        <v>275129.49635415245</v>
      </c>
      <c r="X31" s="120">
        <f>'age profile_2010'!X31/('age profile_2010'!W31+'age profile_2010'!X31+'age profile_2010'!Y31+'age profile_2010'!Z31+'age profile_2010'!AB31+'age profile_2010'!AC31+'age profile_2010'!AD31+'age profile_2010'!AE31)*'age profile_2019'!I31</f>
        <v>211142.69241062895</v>
      </c>
      <c r="Y31" s="120">
        <f>'age profile_2010'!Y31/('age profile_2010'!W31+'age profile_2010'!X31+'age profile_2010'!Y31+'age profile_2010'!Z31+'age profile_2010'!AB31+'age profile_2010'!AC31+'age profile_2010'!AD31+'age profile_2010'!AE31)*'age profile_2019'!I31</f>
        <v>125211.16683507661</v>
      </c>
      <c r="Z31" s="118">
        <f t="shared" si="11"/>
        <v>81340.644400142002</v>
      </c>
      <c r="AA31" s="120">
        <f>'age profile_2010'!Z31/('age profile_2010'!W31+'age profile_2010'!X31+'age profile_2010'!Y31+'age profile_2010'!Z31+'age profile_2010'!AB31+'age profile_2010'!AC31+'age profile_2010'!AD31+'age profile_2010'!AE31)*'age profile_2019'!I31</f>
        <v>54830.84272332523</v>
      </c>
      <c r="AB31" s="118"/>
      <c r="AC31" s="120">
        <f>'age profile_2010'!AB31/('age profile_2010'!W31+'age profile_2010'!X31+'age profile_2010'!Y31+'age profile_2010'!Z31+'age profile_2010'!AB31+'age profile_2010'!AC31+'age profile_2010'!AD31+'age profile_2010'!AE31)*'age profile_2019'!I31</f>
        <v>19913.312614359453</v>
      </c>
      <c r="AD31" s="120"/>
      <c r="AE31" s="120">
        <f>'age profile_2010'!AC31/('age profile_2010'!W31+'age profile_2010'!X31+'age profile_2010'!Y31+'age profile_2010'!Z31+'age profile_2010'!AB31+'age profile_2010'!AC31+'age profile_2010'!AD31+'age profile_2010'!AE31)*'age profile_2019'!I31</f>
        <v>5105.1837124832728</v>
      </c>
      <c r="AF31" s="120">
        <f>'age profile_2010'!AD31/('age profile_2010'!W31+'age profile_2010'!X31+'age profile_2010'!Y31+'age profile_2010'!Z31+'age profile_2010'!AB31+'age profile_2010'!AC31+'age profile_2010'!AD31+'age profile_2010'!AE31)*'age profile_2019'!I31</f>
        <v>1360.5796214872873</v>
      </c>
      <c r="AG31" s="120">
        <f>'age profile_2010'!AE31/('age profile_2010'!W31+'age profile_2010'!X31+'age profile_2010'!Y31+'age profile_2010'!Z31+'age profile_2010'!AB31+'age profile_2010'!AC31+'age profile_2010'!AD31+'age profile_2010'!AE31)*'age profile_2019'!I31</f>
        <v>130.72572848676845</v>
      </c>
      <c r="AH31" s="118">
        <f>M31*'population by age (1 year)'!C$2</f>
        <v>246703.14899217643</v>
      </c>
      <c r="AI31" s="118" t="s">
        <v>768</v>
      </c>
      <c r="AJ31" s="118" t="s">
        <v>765</v>
      </c>
    </row>
    <row r="32" spans="1:36" x14ac:dyDescent="0.3">
      <c r="A32" s="118">
        <v>31</v>
      </c>
      <c r="B32" s="128" t="s">
        <v>353</v>
      </c>
      <c r="C32" s="118" t="s">
        <v>66</v>
      </c>
      <c r="D32" s="120">
        <f>'age profile_2010'!D32/('age profile_2010'!D32+'age profile_2010'!E32+'age profile_2010'!K32+'age profile_2010'!L32)*G32</f>
        <v>416937.45764603629</v>
      </c>
      <c r="E32" s="120">
        <f>'age profile_2010'!E32/('age profile_2010'!D32+'age profile_2010'!E32+'age profile_2010'!K32+'age profile_2010'!L32)*G32</f>
        <v>1618580.0995068806</v>
      </c>
      <c r="F32" s="118">
        <f>VLOOKUP(B32,'age5-9'!A:H,8)*K32</f>
        <v>314962.94320617249</v>
      </c>
      <c r="G32" s="118">
        <v>5806156</v>
      </c>
      <c r="H32" s="118">
        <v>17129180</v>
      </c>
      <c r="I32" s="118">
        <v>2005885</v>
      </c>
      <c r="J32" s="118"/>
      <c r="K32" s="120">
        <f>'age profile_2010'!K32/('age profile_2010'!D32+'age profile_2010'!E32+'age profile_2010'!K32+'age profile_2010'!L32)*G32</f>
        <v>1810297.1557572479</v>
      </c>
      <c r="L32" s="120">
        <f>'age profile_2010'!L32/('age profile_2010'!D32+'age profile_2010'!E32+'age profile_2010'!K32+'age profile_2010'!L32)*G32</f>
        <v>1960341.2870898349</v>
      </c>
      <c r="M32" s="120">
        <f>'age profile_2010'!M32/SUM('age profile_2010'!$M32:$U32)*'age profile_2019'!$H32</f>
        <v>1968901.2499399858</v>
      </c>
      <c r="N32" s="120">
        <f>'age profile_2010'!N32/SUM('age profile_2010'!$M32:$U32)*'age profile_2019'!$H32</f>
        <v>2379067.3831533692</v>
      </c>
      <c r="O32" s="120">
        <f>'age profile_2010'!O32/SUM('age profile_2010'!$M32:$U32)*'age profile_2019'!$H32</f>
        <v>2048718.5040582707</v>
      </c>
      <c r="P32" s="120">
        <f>'age profile_2010'!P32/SUM('age profile_2010'!$M32:$U32)*'age profile_2019'!$H32</f>
        <v>2015906.9660462707</v>
      </c>
      <c r="Q32" s="120">
        <f>'age profile_2010'!Q32/SUM('age profile_2010'!$M32:$U32)*'age profile_2019'!$H32</f>
        <v>2476351.5429889136</v>
      </c>
      <c r="R32" s="120">
        <f>'age profile_2010'!R32/SUM('age profile_2010'!$M32:$U32)*'age profile_2019'!$H32</f>
        <v>2407292.8332295711</v>
      </c>
      <c r="S32" s="120">
        <f>'age profile_2010'!S32/SUM('age profile_2010'!$M32:$U32)*'age profile_2019'!$H32</f>
        <v>1730028.0851566496</v>
      </c>
      <c r="T32" s="120">
        <f>'age profile_2010'!T32/SUM('age profile_2010'!$M32:$U32)*'age profile_2019'!$H32</f>
        <v>1151799.0184998473</v>
      </c>
      <c r="U32" s="120">
        <f>'age profile_2010'!U32/SUM('age profile_2010'!$M32:$U32)*'age profile_2019'!$H32</f>
        <v>951114.4169271217</v>
      </c>
      <c r="V32" s="118">
        <f>2917009-2005885</f>
        <v>911124</v>
      </c>
      <c r="W32" s="120">
        <f>'age profile_2010'!W32/('age profile_2010'!W32+'age profile_2010'!X32+'age profile_2010'!Y32+'age profile_2010'!Z32+'age profile_2010'!AB32+'age profile_2010'!AC32+'age profile_2010'!AD32+'age profile_2010'!AE32)*'age profile_2019'!I32</f>
        <v>796911.74508284195</v>
      </c>
      <c r="X32" s="120">
        <f>'age profile_2010'!X32/('age profile_2010'!W32+'age profile_2010'!X32+'age profile_2010'!Y32+'age profile_2010'!Z32+'age profile_2010'!AB32+'age profile_2010'!AC32+'age profile_2010'!AD32+'age profile_2010'!AE32)*'age profile_2019'!I32</f>
        <v>630287.90324656537</v>
      </c>
      <c r="Y32" s="120">
        <f>'age profile_2010'!Y32/('age profile_2010'!W32+'age profile_2010'!X32+'age profile_2010'!Y32+'age profile_2010'!Z32+'age profile_2010'!AB32+'age profile_2010'!AC32+'age profile_2010'!AD32+'age profile_2010'!AE32)*'age profile_2019'!I32</f>
        <v>327346.68266765861</v>
      </c>
      <c r="Z32" s="118">
        <f t="shared" si="11"/>
        <v>251338.66900293407</v>
      </c>
      <c r="AA32" s="120">
        <f>'age profile_2010'!Z32/('age profile_2010'!W32+'age profile_2010'!X32+'age profile_2010'!Y32+'age profile_2010'!Z32+'age profile_2010'!AB32+'age profile_2010'!AC32+'age profile_2010'!AD32+'age profile_2010'!AE32)*'age profile_2019'!I32</f>
        <v>160057.55970847455</v>
      </c>
      <c r="AB32" s="118"/>
      <c r="AC32" s="120">
        <f>'age profile_2010'!AB32/('age profile_2010'!W32+'age profile_2010'!X32+'age profile_2010'!Y32+'age profile_2010'!Z32+'age profile_2010'!AB32+'age profile_2010'!AC32+'age profile_2010'!AD32+'age profile_2010'!AE32)*'age profile_2019'!I32</f>
        <v>63136.45522279873</v>
      </c>
      <c r="AD32" s="120"/>
      <c r="AE32" s="120">
        <f>'age profile_2010'!AC32/('age profile_2010'!W32+'age profile_2010'!X32+'age profile_2010'!Y32+'age profile_2010'!Z32+'age profile_2010'!AB32+'age profile_2010'!AC32+'age profile_2010'!AD32+'age profile_2010'!AE32)*'age profile_2019'!I32</f>
        <v>20764.147285971998</v>
      </c>
      <c r="AF32" s="120">
        <f>'age profile_2010'!AD32/('age profile_2010'!W32+'age profile_2010'!X32+'age profile_2010'!Y32+'age profile_2010'!Z32+'age profile_2010'!AB32+'age profile_2010'!AC32+'age profile_2010'!AD32+'age profile_2010'!AE32)*'age profile_2019'!I32</f>
        <v>6326.5539619780784</v>
      </c>
      <c r="AG32" s="120">
        <f>'age profile_2010'!AE32/('age profile_2010'!W32+'age profile_2010'!X32+'age profile_2010'!Y32+'age profile_2010'!Z32+'age profile_2010'!AB32+'age profile_2010'!AC32+'age profile_2010'!AD32+'age profile_2010'!AE32)*'age profile_2019'!I32</f>
        <v>1053.9528237106979</v>
      </c>
      <c r="AH32" s="118">
        <f>M32*'population by age (1 year)'!C$2</f>
        <v>802769.36937541515</v>
      </c>
      <c r="AI32" s="118" t="s">
        <v>766</v>
      </c>
      <c r="AJ32" s="118" t="s">
        <v>767</v>
      </c>
    </row>
  </sheetData>
  <sortState xmlns:xlrd2="http://schemas.microsoft.com/office/spreadsheetml/2017/richdata2" ref="A2:AI32">
    <sortCondition ref="A2"/>
  </sortState>
  <phoneticPr fontId="24" type="noConversion"/>
  <hyperlinks>
    <hyperlink ref="AJ2" r:id="rId1" xr:uid="{C2935CF5-195D-4DD7-87CB-C4E428D69FD2}"/>
  </hyperlinks>
  <pageMargins left="0.75" right="0.75" top="1" bottom="1" header="0.5" footer="0.5"/>
  <pageSetup paperSize="9" orientation="portrait" horizontalDpi="300" verticalDpi="300" r:id="rId2"/>
  <drawing r:id="rId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0AFD9B-589C-46B4-9331-9E072C24D118}">
  <dimension ref="A1:H32"/>
  <sheetViews>
    <sheetView workbookViewId="0">
      <selection activeCell="I12" sqref="I12"/>
    </sheetView>
  </sheetViews>
  <sheetFormatPr defaultColWidth="9" defaultRowHeight="14" x14ac:dyDescent="0.3"/>
  <cols>
    <col min="1" max="16384" width="9" style="132"/>
  </cols>
  <sheetData>
    <row r="1" spans="1:8" x14ac:dyDescent="0.3">
      <c r="A1" s="132" t="s">
        <v>634</v>
      </c>
      <c r="B1" s="132" t="s">
        <v>620</v>
      </c>
      <c r="C1" s="132" t="s">
        <v>621</v>
      </c>
      <c r="D1" s="132" t="s">
        <v>622</v>
      </c>
      <c r="E1" s="132" t="s">
        <v>623</v>
      </c>
      <c r="F1" s="132" t="s">
        <v>624</v>
      </c>
      <c r="G1" s="132" t="s">
        <v>625</v>
      </c>
      <c r="H1" s="132" t="s">
        <v>626</v>
      </c>
    </row>
    <row r="2" spans="1:8" x14ac:dyDescent="0.3">
      <c r="A2" s="132" t="s">
        <v>339</v>
      </c>
      <c r="B2" s="132">
        <v>644379</v>
      </c>
      <c r="C2" s="132">
        <v>611145</v>
      </c>
      <c r="D2" s="132">
        <v>882295</v>
      </c>
      <c r="E2" s="132">
        <v>1278761</v>
      </c>
      <c r="F2" s="132">
        <v>799016</v>
      </c>
      <c r="G2" s="132">
        <f>SUM(B2:F2)</f>
        <v>4215596</v>
      </c>
      <c r="H2" s="132">
        <f>B2/G2</f>
        <v>0.15285596627380801</v>
      </c>
    </row>
    <row r="3" spans="1:8" x14ac:dyDescent="0.3">
      <c r="A3" s="132" t="s">
        <v>329</v>
      </c>
      <c r="B3" s="132">
        <v>114387</v>
      </c>
      <c r="C3" s="132">
        <v>104368</v>
      </c>
      <c r="D3" s="132">
        <v>147159</v>
      </c>
      <c r="E3" s="132">
        <v>170469</v>
      </c>
      <c r="F3" s="132">
        <v>188108</v>
      </c>
      <c r="G3" s="132">
        <f t="shared" ref="G3:G32" si="0">SUM(B3:F3)</f>
        <v>724491</v>
      </c>
      <c r="H3" s="132">
        <f t="shared" ref="H3:H32" si="1">B3/G3</f>
        <v>0.15788601928802429</v>
      </c>
    </row>
    <row r="4" spans="1:8" x14ac:dyDescent="0.3">
      <c r="A4" s="132" t="s">
        <v>340</v>
      </c>
      <c r="B4" s="132">
        <v>372651</v>
      </c>
      <c r="C4" s="132">
        <v>354269</v>
      </c>
      <c r="D4" s="132">
        <v>544170</v>
      </c>
      <c r="E4" s="132">
        <v>681424</v>
      </c>
      <c r="F4" s="132">
        <v>394044</v>
      </c>
      <c r="G4" s="132">
        <f t="shared" si="0"/>
        <v>2346558</v>
      </c>
      <c r="H4" s="132">
        <f t="shared" si="1"/>
        <v>0.15880749591529381</v>
      </c>
    </row>
    <row r="5" spans="1:8" x14ac:dyDescent="0.3">
      <c r="A5" s="132" t="s">
        <v>629</v>
      </c>
      <c r="B5" s="132">
        <v>262919</v>
      </c>
      <c r="C5" s="132">
        <v>253521</v>
      </c>
      <c r="D5" s="132">
        <v>294791</v>
      </c>
      <c r="E5" s="132">
        <v>447004</v>
      </c>
      <c r="F5" s="132">
        <v>368248</v>
      </c>
      <c r="G5" s="132">
        <f t="shared" si="0"/>
        <v>1626483</v>
      </c>
      <c r="H5" s="132">
        <f t="shared" si="1"/>
        <v>0.16164878452464612</v>
      </c>
    </row>
    <row r="6" spans="1:8" x14ac:dyDescent="0.3">
      <c r="A6" s="132" t="s">
        <v>627</v>
      </c>
      <c r="B6" s="132">
        <v>722263</v>
      </c>
      <c r="C6" s="132">
        <v>657398</v>
      </c>
      <c r="D6" s="132">
        <v>709818</v>
      </c>
      <c r="E6" s="132">
        <v>867174</v>
      </c>
      <c r="F6" s="132">
        <v>850125</v>
      </c>
      <c r="G6" s="132">
        <f t="shared" si="0"/>
        <v>3806778</v>
      </c>
      <c r="H6" s="132">
        <f t="shared" si="1"/>
        <v>0.18973079071067447</v>
      </c>
    </row>
    <row r="7" spans="1:8" x14ac:dyDescent="0.3">
      <c r="A7" s="132" t="s">
        <v>345</v>
      </c>
      <c r="B7" s="132">
        <v>1063082</v>
      </c>
      <c r="C7" s="132">
        <v>953656</v>
      </c>
      <c r="D7" s="132">
        <v>926520</v>
      </c>
      <c r="E7" s="132">
        <v>1238946</v>
      </c>
      <c r="F7" s="132">
        <v>1700565</v>
      </c>
      <c r="G7" s="132">
        <f t="shared" si="0"/>
        <v>5882769</v>
      </c>
      <c r="H7" s="132">
        <f t="shared" si="1"/>
        <v>0.18071115829977347</v>
      </c>
    </row>
    <row r="8" spans="1:8" x14ac:dyDescent="0.3">
      <c r="A8" s="132" t="s">
        <v>348</v>
      </c>
      <c r="B8" s="132">
        <v>448752</v>
      </c>
      <c r="C8" s="132">
        <v>425169</v>
      </c>
      <c r="D8" s="132">
        <v>391314</v>
      </c>
      <c r="E8" s="132">
        <v>504519</v>
      </c>
      <c r="F8" s="132">
        <v>655137</v>
      </c>
      <c r="G8" s="132">
        <f t="shared" si="0"/>
        <v>2424891</v>
      </c>
      <c r="H8" s="132">
        <f t="shared" si="1"/>
        <v>0.1850606893258295</v>
      </c>
    </row>
    <row r="9" spans="1:8" x14ac:dyDescent="0.3">
      <c r="A9" s="132" t="s">
        <v>630</v>
      </c>
      <c r="B9" s="132">
        <v>121817</v>
      </c>
      <c r="C9" s="132">
        <v>110174</v>
      </c>
      <c r="D9" s="132">
        <v>103606</v>
      </c>
      <c r="E9" s="132">
        <v>150400</v>
      </c>
      <c r="F9" s="132">
        <v>142201</v>
      </c>
      <c r="G9" s="132">
        <f t="shared" si="0"/>
        <v>628198</v>
      </c>
      <c r="H9" s="132">
        <f t="shared" si="1"/>
        <v>0.19391497585156273</v>
      </c>
    </row>
    <row r="10" spans="1:8" x14ac:dyDescent="0.3">
      <c r="A10" s="132" t="s">
        <v>330</v>
      </c>
      <c r="B10" s="132">
        <v>1044164</v>
      </c>
      <c r="C10" s="132">
        <v>878808</v>
      </c>
      <c r="D10" s="132">
        <v>1064069</v>
      </c>
      <c r="E10" s="132">
        <v>1113719</v>
      </c>
      <c r="F10" s="132">
        <v>873942</v>
      </c>
      <c r="G10" s="132">
        <f t="shared" si="0"/>
        <v>4974702</v>
      </c>
      <c r="H10" s="132">
        <f t="shared" si="1"/>
        <v>0.2098947836473421</v>
      </c>
    </row>
    <row r="11" spans="1:8" x14ac:dyDescent="0.3">
      <c r="A11" s="132" t="s">
        <v>343</v>
      </c>
      <c r="B11" s="132">
        <v>1301972</v>
      </c>
      <c r="C11" s="132">
        <v>1157032</v>
      </c>
      <c r="D11" s="132">
        <v>1388146</v>
      </c>
      <c r="E11" s="132">
        <v>1697049</v>
      </c>
      <c r="F11" s="132">
        <v>1545211</v>
      </c>
      <c r="G11" s="132">
        <f t="shared" si="0"/>
        <v>7089410</v>
      </c>
      <c r="H11" s="132">
        <f t="shared" si="1"/>
        <v>0.18365026144629806</v>
      </c>
    </row>
    <row r="12" spans="1:8" x14ac:dyDescent="0.3">
      <c r="A12" s="132" t="s">
        <v>335</v>
      </c>
      <c r="B12" s="132">
        <v>242180</v>
      </c>
      <c r="C12" s="132">
        <v>234692</v>
      </c>
      <c r="D12" s="132">
        <v>466458</v>
      </c>
      <c r="E12" s="132">
        <v>562751</v>
      </c>
      <c r="F12" s="132">
        <v>178256</v>
      </c>
      <c r="G12" s="132">
        <f t="shared" si="0"/>
        <v>1684337</v>
      </c>
      <c r="H12" s="132">
        <f>B12/G12</f>
        <v>0.14378357775195819</v>
      </c>
    </row>
    <row r="13" spans="1:8" x14ac:dyDescent="0.3">
      <c r="A13" s="132" t="s">
        <v>344</v>
      </c>
      <c r="B13" s="132">
        <v>572837</v>
      </c>
      <c r="C13" s="132">
        <v>534647</v>
      </c>
      <c r="D13" s="132">
        <v>1092917</v>
      </c>
      <c r="E13" s="132">
        <v>1097480</v>
      </c>
      <c r="F13" s="132">
        <v>334549</v>
      </c>
      <c r="G13" s="132">
        <f t="shared" si="0"/>
        <v>3632430</v>
      </c>
      <c r="H13" s="132">
        <f t="shared" si="1"/>
        <v>0.15770076780557368</v>
      </c>
    </row>
    <row r="14" spans="1:8" x14ac:dyDescent="0.3">
      <c r="A14" s="132" t="s">
        <v>631</v>
      </c>
      <c r="B14" s="132">
        <v>825422</v>
      </c>
      <c r="C14" s="132">
        <v>753925</v>
      </c>
      <c r="D14" s="132">
        <v>1083793</v>
      </c>
      <c r="E14" s="132">
        <v>1212984</v>
      </c>
      <c r="F14" s="132">
        <v>738115</v>
      </c>
      <c r="G14" s="132">
        <f t="shared" si="0"/>
        <v>4614239</v>
      </c>
      <c r="H14" s="132">
        <f t="shared" si="1"/>
        <v>0.17888583577920433</v>
      </c>
    </row>
    <row r="15" spans="1:8" x14ac:dyDescent="0.3">
      <c r="A15" s="132" t="s">
        <v>334</v>
      </c>
      <c r="B15" s="132">
        <v>201603</v>
      </c>
      <c r="C15" s="132">
        <v>198368</v>
      </c>
      <c r="D15" s="132">
        <v>353697</v>
      </c>
      <c r="E15" s="132">
        <v>478041</v>
      </c>
      <c r="F15" s="132">
        <v>194988</v>
      </c>
      <c r="G15" s="132">
        <f t="shared" si="0"/>
        <v>1426697</v>
      </c>
      <c r="H15" s="132">
        <f t="shared" si="1"/>
        <v>0.14130750958332428</v>
      </c>
    </row>
    <row r="16" spans="1:8" x14ac:dyDescent="0.3">
      <c r="A16" s="132" t="s">
        <v>337</v>
      </c>
      <c r="B16" s="132">
        <v>605508</v>
      </c>
      <c r="C16" s="132">
        <v>601432</v>
      </c>
      <c r="D16" s="132">
        <v>1184995</v>
      </c>
      <c r="E16" s="132">
        <v>1483679</v>
      </c>
      <c r="F16" s="132">
        <v>511469</v>
      </c>
      <c r="G16" s="132">
        <f t="shared" si="0"/>
        <v>4387083</v>
      </c>
      <c r="H16" s="132">
        <f t="shared" si="1"/>
        <v>0.13802063922656579</v>
      </c>
    </row>
    <row r="17" spans="1:8" x14ac:dyDescent="0.3">
      <c r="A17" s="132" t="s">
        <v>341</v>
      </c>
      <c r="B17" s="132">
        <v>525294</v>
      </c>
      <c r="C17" s="132">
        <v>510684</v>
      </c>
      <c r="D17" s="132">
        <v>661123</v>
      </c>
      <c r="E17" s="132">
        <v>979526</v>
      </c>
      <c r="F17" s="132">
        <v>786988</v>
      </c>
      <c r="G17" s="132">
        <f t="shared" si="0"/>
        <v>3463615</v>
      </c>
      <c r="H17" s="132">
        <f t="shared" si="1"/>
        <v>0.15166062047889273</v>
      </c>
    </row>
    <row r="18" spans="1:8" x14ac:dyDescent="0.3">
      <c r="A18" s="132" t="s">
        <v>333</v>
      </c>
      <c r="B18" s="132">
        <v>292357</v>
      </c>
      <c r="C18" s="132">
        <v>302003</v>
      </c>
      <c r="D18" s="132">
        <v>446804</v>
      </c>
      <c r="E18" s="132">
        <v>557468</v>
      </c>
      <c r="F18" s="132">
        <v>246295</v>
      </c>
      <c r="G18" s="132">
        <f t="shared" si="0"/>
        <v>1844927</v>
      </c>
      <c r="H18" s="132">
        <f t="shared" si="1"/>
        <v>0.15846534849346341</v>
      </c>
    </row>
    <row r="19" spans="1:8" x14ac:dyDescent="0.3">
      <c r="A19" s="132" t="s">
        <v>332</v>
      </c>
      <c r="B19" s="132">
        <v>203981</v>
      </c>
      <c r="C19" s="132">
        <v>195669</v>
      </c>
      <c r="D19" s="132">
        <v>301936</v>
      </c>
      <c r="E19" s="132">
        <v>350115</v>
      </c>
      <c r="F19" s="132">
        <v>185591</v>
      </c>
      <c r="G19" s="132">
        <f t="shared" si="0"/>
        <v>1237292</v>
      </c>
      <c r="H19" s="132">
        <f t="shared" si="1"/>
        <v>0.16486084125655059</v>
      </c>
    </row>
    <row r="20" spans="1:8" x14ac:dyDescent="0.3">
      <c r="A20" s="132" t="s">
        <v>628</v>
      </c>
      <c r="B20" s="132">
        <v>87735</v>
      </c>
      <c r="C20" s="132">
        <v>85114</v>
      </c>
      <c r="D20" s="132">
        <v>88107</v>
      </c>
      <c r="E20" s="132">
        <v>100495</v>
      </c>
      <c r="F20" s="132">
        <v>95361</v>
      </c>
      <c r="G20" s="132">
        <f t="shared" si="0"/>
        <v>456812</v>
      </c>
      <c r="H20" s="132">
        <f t="shared" si="1"/>
        <v>0.19205931542954213</v>
      </c>
    </row>
    <row r="21" spans="1:8" x14ac:dyDescent="0.3">
      <c r="A21" s="132" t="s">
        <v>352</v>
      </c>
      <c r="B21" s="132">
        <v>74843</v>
      </c>
      <c r="C21" s="132">
        <v>73528</v>
      </c>
      <c r="D21" s="132">
        <v>81368</v>
      </c>
      <c r="E21" s="132">
        <v>108653</v>
      </c>
      <c r="F21" s="132">
        <v>89693</v>
      </c>
      <c r="G21" s="132">
        <f t="shared" si="0"/>
        <v>428085</v>
      </c>
      <c r="H21" s="132">
        <f t="shared" si="1"/>
        <v>0.17483210110141678</v>
      </c>
    </row>
    <row r="22" spans="1:8" x14ac:dyDescent="0.3">
      <c r="A22" s="132" t="s">
        <v>342</v>
      </c>
      <c r="B22" s="132">
        <v>1039574</v>
      </c>
      <c r="C22" s="132">
        <v>1005767</v>
      </c>
      <c r="D22" s="132">
        <v>1227235</v>
      </c>
      <c r="E22" s="132">
        <v>1528899</v>
      </c>
      <c r="F22" s="132">
        <v>924302</v>
      </c>
      <c r="G22" s="132">
        <f t="shared" si="0"/>
        <v>5725777</v>
      </c>
      <c r="H22" s="132">
        <f t="shared" si="1"/>
        <v>0.18156033670190089</v>
      </c>
    </row>
    <row r="23" spans="1:8" x14ac:dyDescent="0.3">
      <c r="A23" s="132" t="s">
        <v>331</v>
      </c>
      <c r="B23" s="132">
        <v>348905</v>
      </c>
      <c r="C23" s="132">
        <v>321110</v>
      </c>
      <c r="D23" s="132">
        <v>370196</v>
      </c>
      <c r="E23" s="132">
        <v>488839</v>
      </c>
      <c r="F23" s="132">
        <v>445710</v>
      </c>
      <c r="G23" s="132">
        <f t="shared" si="0"/>
        <v>1974760</v>
      </c>
      <c r="H23" s="132">
        <f t="shared" si="1"/>
        <v>0.17668222973931008</v>
      </c>
    </row>
    <row r="24" spans="1:8" x14ac:dyDescent="0.3">
      <c r="A24" s="132" t="s">
        <v>632</v>
      </c>
      <c r="B24" s="132">
        <v>344861</v>
      </c>
      <c r="C24" s="132">
        <v>317512</v>
      </c>
      <c r="D24" s="132">
        <v>464986</v>
      </c>
      <c r="E24" s="132">
        <v>535327</v>
      </c>
      <c r="F24" s="132">
        <v>265141</v>
      </c>
      <c r="G24" s="132">
        <f t="shared" si="0"/>
        <v>1927827</v>
      </c>
      <c r="H24" s="132">
        <f t="shared" si="1"/>
        <v>0.17888586475861165</v>
      </c>
    </row>
    <row r="25" spans="1:8" x14ac:dyDescent="0.3">
      <c r="A25" s="132" t="s">
        <v>336</v>
      </c>
      <c r="B25" s="132">
        <v>135314</v>
      </c>
      <c r="C25" s="132">
        <v>127781</v>
      </c>
      <c r="D25" s="132">
        <v>142689</v>
      </c>
      <c r="E25" s="132">
        <v>178348</v>
      </c>
      <c r="F25" s="132">
        <v>186000</v>
      </c>
      <c r="G25" s="132">
        <f t="shared" si="0"/>
        <v>770132</v>
      </c>
      <c r="H25" s="132">
        <f t="shared" si="1"/>
        <v>0.17570234713010238</v>
      </c>
    </row>
    <row r="26" spans="1:8" x14ac:dyDescent="0.3">
      <c r="A26" s="132" t="s">
        <v>347</v>
      </c>
      <c r="B26" s="132">
        <v>708375</v>
      </c>
      <c r="C26" s="132">
        <v>723953</v>
      </c>
      <c r="D26" s="132">
        <v>1237091</v>
      </c>
      <c r="E26" s="132">
        <v>1409754</v>
      </c>
      <c r="F26" s="132">
        <v>664022</v>
      </c>
      <c r="G26" s="132">
        <f t="shared" si="0"/>
        <v>4743195</v>
      </c>
      <c r="H26" s="132">
        <f t="shared" si="1"/>
        <v>0.14934553607852935</v>
      </c>
    </row>
    <row r="27" spans="1:8" x14ac:dyDescent="0.3">
      <c r="A27" s="132" t="s">
        <v>633</v>
      </c>
      <c r="B27" s="132">
        <v>109442</v>
      </c>
      <c r="C27" s="132">
        <v>104271</v>
      </c>
      <c r="D27" s="132">
        <v>147373</v>
      </c>
      <c r="E27" s="132">
        <v>148895</v>
      </c>
      <c r="F27" s="132">
        <v>68255</v>
      </c>
      <c r="G27" s="132">
        <f t="shared" si="0"/>
        <v>578236</v>
      </c>
      <c r="H27" s="132">
        <f t="shared" si="1"/>
        <v>0.18926874148271641</v>
      </c>
    </row>
    <row r="28" spans="1:8" x14ac:dyDescent="0.3">
      <c r="A28" s="132" t="s">
        <v>351</v>
      </c>
      <c r="B28" s="132">
        <v>53440</v>
      </c>
      <c r="C28" s="132">
        <v>51842</v>
      </c>
      <c r="D28" s="132">
        <v>37451</v>
      </c>
      <c r="E28" s="132">
        <v>58063</v>
      </c>
      <c r="F28" s="132">
        <v>70125</v>
      </c>
      <c r="G28" s="132">
        <f t="shared" si="0"/>
        <v>270921</v>
      </c>
      <c r="H28" s="132">
        <f t="shared" si="1"/>
        <v>0.19725307377427367</v>
      </c>
    </row>
    <row r="29" spans="1:8" x14ac:dyDescent="0.3">
      <c r="A29" s="132" t="s">
        <v>353</v>
      </c>
      <c r="B29" s="132">
        <v>324535</v>
      </c>
      <c r="C29" s="132">
        <v>322496</v>
      </c>
      <c r="D29" s="132">
        <v>317548</v>
      </c>
      <c r="E29" s="132">
        <v>479769</v>
      </c>
      <c r="F29" s="132">
        <v>420966</v>
      </c>
      <c r="G29" s="132">
        <f t="shared" si="0"/>
        <v>1865314</v>
      </c>
      <c r="H29" s="132">
        <f t="shared" si="1"/>
        <v>0.17398411205834513</v>
      </c>
    </row>
    <row r="30" spans="1:8" x14ac:dyDescent="0.3">
      <c r="A30" s="132" t="s">
        <v>349</v>
      </c>
      <c r="B30" s="132">
        <v>547215</v>
      </c>
      <c r="C30" s="132">
        <v>526272</v>
      </c>
      <c r="D30" s="132">
        <v>539975</v>
      </c>
      <c r="E30" s="132">
        <v>744166</v>
      </c>
      <c r="F30" s="132">
        <v>835550</v>
      </c>
      <c r="G30" s="132">
        <f t="shared" si="0"/>
        <v>3193178</v>
      </c>
      <c r="H30" s="132">
        <f t="shared" si="1"/>
        <v>0.17137002697626003</v>
      </c>
    </row>
    <row r="31" spans="1:8" x14ac:dyDescent="0.3">
      <c r="A31" s="132" t="s">
        <v>338</v>
      </c>
      <c r="B31" s="132">
        <v>430326</v>
      </c>
      <c r="C31" s="132">
        <v>424447</v>
      </c>
      <c r="D31" s="132">
        <v>632754</v>
      </c>
      <c r="E31" s="132">
        <v>804132</v>
      </c>
      <c r="F31" s="132">
        <v>523363</v>
      </c>
      <c r="G31" s="132">
        <f t="shared" si="0"/>
        <v>2815022</v>
      </c>
      <c r="H31" s="132">
        <f t="shared" si="1"/>
        <v>0.15286772181531796</v>
      </c>
    </row>
    <row r="32" spans="1:8" x14ac:dyDescent="0.3">
      <c r="A32" s="132" t="s">
        <v>346</v>
      </c>
      <c r="B32" s="132">
        <v>259471</v>
      </c>
      <c r="C32" s="132">
        <v>268683</v>
      </c>
      <c r="D32" s="132">
        <v>436237</v>
      </c>
      <c r="E32" s="132">
        <v>526794</v>
      </c>
      <c r="F32" s="132">
        <v>253938</v>
      </c>
      <c r="G32" s="132">
        <f t="shared" si="0"/>
        <v>1745123</v>
      </c>
      <c r="H32" s="132">
        <f t="shared" si="1"/>
        <v>0.14868350253821649</v>
      </c>
    </row>
  </sheetData>
  <phoneticPr fontId="33" type="noConversion"/>
  <conditionalFormatting sqref="A1:A1048576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8"/>
  </sheetPr>
  <dimension ref="A1:AN97"/>
  <sheetViews>
    <sheetView zoomScale="80" zoomScaleNormal="80" workbookViewId="0">
      <pane xSplit="2" ySplit="1" topLeftCell="C2" activePane="bottomRight" state="frozen"/>
      <selection pane="topRight"/>
      <selection pane="bottomLeft"/>
      <selection pane="bottomRight" activeCell="E2" sqref="E2:U2"/>
    </sheetView>
  </sheetViews>
  <sheetFormatPr defaultColWidth="9" defaultRowHeight="14" x14ac:dyDescent="0.3"/>
  <cols>
    <col min="1" max="1" width="9" style="59"/>
    <col min="2" max="2" width="38.08203125" style="60" customWidth="1"/>
    <col min="3" max="3" width="8" style="59" customWidth="1"/>
    <col min="4" max="4" width="15.25" style="59" customWidth="1"/>
    <col min="5" max="5" width="15.25" style="61" customWidth="1"/>
    <col min="6" max="8" width="11.25" style="61" customWidth="1"/>
    <col min="9" max="21" width="12.5" style="61" customWidth="1"/>
    <col min="22" max="32" width="12.5" style="59" customWidth="1"/>
    <col min="33" max="38" width="14.33203125" style="59" customWidth="1"/>
    <col min="39" max="39" width="18.08203125" style="59" customWidth="1"/>
    <col min="40" max="40" width="9" style="62"/>
    <col min="41" max="16384" width="9" style="59"/>
  </cols>
  <sheetData>
    <row r="1" spans="1:40" ht="15" x14ac:dyDescent="0.3">
      <c r="A1" s="63" t="s">
        <v>354</v>
      </c>
      <c r="B1" s="64" t="s">
        <v>355</v>
      </c>
      <c r="C1" s="65" t="s">
        <v>356</v>
      </c>
      <c r="D1" s="66" t="s">
        <v>357</v>
      </c>
      <c r="E1" s="67" t="s">
        <v>358</v>
      </c>
      <c r="F1" s="67" t="s">
        <v>359</v>
      </c>
      <c r="G1" s="67" t="s">
        <v>360</v>
      </c>
      <c r="H1" s="67" t="s">
        <v>361</v>
      </c>
      <c r="I1" s="67" t="s">
        <v>362</v>
      </c>
      <c r="J1" s="67" t="s">
        <v>363</v>
      </c>
      <c r="K1" s="67" t="s">
        <v>364</v>
      </c>
      <c r="L1" s="67" t="s">
        <v>365</v>
      </c>
      <c r="M1" s="67" t="s">
        <v>366</v>
      </c>
      <c r="N1" s="67" t="s">
        <v>367</v>
      </c>
      <c r="O1" s="67" t="s">
        <v>368</v>
      </c>
      <c r="P1" s="67" t="s">
        <v>369</v>
      </c>
      <c r="Q1" s="67" t="s">
        <v>370</v>
      </c>
      <c r="R1" s="67" t="s">
        <v>371</v>
      </c>
      <c r="S1" s="67" t="s">
        <v>372</v>
      </c>
      <c r="T1" s="67" t="s">
        <v>373</v>
      </c>
      <c r="U1" s="67" t="s">
        <v>638</v>
      </c>
      <c r="V1" s="76" t="s">
        <v>374</v>
      </c>
      <c r="W1" s="76" t="s">
        <v>375</v>
      </c>
      <c r="X1" s="76" t="s">
        <v>376</v>
      </c>
      <c r="Y1" s="76" t="s">
        <v>377</v>
      </c>
      <c r="Z1" s="76" t="s">
        <v>378</v>
      </c>
      <c r="AA1" s="76" t="s">
        <v>379</v>
      </c>
      <c r="AB1" s="76" t="s">
        <v>380</v>
      </c>
      <c r="AC1" s="76" t="s">
        <v>381</v>
      </c>
      <c r="AD1" s="76" t="s">
        <v>382</v>
      </c>
      <c r="AE1" s="76" t="s">
        <v>383</v>
      </c>
      <c r="AF1" s="76" t="s">
        <v>384</v>
      </c>
      <c r="AG1" s="76" t="s">
        <v>385</v>
      </c>
      <c r="AH1" s="76" t="s">
        <v>386</v>
      </c>
      <c r="AI1" s="76" t="s">
        <v>387</v>
      </c>
      <c r="AJ1" s="76" t="s">
        <v>388</v>
      </c>
      <c r="AK1" s="76" t="s">
        <v>389</v>
      </c>
      <c r="AL1" s="76" t="s">
        <v>390</v>
      </c>
      <c r="AM1" s="77" t="s">
        <v>4</v>
      </c>
      <c r="AN1" s="78" t="s">
        <v>67</v>
      </c>
    </row>
    <row r="2" spans="1:40" ht="15" x14ac:dyDescent="0.3">
      <c r="A2" s="68">
        <v>1</v>
      </c>
      <c r="B2" s="79" t="s">
        <v>776</v>
      </c>
      <c r="C2" s="69"/>
      <c r="D2" s="70">
        <f>SUM(V2:AL2)</f>
        <v>31820940.011901285</v>
      </c>
      <c r="E2" s="71">
        <f>23.8%/34.9%*(1-(1-E3)*(1-E4)*(1-E5)*(1-E6)*(1-E7)*(1-E8)*(1-E9)*(1-E10)*(1-E11)*(1-E12)*(1-E13)*(1-E14)*(1-E15)*(1-E16)*(1-E17)*(1-E18)*(1-E19)*(1-E20)*(1-E21)*(1-E22)*(1-E23)*(1-E24)*(1-E25)*(1-E26)*(1-E27)*(1-E28)*(1-E29)*(1-E30)*(1-E31)*(1-E32)*(1-E33)*(1-E35)*(1-E36)*(1-E37)*(1-E38)*(1-E39)*(1-E41)*(1-E42)*(1-E43)*(1-E44)*(1-E45)*(1-E46)*(1-E47)*(1-E48)*(1-E49)*(1-E50)*(1-E51)*(1-E52)*(1-E53)*(1-E54)*(1-E55)*(1-E56)*(1-E57)*(1-E58)*(1-E59)*(1-E60)*(1-E61)*(1-E62)*(1-E63)*(1-E64)*(1-E65)*(1-E68)*(1-E69)*(1-E70)*(1-E71)*(1-E72)*(1-E73)*(1-E74)*(1-E75)*(1-E76)*(1-E77)*(1-E78)*(1-E79)*(1-E80)*(1-E81)*(1-E82)*(1-E83)*(1-E84)*(1-E85)*(1-E86)*(1-E87)*(1-E88)*(1-E89)*(1-E90)*(1-E91)*(1-E92)*(1-E93)*(1-E94)*(1-E95))</f>
        <v>4.3482169502683118E-2</v>
      </c>
      <c r="F2" s="71">
        <f t="shared" ref="F2:T2" si="0">23.8%/34.9%*(1-(1-F3)*(1-F4)*(1-F5)*(1-F6)*(1-F7)*(1-F8)*(1-F9)*(1-F10)*(1-F11)*(1-F12)*(1-F13)*(1-F14)*(1-F15)*(1-F16)*(1-F17)*(1-F18)*(1-F19)*(1-F20)*(1-F21)*(1-F22)*(1-F23)*(1-F24)*(1-F25)*(1-F26)*(1-F27)*(1-F28)*(1-F29)*(1-F30)*(1-F31)*(1-F32)*(1-F33)*(1-F35)*(1-F36)*(1-F37)*(1-F38)*(1-F39)*(1-F41)*(1-F42)*(1-F43)*(1-F44)*(1-F45)*(1-F46)*(1-F47)*(1-F48)*(1-F49)*(1-F50)*(1-F51)*(1-F52)*(1-F53)*(1-F54)*(1-F55)*(1-F56)*(1-F57)*(1-F58)*(1-F59)*(1-F60)*(1-F61)*(1-F62)*(1-F63)*(1-F64)*(1-F65)*(1-F68)*(1-F69)*(1-F70)*(1-F71)*(1-F72)*(1-F73)*(1-F74)*(1-F75)*(1-F76)*(1-F77)*(1-F78)*(1-F79)*(1-F80)*(1-F81)*(1-F82)*(1-F83)*(1-F84)*(1-F85)*(1-F86)*(1-F87)*(1-F88)*(1-F89)*(1-F90)*(1-F91)*(1-F92)*(1-F93)*(1-F94)*(1-F95))</f>
        <v>9.9335852876602043E-2</v>
      </c>
      <c r="G2" s="71">
        <f t="shared" si="0"/>
        <v>7.4587177515286512E-2</v>
      </c>
      <c r="H2" s="71">
        <f t="shared" si="0"/>
        <v>7.7143255820879983E-2</v>
      </c>
      <c r="I2" s="71">
        <f t="shared" si="0"/>
        <v>0.13540886753774248</v>
      </c>
      <c r="J2" s="71">
        <f t="shared" si="0"/>
        <v>0.16168074441267438</v>
      </c>
      <c r="K2" s="71">
        <f t="shared" si="0"/>
        <v>0.18270985846306556</v>
      </c>
      <c r="L2" s="71">
        <f t="shared" si="0"/>
        <v>0.20882969575011484</v>
      </c>
      <c r="M2" s="71">
        <f t="shared" si="0"/>
        <v>0.22344837470992929</v>
      </c>
      <c r="N2" s="71">
        <f t="shared" si="0"/>
        <v>0.23941380861439182</v>
      </c>
      <c r="O2" s="71">
        <f t="shared" si="0"/>
        <v>0.27131384281365611</v>
      </c>
      <c r="P2" s="71">
        <f t="shared" si="0"/>
        <v>0.30931236349505792</v>
      </c>
      <c r="Q2" s="71">
        <f t="shared" si="0"/>
        <v>0.35265771417365643</v>
      </c>
      <c r="R2" s="71">
        <f t="shared" si="0"/>
        <v>0.41218157328766236</v>
      </c>
      <c r="S2" s="71">
        <f t="shared" si="0"/>
        <v>0.47249877922145123</v>
      </c>
      <c r="T2" s="71">
        <f t="shared" si="0"/>
        <v>0.53453480978776413</v>
      </c>
      <c r="U2" s="71">
        <f>23.8%/34.9%*(1-(1-U3)*(1-U4)*(1-U5)*(1-U6)*(1-U7)*(1-U8)*(1-U9)*(1-U10)*(1-U11)*(1-U12)*(1-U13)*(1-U14)*(1-U15)*(1-U16)*(1-U17)*(1-U18)*(1-U19)*(1-U20)*(1-U21)*(1-U22)*(1-U23)*(1-U24)*(1-U25)*(1-U26)*(1-U27)*(1-U28)*(1-U29)*(1-U30)*(1-U31)*(1-U32)*(1-U33)*(1-U35)*(1-U36)*(1-U37)*(1-U38)*(1-U39)*(1-U41)*(1-U42)*(1-U43)*(1-U44)*(1-U45)*(1-U46)*(1-U47)*(1-U48)*(1-U49)*(1-U50)*(1-U51)*(1-U52)*(1-U53)*(1-U54)*(1-U55)*(1-U56)*(1-U57)*(1-U58)*(1-U59)*(1-U60)*(1-U61)*(1-U62)*(1-U63)*(1-U64)*(1-U65)*(1-U68)*(1-U69)*(1-U70)*(1-U71)*(1-U72)*(1-U73)*(1-U74)*(1-U75)*(1-U76)*(1-U77)*(1-U78)*(1-U79)*(1-U80)*(1-U81)*(1-U82)*(1-U83)*(1-U84)*(1-U85)*(1-U86)*(1-U87)*(1-U88)*(1-U89)*(1-U90)*(1-U91)*(1-U92)*(1-U93)*(1-U94)*(1-U95))</f>
        <v>0.60181437813032912</v>
      </c>
      <c r="V2" s="70">
        <f>E2*'Population size in China'!D6</f>
        <v>349652.38917272957</v>
      </c>
      <c r="W2" s="70">
        <f>F2*'Population size in China'!D7</f>
        <v>773049.43659777194</v>
      </c>
      <c r="X2" s="70">
        <f>G2*'Population size in China'!D8</f>
        <v>572255.77579805208</v>
      </c>
      <c r="Y2" s="70">
        <f>H2*'Population size in China'!D9</f>
        <v>552088.56749143114</v>
      </c>
      <c r="Z2" s="70">
        <f>I2*'Population size in China'!D10</f>
        <v>1067976.6823146641</v>
      </c>
      <c r="AA2" s="70">
        <f>J2*'Population size in China'!D11</f>
        <v>1694352.0165431306</v>
      </c>
      <c r="AB2" s="70">
        <f>K2*'Population size in China'!D12</f>
        <v>2201208.7320041968</v>
      </c>
      <c r="AC2" s="70">
        <f>L2*'Population size in China'!D13</f>
        <v>2080345.3652398943</v>
      </c>
      <c r="AD2" s="70">
        <f>M2*'Population size in China'!D14</f>
        <v>2207096.997583563</v>
      </c>
      <c r="AE2" s="70">
        <f>N2*'Population size in China'!D15</f>
        <v>2934998.4350662511</v>
      </c>
      <c r="AF2" s="70">
        <f>O2*'Population size in China'!D16</f>
        <v>3239243.7964130417</v>
      </c>
      <c r="AG2" s="70">
        <f>P2*'Population size in China'!D17</f>
        <v>2937198.479404096</v>
      </c>
      <c r="AH2" s="70">
        <f>Q2*'Population size in China'!D18</f>
        <v>2744942.9670398757</v>
      </c>
      <c r="AI2" s="70">
        <f>R2*'Population size in China'!D19</f>
        <v>2910953.0956569449</v>
      </c>
      <c r="AJ2" s="70">
        <f>S2*'Population size in China'!D20</f>
        <v>2160470.3796068025</v>
      </c>
      <c r="AK2" s="70">
        <f>T2*'Population size in China'!D21</f>
        <v>1549465.6473463266</v>
      </c>
      <c r="AL2" s="70">
        <f>U2*'Population size in China'!D5</f>
        <v>1845641.2486225134</v>
      </c>
      <c r="AM2" s="79" t="s">
        <v>391</v>
      </c>
      <c r="AN2" s="80"/>
    </row>
    <row r="3" spans="1:40" s="58" customFormat="1" ht="15.5" x14ac:dyDescent="0.3">
      <c r="A3" s="68">
        <v>2</v>
      </c>
      <c r="B3" s="151" t="s">
        <v>392</v>
      </c>
      <c r="C3" s="72">
        <v>2015</v>
      </c>
      <c r="D3" s="73">
        <f>SUM(Y3+Z3+AA3+AB3+AC3+AD3+AE3+AF3+AG3+AH3+AI3+AJ3)</f>
        <v>0</v>
      </c>
      <c r="E3" s="74"/>
      <c r="F3" s="74">
        <v>6.1582311000000001E-2</v>
      </c>
      <c r="G3" s="74">
        <v>3.0824434000000001E-2</v>
      </c>
      <c r="H3" s="74">
        <v>2.8016513999999999E-2</v>
      </c>
      <c r="I3" s="74">
        <v>3.0467213999999999E-2</v>
      </c>
      <c r="J3" s="74">
        <v>4.7676278000000002E-2</v>
      </c>
      <c r="K3" s="74">
        <v>4.9739917000000002E-2</v>
      </c>
      <c r="L3" s="74">
        <v>6.4824340999999994E-2</v>
      </c>
      <c r="M3" s="74">
        <v>5.9803015000000001E-2</v>
      </c>
      <c r="N3" s="74">
        <v>5.9492073999999999E-2</v>
      </c>
      <c r="O3" s="74">
        <v>6.2376139999999997E-2</v>
      </c>
      <c r="P3" s="74">
        <v>5.8883035E-2</v>
      </c>
      <c r="Q3" s="74">
        <v>5.4971351000000002E-2</v>
      </c>
      <c r="R3" s="74">
        <v>6.3238586999999999E-2</v>
      </c>
      <c r="S3" s="74">
        <v>4.4314601000000002E-2</v>
      </c>
      <c r="T3" s="74">
        <v>4.9176396999999997E-2</v>
      </c>
      <c r="U3" s="74">
        <v>4.304156E-2</v>
      </c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69"/>
      <c r="AI3" s="69"/>
      <c r="AJ3" s="69"/>
      <c r="AK3" s="69"/>
      <c r="AL3" s="69"/>
      <c r="AM3" s="72" t="s">
        <v>393</v>
      </c>
      <c r="AN3" s="81" t="s">
        <v>394</v>
      </c>
    </row>
    <row r="4" spans="1:40" s="58" customFormat="1" ht="15" x14ac:dyDescent="0.3">
      <c r="A4" s="75">
        <v>3</v>
      </c>
      <c r="B4" s="152" t="s">
        <v>395</v>
      </c>
      <c r="C4" s="72">
        <v>2019</v>
      </c>
      <c r="D4" s="73">
        <f t="shared" ref="D4" si="1">SUM(Y4+Z4+AA4+AB4+AC4+AD4+AE4+AF4+AG4+AH4+AI4+AJ4)</f>
        <v>0</v>
      </c>
      <c r="E4" s="74">
        <v>0</v>
      </c>
      <c r="F4" s="74">
        <v>0</v>
      </c>
      <c r="G4" s="74">
        <v>0</v>
      </c>
      <c r="H4" s="74">
        <v>6.8381246096212102E-7</v>
      </c>
      <c r="I4" s="74">
        <v>1.0095786153025901E-6</v>
      </c>
      <c r="J4" s="74">
        <v>1.24071380366564E-6</v>
      </c>
      <c r="K4" s="74">
        <v>1.7481099922400001E-6</v>
      </c>
      <c r="L4" s="74">
        <v>3.17557550955107E-6</v>
      </c>
      <c r="M4" s="74">
        <v>5.6803337658503E-6</v>
      </c>
      <c r="N4" s="74">
        <v>7.7077821434169302E-6</v>
      </c>
      <c r="O4" s="74">
        <v>1.1012019761352901E-5</v>
      </c>
      <c r="P4" s="74">
        <v>1.5329365217627E-5</v>
      </c>
      <c r="Q4" s="74">
        <v>2.0566082984484301E-5</v>
      </c>
      <c r="R4" s="74">
        <v>2.6556532144343901E-5</v>
      </c>
      <c r="S4" s="74">
        <v>3.4505819153034902E-5</v>
      </c>
      <c r="T4" s="74">
        <v>4.2343291861524902E-5</v>
      </c>
      <c r="U4" s="74">
        <v>4.3857692113983099E-5</v>
      </c>
      <c r="V4" s="72"/>
      <c r="W4" s="72"/>
      <c r="X4" s="72"/>
      <c r="Y4" s="72"/>
      <c r="Z4" s="72"/>
      <c r="AA4" s="72"/>
      <c r="AB4" s="72"/>
      <c r="AC4" s="72"/>
      <c r="AD4" s="72"/>
      <c r="AE4" s="72"/>
      <c r="AF4" s="72"/>
      <c r="AG4" s="72"/>
      <c r="AH4" s="69"/>
      <c r="AI4" s="69"/>
      <c r="AJ4" s="69"/>
      <c r="AK4" s="69"/>
      <c r="AL4" s="69"/>
      <c r="AM4" s="72" t="s">
        <v>393</v>
      </c>
      <c r="AN4" s="81" t="s">
        <v>394</v>
      </c>
    </row>
    <row r="5" spans="1:40" ht="15" x14ac:dyDescent="0.3">
      <c r="A5" s="68">
        <v>4</v>
      </c>
      <c r="B5" s="152" t="s">
        <v>396</v>
      </c>
      <c r="C5" s="72">
        <v>2019</v>
      </c>
      <c r="D5" s="73">
        <f t="shared" ref="D5:D68" si="2">SUM(Y5+Z5+AA5+AB5+AC5+AD5+AE5+AF5+AG5+AH5+AI5+AJ5)</f>
        <v>0</v>
      </c>
      <c r="E5" s="74">
        <v>1.7692538829921901E-4</v>
      </c>
      <c r="F5" s="74">
        <v>2.8750320783388399E-4</v>
      </c>
      <c r="G5" s="74">
        <v>4.0596132522992002E-4</v>
      </c>
      <c r="H5" s="74">
        <v>7.4909819877870098E-4</v>
      </c>
      <c r="I5" s="74">
        <v>4.4123347403939598E-4</v>
      </c>
      <c r="J5" s="74">
        <v>4.0813329958838901E-4</v>
      </c>
      <c r="K5" s="74">
        <v>4.7167223083581598E-4</v>
      </c>
      <c r="L5" s="74">
        <v>5.1733510157955798E-4</v>
      </c>
      <c r="M5" s="74">
        <v>5.0780328541300999E-4</v>
      </c>
      <c r="N5" s="74">
        <v>4.63829256413446E-4</v>
      </c>
      <c r="O5" s="74">
        <v>4.2814027646880898E-4</v>
      </c>
      <c r="P5" s="74">
        <v>4.1141608646480499E-4</v>
      </c>
      <c r="Q5" s="74">
        <v>3.7994096980761702E-4</v>
      </c>
      <c r="R5" s="74">
        <v>3.3171793928343601E-4</v>
      </c>
      <c r="S5" s="74">
        <v>2.9719584777118099E-4</v>
      </c>
      <c r="T5" s="74">
        <v>2.5298824931226799E-4</v>
      </c>
      <c r="U5" s="74">
        <v>1.77611733065555E-4</v>
      </c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 t="s">
        <v>393</v>
      </c>
      <c r="AN5" s="79" t="s">
        <v>394</v>
      </c>
    </row>
    <row r="6" spans="1:40" ht="15" x14ac:dyDescent="0.3">
      <c r="A6" s="68">
        <v>5</v>
      </c>
      <c r="B6" s="152" t="s">
        <v>397</v>
      </c>
      <c r="C6" s="72">
        <v>2019</v>
      </c>
      <c r="D6" s="73">
        <f t="shared" si="2"/>
        <v>0</v>
      </c>
      <c r="E6" s="74">
        <v>0</v>
      </c>
      <c r="F6" s="74">
        <v>0</v>
      </c>
      <c r="G6" s="74">
        <v>0</v>
      </c>
      <c r="H6" s="74">
        <v>1.0274983579027399E-3</v>
      </c>
      <c r="I6" s="74">
        <v>4.3111080145187899E-3</v>
      </c>
      <c r="J6" s="74">
        <v>1.02489999045041E-2</v>
      </c>
      <c r="K6" s="74">
        <v>1.6231346806260399E-2</v>
      </c>
      <c r="L6" s="74">
        <v>2.09347712952778E-2</v>
      </c>
      <c r="M6" s="74">
        <v>2.3392640429799001E-2</v>
      </c>
      <c r="N6" s="74">
        <v>2.50374890654513E-2</v>
      </c>
      <c r="O6" s="74">
        <v>2.9280414295151401E-2</v>
      </c>
      <c r="P6" s="74">
        <v>3.4537911718899202E-2</v>
      </c>
      <c r="Q6" s="74">
        <v>3.8457203666776199E-2</v>
      </c>
      <c r="R6" s="74">
        <v>4.4551040001803599E-2</v>
      </c>
      <c r="S6" s="74">
        <v>5.7049785972990701E-2</v>
      </c>
      <c r="T6" s="74">
        <v>7.0716945900857794E-2</v>
      </c>
      <c r="U6" s="74">
        <v>7.2445015916255504E-2</v>
      </c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 t="s">
        <v>393</v>
      </c>
      <c r="AN6" s="79" t="s">
        <v>394</v>
      </c>
    </row>
    <row r="7" spans="1:40" ht="15" x14ac:dyDescent="0.3">
      <c r="A7" s="68">
        <v>6</v>
      </c>
      <c r="B7" s="152" t="s">
        <v>398</v>
      </c>
      <c r="C7" s="72">
        <v>2019</v>
      </c>
      <c r="D7" s="73">
        <f t="shared" si="2"/>
        <v>0</v>
      </c>
      <c r="E7" s="74">
        <v>0</v>
      </c>
      <c r="F7" s="74">
        <v>9.1250046183168593E-6</v>
      </c>
      <c r="G7" s="74">
        <v>9.5573649010150406E-6</v>
      </c>
      <c r="H7" s="74">
        <v>6.7841630061062503E-5</v>
      </c>
      <c r="I7" s="74">
        <v>1.5986017390854301E-4</v>
      </c>
      <c r="J7" s="74">
        <v>2.8728744724580902E-4</v>
      </c>
      <c r="K7" s="74">
        <v>5.4842342068136304E-4</v>
      </c>
      <c r="L7" s="74">
        <v>9.6761970119716996E-4</v>
      </c>
      <c r="M7" s="74">
        <v>1.48254870162895E-3</v>
      </c>
      <c r="N7" s="74">
        <v>1.9005773166513699E-3</v>
      </c>
      <c r="O7" s="74">
        <v>2.94035601307505E-3</v>
      </c>
      <c r="P7" s="74">
        <v>4.3381301202038997E-3</v>
      </c>
      <c r="Q7" s="74">
        <v>6.0586641908200603E-3</v>
      </c>
      <c r="R7" s="74">
        <v>7.8028160054695803E-3</v>
      </c>
      <c r="S7" s="74">
        <v>9.9907330919253301E-3</v>
      </c>
      <c r="T7" s="74">
        <v>1.0486785365146601E-2</v>
      </c>
      <c r="U7" s="74">
        <v>7.2445015916255504E-2</v>
      </c>
      <c r="V7" s="69"/>
      <c r="W7" s="69"/>
      <c r="X7" s="69"/>
      <c r="Y7" s="69"/>
      <c r="Z7" s="69"/>
      <c r="AA7" s="69"/>
      <c r="AB7" s="69"/>
      <c r="AC7" s="69"/>
      <c r="AD7" s="69"/>
      <c r="AE7" s="69"/>
      <c r="AF7" s="69"/>
      <c r="AG7" s="69"/>
      <c r="AH7" s="69"/>
      <c r="AI7" s="69"/>
      <c r="AJ7" s="69"/>
      <c r="AK7" s="69"/>
      <c r="AL7" s="69"/>
      <c r="AM7" s="69" t="s">
        <v>393</v>
      </c>
      <c r="AN7" s="79" t="s">
        <v>394</v>
      </c>
    </row>
    <row r="8" spans="1:40" ht="15" x14ac:dyDescent="0.3">
      <c r="A8" s="68">
        <v>7</v>
      </c>
      <c r="B8" s="152" t="s">
        <v>399</v>
      </c>
      <c r="C8" s="72">
        <v>2019</v>
      </c>
      <c r="D8" s="73">
        <f t="shared" si="2"/>
        <v>0</v>
      </c>
      <c r="E8" s="74">
        <v>0</v>
      </c>
      <c r="F8" s="74">
        <v>3.7802650027011399E-6</v>
      </c>
      <c r="G8" s="74">
        <v>3.4371301040993401E-6</v>
      </c>
      <c r="H8" s="74">
        <v>9.4606062181451298E-6</v>
      </c>
      <c r="I8" s="74">
        <v>1.3821797972750799E-5</v>
      </c>
      <c r="J8" s="74">
        <v>1.9027387273466801E-5</v>
      </c>
      <c r="K8" s="74">
        <v>4.0394095990721102E-5</v>
      </c>
      <c r="L8" s="74">
        <v>6.2449982052229397E-5</v>
      </c>
      <c r="M8" s="74">
        <v>7.3347726227028398E-5</v>
      </c>
      <c r="N8" s="74">
        <v>1.12439853455966E-4</v>
      </c>
      <c r="O8" s="74">
        <v>1.7800566192686799E-4</v>
      </c>
      <c r="P8" s="74">
        <v>2.6516540171894997E-4</v>
      </c>
      <c r="Q8" s="74">
        <v>2.8666645153432499E-4</v>
      </c>
      <c r="R8" s="74">
        <v>3.79721469915528E-4</v>
      </c>
      <c r="S8" s="74">
        <v>4.7726694128989299E-4</v>
      </c>
      <c r="T8" s="74">
        <v>4.8585929242849998E-4</v>
      </c>
      <c r="U8" s="74">
        <v>2.5414458678267902E-4</v>
      </c>
      <c r="V8" s="69"/>
      <c r="W8" s="69"/>
      <c r="X8" s="69"/>
      <c r="Y8" s="69"/>
      <c r="Z8" s="69"/>
      <c r="AA8" s="69"/>
      <c r="AB8" s="69"/>
      <c r="AC8" s="69"/>
      <c r="AD8" s="69"/>
      <c r="AE8" s="69"/>
      <c r="AF8" s="69"/>
      <c r="AG8" s="69"/>
      <c r="AH8" s="69"/>
      <c r="AI8" s="69"/>
      <c r="AJ8" s="69"/>
      <c r="AK8" s="69"/>
      <c r="AL8" s="69"/>
      <c r="AM8" s="69" t="s">
        <v>393</v>
      </c>
      <c r="AN8" s="79" t="s">
        <v>394</v>
      </c>
    </row>
    <row r="9" spans="1:40" ht="15" x14ac:dyDescent="0.3">
      <c r="A9" s="68">
        <v>8</v>
      </c>
      <c r="B9" s="152" t="s">
        <v>400</v>
      </c>
      <c r="C9" s="72">
        <v>2019</v>
      </c>
      <c r="D9" s="73">
        <f t="shared" si="2"/>
        <v>0</v>
      </c>
      <c r="E9" s="74">
        <v>0</v>
      </c>
      <c r="F9" s="74">
        <v>1.3648086430164101E-5</v>
      </c>
      <c r="G9" s="74">
        <v>2.0333150187743701E-5</v>
      </c>
      <c r="H9" s="74">
        <v>5.63826674094025E-5</v>
      </c>
      <c r="I9" s="74">
        <v>8.8705622512229304E-5</v>
      </c>
      <c r="J9" s="74">
        <v>1.58792653309462E-4</v>
      </c>
      <c r="K9" s="74">
        <v>4.1541945736481701E-4</v>
      </c>
      <c r="L9" s="74">
        <v>5.8709418158036698E-4</v>
      </c>
      <c r="M9" s="74">
        <v>8.3312114210759602E-4</v>
      </c>
      <c r="N9" s="74">
        <v>8.4397566518666103E-4</v>
      </c>
      <c r="O9" s="74">
        <v>8.73440921648495E-4</v>
      </c>
      <c r="P9" s="74">
        <v>8.8024465513239405E-4</v>
      </c>
      <c r="Q9" s="74">
        <v>8.4111815952296696E-4</v>
      </c>
      <c r="R9" s="74">
        <v>7.2843255062532202E-4</v>
      </c>
      <c r="S9" s="74">
        <v>5.1045399378982703E-4</v>
      </c>
      <c r="T9" s="74">
        <v>4.7639686987654002E-4</v>
      </c>
      <c r="U9" s="74">
        <v>4.87885897819517E-4</v>
      </c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 t="s">
        <v>393</v>
      </c>
      <c r="AN9" s="79" t="s">
        <v>394</v>
      </c>
    </row>
    <row r="10" spans="1:40" ht="15" x14ac:dyDescent="0.3">
      <c r="A10" s="68">
        <v>9</v>
      </c>
      <c r="B10" s="152" t="s">
        <v>401</v>
      </c>
      <c r="C10" s="72">
        <v>2019</v>
      </c>
      <c r="D10" s="73">
        <f t="shared" si="2"/>
        <v>0</v>
      </c>
      <c r="E10" s="74">
        <v>0</v>
      </c>
      <c r="F10" s="74">
        <v>0</v>
      </c>
      <c r="G10" s="74">
        <v>0</v>
      </c>
      <c r="H10" s="74">
        <v>0</v>
      </c>
      <c r="I10" s="74">
        <v>2.9045508888465699E-6</v>
      </c>
      <c r="J10" s="74">
        <v>2.6872109901973698E-6</v>
      </c>
      <c r="K10" s="74">
        <v>3.6932783159896598E-6</v>
      </c>
      <c r="L10" s="74">
        <v>6.3571542182255196E-6</v>
      </c>
      <c r="M10" s="74">
        <v>1.23586664039731E-5</v>
      </c>
      <c r="N10" s="74">
        <v>1.6797608398868599E-5</v>
      </c>
      <c r="O10" s="74">
        <v>2.53593270787744E-5</v>
      </c>
      <c r="P10" s="74">
        <v>2.6837611945715601E-5</v>
      </c>
      <c r="Q10" s="74">
        <v>2.9082571495969499E-5</v>
      </c>
      <c r="R10" s="74">
        <v>2.5555825777719399E-5</v>
      </c>
      <c r="S10" s="74">
        <v>3.4992782353424998E-5</v>
      </c>
      <c r="T10" s="74">
        <v>2.59209488880575E-5</v>
      </c>
      <c r="U10" s="74">
        <v>2.2731953327807199E-5</v>
      </c>
      <c r="V10" s="69"/>
      <c r="W10" s="69"/>
      <c r="X10" s="69"/>
      <c r="Y10" s="69"/>
      <c r="Z10" s="69"/>
      <c r="AA10" s="69"/>
      <c r="AB10" s="69"/>
      <c r="AC10" s="69"/>
      <c r="AD10" s="69"/>
      <c r="AE10" s="69"/>
      <c r="AF10" s="69"/>
      <c r="AG10" s="69"/>
      <c r="AH10" s="69"/>
      <c r="AI10" s="69"/>
      <c r="AJ10" s="69"/>
      <c r="AK10" s="69"/>
      <c r="AL10" s="69"/>
      <c r="AM10" s="69" t="s">
        <v>393</v>
      </c>
      <c r="AN10" s="79" t="s">
        <v>394</v>
      </c>
    </row>
    <row r="11" spans="1:40" ht="15" x14ac:dyDescent="0.3">
      <c r="A11" s="68">
        <v>10</v>
      </c>
      <c r="B11" s="152" t="s">
        <v>402</v>
      </c>
      <c r="C11" s="72">
        <v>2019</v>
      </c>
      <c r="D11" s="73">
        <f t="shared" si="2"/>
        <v>0</v>
      </c>
      <c r="E11" s="74">
        <v>0</v>
      </c>
      <c r="F11" s="74">
        <v>0</v>
      </c>
      <c r="G11" s="74">
        <v>0</v>
      </c>
      <c r="H11" s="74">
        <v>0</v>
      </c>
      <c r="I11" s="74">
        <v>1.0709465734445401E-6</v>
      </c>
      <c r="J11" s="74">
        <v>1.7868366450516199E-6</v>
      </c>
      <c r="K11" s="74">
        <v>3.8655527494104996E-6</v>
      </c>
      <c r="L11" s="74">
        <v>7.34406124620636E-6</v>
      </c>
      <c r="M11" s="74">
        <v>1.3767693097698501E-5</v>
      </c>
      <c r="N11" s="74">
        <v>1.5207937118673101E-5</v>
      </c>
      <c r="O11" s="74">
        <v>2.7198224741155501E-5</v>
      </c>
      <c r="P11" s="74">
        <v>5.0493686429365001E-5</v>
      </c>
      <c r="Q11" s="74">
        <v>7.4788418846937903E-5</v>
      </c>
      <c r="R11" s="74">
        <v>1.06363745623182E-4</v>
      </c>
      <c r="S11" s="74">
        <v>1.5347199724035599E-4</v>
      </c>
      <c r="T11" s="74">
        <v>1.9922631426449401E-4</v>
      </c>
      <c r="U11" s="74">
        <v>2.57593467172976E-4</v>
      </c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 t="s">
        <v>393</v>
      </c>
      <c r="AN11" s="79" t="s">
        <v>394</v>
      </c>
    </row>
    <row r="12" spans="1:40" ht="15" x14ac:dyDescent="0.3">
      <c r="A12" s="68">
        <v>11</v>
      </c>
      <c r="B12" s="152" t="s">
        <v>403</v>
      </c>
      <c r="C12" s="72">
        <v>2019</v>
      </c>
      <c r="D12" s="73">
        <f t="shared" si="2"/>
        <v>0</v>
      </c>
      <c r="E12" s="74">
        <v>0</v>
      </c>
      <c r="F12" s="74">
        <v>0</v>
      </c>
      <c r="G12" s="74">
        <v>0</v>
      </c>
      <c r="H12" s="74">
        <v>1.4798122514041E-6</v>
      </c>
      <c r="I12" s="74">
        <v>2.4662230870178701E-6</v>
      </c>
      <c r="J12" s="74">
        <v>3.7628794869604298E-6</v>
      </c>
      <c r="K12" s="74">
        <v>7.8329882151009303E-6</v>
      </c>
      <c r="L12" s="74">
        <v>1.5226422907341701E-5</v>
      </c>
      <c r="M12" s="74">
        <v>2.4938079525393799E-5</v>
      </c>
      <c r="N12" s="74">
        <v>4.1298292512809598E-5</v>
      </c>
      <c r="O12" s="74">
        <v>7.1296976497468894E-5</v>
      </c>
      <c r="P12" s="74">
        <v>1.2200653658666101E-4</v>
      </c>
      <c r="Q12" s="74">
        <v>1.6959742765446201E-4</v>
      </c>
      <c r="R12" s="74">
        <v>2.0945684110034799E-4</v>
      </c>
      <c r="S12" s="74">
        <v>2.68346663847843E-4</v>
      </c>
      <c r="T12" s="74">
        <v>2.7781036813598098E-4</v>
      </c>
      <c r="U12" s="74">
        <v>3.3594531563942701E-4</v>
      </c>
      <c r="V12" s="69"/>
      <c r="W12" s="69"/>
      <c r="X12" s="69"/>
      <c r="Y12" s="69"/>
      <c r="Z12" s="69"/>
      <c r="AA12" s="69"/>
      <c r="AB12" s="69"/>
      <c r="AC12" s="69"/>
      <c r="AD12" s="69"/>
      <c r="AE12" s="69"/>
      <c r="AF12" s="69"/>
      <c r="AG12" s="69"/>
      <c r="AH12" s="69"/>
      <c r="AI12" s="69"/>
      <c r="AJ12" s="69"/>
      <c r="AK12" s="69"/>
      <c r="AL12" s="69"/>
      <c r="AM12" s="69" t="s">
        <v>393</v>
      </c>
      <c r="AN12" s="79" t="s">
        <v>394</v>
      </c>
    </row>
    <row r="13" spans="1:40" ht="15" x14ac:dyDescent="0.3">
      <c r="A13" s="68">
        <v>12</v>
      </c>
      <c r="B13" s="152" t="s">
        <v>404</v>
      </c>
      <c r="C13" s="72">
        <v>2019</v>
      </c>
      <c r="D13" s="73">
        <f t="shared" si="2"/>
        <v>0</v>
      </c>
      <c r="E13" s="74">
        <v>1.13674085494959E-5</v>
      </c>
      <c r="F13" s="74">
        <v>1.0682702909559401E-5</v>
      </c>
      <c r="G13" s="74">
        <v>8.7561962698150405E-6</v>
      </c>
      <c r="H13" s="74">
        <v>2.3065115746533699E-5</v>
      </c>
      <c r="I13" s="74">
        <v>3.1552892585821998E-5</v>
      </c>
      <c r="J13" s="74">
        <v>4.2116573658889097E-5</v>
      </c>
      <c r="K13" s="74">
        <v>7.3719924260861493E-5</v>
      </c>
      <c r="L13" s="74">
        <v>8.8864224340419907E-5</v>
      </c>
      <c r="M13" s="74">
        <v>1.09750540593889E-4</v>
      </c>
      <c r="N13" s="74">
        <v>9.0185655457735605E-5</v>
      </c>
      <c r="O13" s="74">
        <v>1.21828852960799E-4</v>
      </c>
      <c r="P13" s="74">
        <v>1.4023961130925399E-4</v>
      </c>
      <c r="Q13" s="74">
        <v>1.08913122711087E-4</v>
      </c>
      <c r="R13" s="74">
        <v>1.34814054099801E-4</v>
      </c>
      <c r="S13" s="74">
        <v>1.54027890440942E-4</v>
      </c>
      <c r="T13" s="74">
        <v>1.5898175797218899E-4</v>
      </c>
      <c r="U13" s="74">
        <v>1.4715547790979799E-4</v>
      </c>
      <c r="V13" s="69"/>
      <c r="W13" s="69"/>
      <c r="X13" s="69"/>
      <c r="Y13" s="69"/>
      <c r="Z13" s="69"/>
      <c r="AA13" s="69"/>
      <c r="AB13" s="69"/>
      <c r="AC13" s="69"/>
      <c r="AD13" s="69"/>
      <c r="AE13" s="69"/>
      <c r="AF13" s="69"/>
      <c r="AG13" s="69"/>
      <c r="AH13" s="69"/>
      <c r="AI13" s="69"/>
      <c r="AJ13" s="69"/>
      <c r="AK13" s="69"/>
      <c r="AL13" s="69"/>
      <c r="AM13" s="69" t="s">
        <v>393</v>
      </c>
      <c r="AN13" s="79" t="s">
        <v>394</v>
      </c>
    </row>
    <row r="14" spans="1:40" ht="15" x14ac:dyDescent="0.3">
      <c r="A14" s="68">
        <v>13</v>
      </c>
      <c r="B14" s="152" t="s">
        <v>405</v>
      </c>
      <c r="C14" s="72">
        <v>2019</v>
      </c>
      <c r="D14" s="73">
        <f t="shared" si="2"/>
        <v>0</v>
      </c>
      <c r="E14" s="74">
        <v>0</v>
      </c>
      <c r="F14" s="74">
        <v>9.8871443261657396E-6</v>
      </c>
      <c r="G14" s="74">
        <v>1.2138132948635101E-5</v>
      </c>
      <c r="H14" s="74">
        <v>3.4224432982149798E-5</v>
      </c>
      <c r="I14" s="74">
        <v>5.9708750921664502E-5</v>
      </c>
      <c r="J14" s="74">
        <v>6.4314055956565602E-5</v>
      </c>
      <c r="K14" s="74">
        <v>7.8705951609166696E-5</v>
      </c>
      <c r="L14" s="74">
        <v>1.1982158816749E-4</v>
      </c>
      <c r="M14" s="74">
        <v>1.7807221827914599E-4</v>
      </c>
      <c r="N14" s="74">
        <v>2.2518271130849099E-4</v>
      </c>
      <c r="O14" s="74">
        <v>2.5479701760141698E-4</v>
      </c>
      <c r="P14" s="74">
        <v>2.7510865404921299E-4</v>
      </c>
      <c r="Q14" s="74">
        <v>2.5919492827641897E-4</v>
      </c>
      <c r="R14" s="74">
        <v>2.5666201789499701E-4</v>
      </c>
      <c r="S14" s="74">
        <v>2.13933286991855E-4</v>
      </c>
      <c r="T14" s="74">
        <v>1.4744840784007299E-4</v>
      </c>
      <c r="U14" s="74">
        <v>1.19171944679057E-4</v>
      </c>
      <c r="V14" s="69"/>
      <c r="W14" s="69"/>
      <c r="X14" s="69"/>
      <c r="Y14" s="69"/>
      <c r="Z14" s="69"/>
      <c r="AA14" s="69"/>
      <c r="AB14" s="69"/>
      <c r="AC14" s="69"/>
      <c r="AD14" s="69"/>
      <c r="AE14" s="69"/>
      <c r="AF14" s="69"/>
      <c r="AG14" s="69"/>
      <c r="AH14" s="69"/>
      <c r="AI14" s="69"/>
      <c r="AJ14" s="69"/>
      <c r="AK14" s="69"/>
      <c r="AL14" s="69"/>
      <c r="AM14" s="69" t="s">
        <v>393</v>
      </c>
      <c r="AN14" s="79" t="s">
        <v>394</v>
      </c>
    </row>
    <row r="15" spans="1:40" ht="15" x14ac:dyDescent="0.3">
      <c r="A15" s="68">
        <v>14</v>
      </c>
      <c r="B15" s="152" t="s">
        <v>406</v>
      </c>
      <c r="C15" s="72">
        <v>2019</v>
      </c>
      <c r="D15" s="73">
        <f t="shared" si="2"/>
        <v>0</v>
      </c>
      <c r="E15" s="74">
        <v>3.7458593700581802E-4</v>
      </c>
      <c r="F15" s="74">
        <v>2.43887089187876E-5</v>
      </c>
      <c r="G15" s="74">
        <v>2.2088548751020301E-5</v>
      </c>
      <c r="H15" s="74">
        <v>7.2215230311620306E-5</v>
      </c>
      <c r="I15" s="74">
        <v>1.19345271207338E-4</v>
      </c>
      <c r="J15" s="74">
        <v>1.39305922940827E-4</v>
      </c>
      <c r="K15" s="74">
        <v>1.6332499280901901E-4</v>
      </c>
      <c r="L15" s="74">
        <v>1.4067565463588E-4</v>
      </c>
      <c r="M15" s="74">
        <v>1.04796607750324E-4</v>
      </c>
      <c r="N15" s="74">
        <v>7.3200855105485502E-5</v>
      </c>
      <c r="O15" s="74">
        <v>6.7437848202464698E-5</v>
      </c>
      <c r="P15" s="74">
        <v>6.0519234479453501E-5</v>
      </c>
      <c r="Q15" s="74">
        <v>9.0928682192428098E-5</v>
      </c>
      <c r="R15" s="74">
        <v>9.2848082779791894E-5</v>
      </c>
      <c r="S15" s="74">
        <v>6.5191136860889598E-5</v>
      </c>
      <c r="T15" s="74">
        <v>7.4784032826297E-5</v>
      </c>
      <c r="U15" s="74">
        <v>1.0987509074530901E-5</v>
      </c>
      <c r="V15" s="69"/>
      <c r="W15" s="69"/>
      <c r="X15" s="69"/>
      <c r="Y15" s="69"/>
      <c r="Z15" s="69"/>
      <c r="AA15" s="69"/>
      <c r="AB15" s="69"/>
      <c r="AC15" s="69"/>
      <c r="AD15" s="69"/>
      <c r="AE15" s="69"/>
      <c r="AF15" s="69"/>
      <c r="AG15" s="69"/>
      <c r="AH15" s="69"/>
      <c r="AI15" s="69"/>
      <c r="AJ15" s="69"/>
      <c r="AK15" s="69"/>
      <c r="AL15" s="69"/>
      <c r="AM15" s="69" t="s">
        <v>393</v>
      </c>
      <c r="AN15" s="79" t="s">
        <v>394</v>
      </c>
    </row>
    <row r="16" spans="1:40" ht="15" x14ac:dyDescent="0.3">
      <c r="A16" s="68">
        <v>15</v>
      </c>
      <c r="B16" s="152" t="s">
        <v>407</v>
      </c>
      <c r="C16" s="72">
        <v>2019</v>
      </c>
      <c r="D16" s="73">
        <f t="shared" si="2"/>
        <v>0</v>
      </c>
      <c r="E16" s="74">
        <v>1.85186054971093E-4</v>
      </c>
      <c r="F16" s="74">
        <v>5.6746582144674102E-5</v>
      </c>
      <c r="G16" s="74">
        <v>2.8915525776688101E-5</v>
      </c>
      <c r="H16" s="74">
        <v>3.1965114932853799E-5</v>
      </c>
      <c r="I16" s="74">
        <v>5.6519179122127699E-5</v>
      </c>
      <c r="J16" s="74">
        <v>7.7203305932251997E-5</v>
      </c>
      <c r="K16" s="74">
        <v>1.20948799299178E-4</v>
      </c>
      <c r="L16" s="74">
        <v>1.9763134510463099E-4</v>
      </c>
      <c r="M16" s="74">
        <v>2.8331204799710399E-4</v>
      </c>
      <c r="N16" s="74">
        <v>2.9076396784381701E-4</v>
      </c>
      <c r="O16" s="74">
        <v>3.5258978446436298E-4</v>
      </c>
      <c r="P16" s="74">
        <v>4.1304358762563401E-4</v>
      </c>
      <c r="Q16" s="74">
        <v>4.4257753927656398E-4</v>
      </c>
      <c r="R16" s="74">
        <v>4.6343833362089202E-4</v>
      </c>
      <c r="S16" s="74">
        <v>5.0218482717883002E-4</v>
      </c>
      <c r="T16" s="74">
        <v>4.5733528041988399E-4</v>
      </c>
      <c r="U16" s="74">
        <v>2.41993925152326E-4</v>
      </c>
      <c r="V16" s="69"/>
      <c r="W16" s="69"/>
      <c r="X16" s="69"/>
      <c r="Y16" s="69"/>
      <c r="Z16" s="69"/>
      <c r="AA16" s="69"/>
      <c r="AB16" s="69"/>
      <c r="AC16" s="69"/>
      <c r="AD16" s="69"/>
      <c r="AE16" s="69"/>
      <c r="AF16" s="69"/>
      <c r="AG16" s="69"/>
      <c r="AH16" s="69"/>
      <c r="AI16" s="69"/>
      <c r="AJ16" s="69"/>
      <c r="AK16" s="69"/>
      <c r="AL16" s="69"/>
      <c r="AM16" s="69" t="s">
        <v>393</v>
      </c>
      <c r="AN16" s="79" t="s">
        <v>394</v>
      </c>
    </row>
    <row r="17" spans="1:40" ht="15" x14ac:dyDescent="0.3">
      <c r="A17" s="68">
        <v>16</v>
      </c>
      <c r="B17" s="151" t="s">
        <v>408</v>
      </c>
      <c r="C17" s="72">
        <v>2019</v>
      </c>
      <c r="D17" s="73">
        <f t="shared" si="2"/>
        <v>0</v>
      </c>
      <c r="E17" s="74">
        <v>0</v>
      </c>
      <c r="F17" s="74">
        <v>0</v>
      </c>
      <c r="G17" s="74">
        <v>0</v>
      </c>
      <c r="H17" s="74">
        <v>2.0695171365738E-5</v>
      </c>
      <c r="I17" s="74">
        <v>2.9828747912324801E-5</v>
      </c>
      <c r="J17" s="74">
        <v>4.1412081015916499E-5</v>
      </c>
      <c r="K17" s="74">
        <v>1.0098066649666701E-4</v>
      </c>
      <c r="L17" s="74">
        <v>1.8561841203586701E-4</v>
      </c>
      <c r="M17" s="74">
        <v>2.0408835591875099E-4</v>
      </c>
      <c r="N17" s="74">
        <v>2.6992404427204198E-4</v>
      </c>
      <c r="O17" s="74">
        <v>4.4290943698651301E-4</v>
      </c>
      <c r="P17" s="74">
        <v>6.7434798911532399E-4</v>
      </c>
      <c r="Q17" s="74">
        <v>1.0289051396382501E-3</v>
      </c>
      <c r="R17" s="74">
        <v>1.34930094405624E-3</v>
      </c>
      <c r="S17" s="74">
        <v>1.8826882588896701E-3</v>
      </c>
      <c r="T17" s="74">
        <v>1.8460912971411899E-3</v>
      </c>
      <c r="U17" s="74">
        <v>1.4344574117125699E-3</v>
      </c>
      <c r="V17" s="69"/>
      <c r="W17" s="69"/>
      <c r="X17" s="69"/>
      <c r="Y17" s="69"/>
      <c r="Z17" s="69"/>
      <c r="AA17" s="69"/>
      <c r="AB17" s="69"/>
      <c r="AC17" s="69"/>
      <c r="AD17" s="69"/>
      <c r="AE17" s="69"/>
      <c r="AF17" s="69"/>
      <c r="AG17" s="69"/>
      <c r="AH17" s="69"/>
      <c r="AI17" s="69"/>
      <c r="AJ17" s="69"/>
      <c r="AK17" s="69"/>
      <c r="AL17" s="69"/>
      <c r="AM17" s="69" t="s">
        <v>393</v>
      </c>
      <c r="AN17" s="79" t="s">
        <v>394</v>
      </c>
    </row>
    <row r="18" spans="1:40" ht="15" x14ac:dyDescent="0.3">
      <c r="A18" s="68">
        <v>17</v>
      </c>
      <c r="B18" s="153" t="s">
        <v>636</v>
      </c>
      <c r="C18" s="72">
        <v>2019</v>
      </c>
      <c r="D18" s="73">
        <f t="shared" si="2"/>
        <v>0</v>
      </c>
      <c r="E18" s="74">
        <v>3.79435363155249E-4</v>
      </c>
      <c r="F18" s="74">
        <v>2.2656088243356001E-4</v>
      </c>
      <c r="G18" s="74">
        <v>1.86386962919651E-4</v>
      </c>
      <c r="H18" s="74">
        <v>1.5030306001582099E-4</v>
      </c>
      <c r="I18" s="74">
        <v>1.9827141020664E-4</v>
      </c>
      <c r="J18" s="74">
        <v>2.4053380077484801E-4</v>
      </c>
      <c r="K18" s="74">
        <v>2.7949775152592398E-4</v>
      </c>
      <c r="L18" s="74">
        <v>2.9723847952539201E-4</v>
      </c>
      <c r="M18" s="74">
        <v>2.6904757317452701E-4</v>
      </c>
      <c r="N18" s="74">
        <v>2.4228196970197701E-4</v>
      </c>
      <c r="O18" s="74">
        <v>2.0716319344968399E-4</v>
      </c>
      <c r="P18" s="74">
        <v>2.2083946922412599E-4</v>
      </c>
      <c r="Q18" s="74">
        <v>2.1889513235028699E-4</v>
      </c>
      <c r="R18" s="74">
        <v>2.25020415510731E-4</v>
      </c>
      <c r="S18" s="74">
        <v>2.4923669279077701E-4</v>
      </c>
      <c r="T18" s="74">
        <v>2.15156100420199E-4</v>
      </c>
      <c r="U18" s="74">
        <v>2.5245273721744802E-4</v>
      </c>
      <c r="V18" s="69"/>
      <c r="W18" s="69"/>
      <c r="X18" s="69"/>
      <c r="Y18" s="69"/>
      <c r="Z18" s="69"/>
      <c r="AA18" s="69"/>
      <c r="AB18" s="69"/>
      <c r="AC18" s="69"/>
      <c r="AD18" s="69"/>
      <c r="AE18" s="69"/>
      <c r="AF18" s="69"/>
      <c r="AG18" s="69"/>
      <c r="AH18" s="69"/>
      <c r="AI18" s="69"/>
      <c r="AJ18" s="69"/>
      <c r="AK18" s="69"/>
      <c r="AL18" s="69"/>
      <c r="AM18" s="69" t="s">
        <v>393</v>
      </c>
      <c r="AN18" s="79" t="s">
        <v>394</v>
      </c>
    </row>
    <row r="19" spans="1:40" ht="15" x14ac:dyDescent="0.3">
      <c r="A19" s="68">
        <v>18</v>
      </c>
      <c r="B19" s="152" t="s">
        <v>409</v>
      </c>
      <c r="C19" s="72">
        <v>2019</v>
      </c>
      <c r="D19" s="73">
        <f t="shared" si="2"/>
        <v>0</v>
      </c>
      <c r="E19" s="74">
        <v>0</v>
      </c>
      <c r="F19" s="74">
        <v>3.1414488141028298E-5</v>
      </c>
      <c r="G19" s="74">
        <v>2.8819743829328501E-5</v>
      </c>
      <c r="H19" s="74">
        <v>3.4998874451100898E-5</v>
      </c>
      <c r="I19" s="74">
        <v>5.7445335440897E-5</v>
      </c>
      <c r="J19" s="74">
        <v>9.4445982897482203E-5</v>
      </c>
      <c r="K19" s="74">
        <v>1.7742138490800999E-4</v>
      </c>
      <c r="L19" s="74">
        <v>2.3661153020774201E-4</v>
      </c>
      <c r="M19" s="74">
        <v>3.79390964990319E-4</v>
      </c>
      <c r="N19" s="74">
        <v>3.1076692060381499E-4</v>
      </c>
      <c r="O19" s="74">
        <v>4.0943080681631299E-4</v>
      </c>
      <c r="P19" s="74">
        <v>4.6310821599509101E-4</v>
      </c>
      <c r="Q19" s="74">
        <v>3.6625068553231601E-4</v>
      </c>
      <c r="R19" s="74">
        <v>3.2446727255471003E-4</v>
      </c>
      <c r="S19" s="74">
        <v>2.6953506412104203E-4</v>
      </c>
      <c r="T19" s="74">
        <v>2.2797632821689801E-4</v>
      </c>
      <c r="U19" s="74">
        <v>7.7846542498061203E-5</v>
      </c>
      <c r="V19" s="69"/>
      <c r="W19" s="69"/>
      <c r="X19" s="69"/>
      <c r="Y19" s="69"/>
      <c r="Z19" s="69"/>
      <c r="AA19" s="69"/>
      <c r="AB19" s="69"/>
      <c r="AC19" s="69"/>
      <c r="AD19" s="69"/>
      <c r="AE19" s="69"/>
      <c r="AF19" s="69"/>
      <c r="AG19" s="69"/>
      <c r="AH19" s="69"/>
      <c r="AI19" s="69"/>
      <c r="AJ19" s="69"/>
      <c r="AK19" s="69"/>
      <c r="AL19" s="69"/>
      <c r="AM19" s="69" t="s">
        <v>393</v>
      </c>
      <c r="AN19" s="79" t="s">
        <v>394</v>
      </c>
    </row>
    <row r="20" spans="1:40" ht="15" x14ac:dyDescent="0.3">
      <c r="A20" s="68">
        <v>19</v>
      </c>
      <c r="B20" s="152" t="s">
        <v>410</v>
      </c>
      <c r="C20" s="72">
        <v>2019</v>
      </c>
      <c r="D20" s="73">
        <f t="shared" si="2"/>
        <v>0</v>
      </c>
      <c r="E20" s="74">
        <v>0</v>
      </c>
      <c r="F20" s="74">
        <v>0</v>
      </c>
      <c r="G20" s="74">
        <v>0</v>
      </c>
      <c r="H20" s="74">
        <v>0</v>
      </c>
      <c r="I20" s="74">
        <v>4.9413580932921401E-7</v>
      </c>
      <c r="J20" s="74">
        <v>6.0969705044132297E-7</v>
      </c>
      <c r="K20" s="74">
        <v>7.2665969423744999E-7</v>
      </c>
      <c r="L20" s="74">
        <v>1.01060081791401E-6</v>
      </c>
      <c r="M20" s="74">
        <v>1.4642026966819301E-6</v>
      </c>
      <c r="N20" s="74">
        <v>2.5793481991297799E-6</v>
      </c>
      <c r="O20" s="74">
        <v>4.3291431730812199E-6</v>
      </c>
      <c r="P20" s="74">
        <v>6.1525690569426E-6</v>
      </c>
      <c r="Q20" s="74">
        <v>4.5499969672516401E-6</v>
      </c>
      <c r="R20" s="74">
        <v>5.17841413659372E-6</v>
      </c>
      <c r="S20" s="74">
        <v>5.9011698280335101E-6</v>
      </c>
      <c r="T20" s="74">
        <v>9.3376905497320396E-6</v>
      </c>
      <c r="U20" s="74">
        <v>7.7127694196904905E-6</v>
      </c>
      <c r="V20" s="69"/>
      <c r="W20" s="69"/>
      <c r="X20" s="69"/>
      <c r="Y20" s="69"/>
      <c r="Z20" s="69"/>
      <c r="AA20" s="69"/>
      <c r="AB20" s="69"/>
      <c r="AC20" s="69"/>
      <c r="AD20" s="69"/>
      <c r="AE20" s="69"/>
      <c r="AF20" s="69"/>
      <c r="AG20" s="69"/>
      <c r="AH20" s="69"/>
      <c r="AI20" s="69"/>
      <c r="AJ20" s="69"/>
      <c r="AK20" s="69"/>
      <c r="AL20" s="69"/>
      <c r="AM20" s="69" t="s">
        <v>393</v>
      </c>
      <c r="AN20" s="79" t="s">
        <v>394</v>
      </c>
    </row>
    <row r="21" spans="1:40" ht="15" x14ac:dyDescent="0.3">
      <c r="A21" s="68">
        <v>20</v>
      </c>
      <c r="B21" s="152" t="s">
        <v>411</v>
      </c>
      <c r="C21" s="72">
        <v>2019</v>
      </c>
      <c r="D21" s="73">
        <f t="shared" si="2"/>
        <v>0</v>
      </c>
      <c r="E21" s="74">
        <v>1.63342904610308E-5</v>
      </c>
      <c r="F21" s="74">
        <v>2.4238790134918601E-5</v>
      </c>
      <c r="G21" s="74">
        <v>1.66637933481524E-5</v>
      </c>
      <c r="H21" s="74">
        <v>4.29962110870253E-5</v>
      </c>
      <c r="I21" s="74">
        <v>5.7608123857884901E-5</v>
      </c>
      <c r="J21" s="74">
        <v>4.2136007646235503E-5</v>
      </c>
      <c r="K21" s="74">
        <v>4.8031183495710198E-5</v>
      </c>
      <c r="L21" s="74">
        <v>3.9338649980410303E-5</v>
      </c>
      <c r="M21" s="74">
        <v>4.2454974709352602E-5</v>
      </c>
      <c r="N21" s="74">
        <v>4.0701246134862101E-5</v>
      </c>
      <c r="O21" s="74">
        <v>5.4212173366490098E-5</v>
      </c>
      <c r="P21" s="74">
        <v>5.4624539502531697E-5</v>
      </c>
      <c r="Q21" s="74">
        <v>6.3798534216822405E-5</v>
      </c>
      <c r="R21" s="74">
        <v>5.6621454769721303E-5</v>
      </c>
      <c r="S21" s="74">
        <v>4.6199584383973899E-5</v>
      </c>
      <c r="T21" s="74">
        <v>5.5022663869107598E-5</v>
      </c>
      <c r="U21" s="74">
        <v>9.4940637143697606E-5</v>
      </c>
      <c r="V21" s="69"/>
      <c r="W21" s="69"/>
      <c r="X21" s="69"/>
      <c r="Y21" s="69"/>
      <c r="Z21" s="69"/>
      <c r="AA21" s="69"/>
      <c r="AB21" s="69"/>
      <c r="AC21" s="69"/>
      <c r="AD21" s="69"/>
      <c r="AE21" s="69"/>
      <c r="AF21" s="69"/>
      <c r="AG21" s="69"/>
      <c r="AH21" s="69"/>
      <c r="AI21" s="69"/>
      <c r="AJ21" s="69"/>
      <c r="AK21" s="69"/>
      <c r="AL21" s="69"/>
      <c r="AM21" s="69" t="s">
        <v>393</v>
      </c>
      <c r="AN21" s="79" t="s">
        <v>394</v>
      </c>
    </row>
    <row r="22" spans="1:40" ht="15" x14ac:dyDescent="0.3">
      <c r="A22" s="68">
        <v>21</v>
      </c>
      <c r="B22" s="152" t="s">
        <v>412</v>
      </c>
      <c r="C22" s="72">
        <v>2019</v>
      </c>
      <c r="D22" s="73">
        <f t="shared" si="2"/>
        <v>0</v>
      </c>
      <c r="E22" s="74">
        <v>0</v>
      </c>
      <c r="F22" s="74">
        <v>9.5906730770897706E-5</v>
      </c>
      <c r="G22" s="74">
        <v>5.9646756448814399E-5</v>
      </c>
      <c r="H22" s="74">
        <v>1.42515878415456E-4</v>
      </c>
      <c r="I22" s="74">
        <v>7.4496337045674695E-5</v>
      </c>
      <c r="J22" s="74">
        <v>8.1547395669141003E-5</v>
      </c>
      <c r="K22" s="74">
        <v>1.29479092873168E-4</v>
      </c>
      <c r="L22" s="74">
        <v>2.0268511489784799E-4</v>
      </c>
      <c r="M22" s="74">
        <v>1.09047471552263E-4</v>
      </c>
      <c r="N22" s="74">
        <v>1.7473911439336301E-4</v>
      </c>
      <c r="O22" s="74">
        <v>2.9185798158991798E-4</v>
      </c>
      <c r="P22" s="74">
        <v>4.9231281594187598E-4</v>
      </c>
      <c r="Q22" s="74">
        <v>5.9565204898218095E-4</v>
      </c>
      <c r="R22" s="74">
        <v>8.5292288216144501E-4</v>
      </c>
      <c r="S22" s="74">
        <v>1.22891914283651E-3</v>
      </c>
      <c r="T22" s="74">
        <v>1.3278067021181099E-3</v>
      </c>
      <c r="U22" s="74">
        <v>6.6631469591477805E-4</v>
      </c>
      <c r="V22" s="69"/>
      <c r="W22" s="69"/>
      <c r="X22" s="69"/>
      <c r="Y22" s="69"/>
      <c r="Z22" s="69"/>
      <c r="AA22" s="69"/>
      <c r="AB22" s="69"/>
      <c r="AC22" s="69"/>
      <c r="AD22" s="69"/>
      <c r="AE22" s="69"/>
      <c r="AF22" s="69"/>
      <c r="AG22" s="69"/>
      <c r="AH22" s="69"/>
      <c r="AI22" s="69"/>
      <c r="AJ22" s="69"/>
      <c r="AK22" s="69"/>
      <c r="AL22" s="69"/>
      <c r="AM22" s="69" t="s">
        <v>393</v>
      </c>
      <c r="AN22" s="79" t="s">
        <v>394</v>
      </c>
    </row>
    <row r="23" spans="1:40" ht="15" x14ac:dyDescent="0.3">
      <c r="A23" s="68">
        <v>22</v>
      </c>
      <c r="B23" s="152" t="s">
        <v>413</v>
      </c>
      <c r="C23" s="72">
        <v>2019</v>
      </c>
      <c r="D23" s="73">
        <f t="shared" si="2"/>
        <v>0</v>
      </c>
      <c r="E23" s="74">
        <v>0</v>
      </c>
      <c r="F23" s="74">
        <v>0</v>
      </c>
      <c r="G23" s="74">
        <v>0</v>
      </c>
      <c r="H23" s="74">
        <v>0</v>
      </c>
      <c r="I23" s="74">
        <v>1.0203136053912399E-5</v>
      </c>
      <c r="J23" s="74">
        <v>8.4368914748905203E-6</v>
      </c>
      <c r="K23" s="74">
        <v>7.7720192024042298E-6</v>
      </c>
      <c r="L23" s="74">
        <v>1.1571663039701E-5</v>
      </c>
      <c r="M23" s="74">
        <v>1.7135228497688799E-5</v>
      </c>
      <c r="N23" s="74">
        <v>2.8021857286557202E-5</v>
      </c>
      <c r="O23" s="74">
        <v>5.24415102256335E-5</v>
      </c>
      <c r="P23" s="74">
        <v>8.3731771797552804E-5</v>
      </c>
      <c r="Q23" s="74">
        <v>1.07908193686487E-4</v>
      </c>
      <c r="R23" s="74">
        <v>1.3023972666035299E-4</v>
      </c>
      <c r="S23" s="74">
        <v>1.6233116736062499E-4</v>
      </c>
      <c r="T23" s="74">
        <v>1.2899757827283199E-4</v>
      </c>
      <c r="U23" s="74">
        <v>9.8032246294077404E-5</v>
      </c>
      <c r="V23" s="69"/>
      <c r="W23" s="69"/>
      <c r="X23" s="69"/>
      <c r="Y23" s="69"/>
      <c r="Z23" s="69"/>
      <c r="AA23" s="69"/>
      <c r="AB23" s="69"/>
      <c r="AC23" s="69"/>
      <c r="AD23" s="69"/>
      <c r="AE23" s="69"/>
      <c r="AF23" s="69"/>
      <c r="AG23" s="69"/>
      <c r="AH23" s="69"/>
      <c r="AI23" s="69"/>
      <c r="AJ23" s="69"/>
      <c r="AK23" s="69"/>
      <c r="AL23" s="69"/>
      <c r="AM23" s="69" t="s">
        <v>393</v>
      </c>
      <c r="AN23" s="79" t="s">
        <v>394</v>
      </c>
    </row>
    <row r="24" spans="1:40" ht="15" x14ac:dyDescent="0.3">
      <c r="A24" s="68">
        <v>23</v>
      </c>
      <c r="B24" s="152" t="s">
        <v>414</v>
      </c>
      <c r="C24" s="72">
        <v>2019</v>
      </c>
      <c r="D24" s="73">
        <f t="shared" si="2"/>
        <v>0</v>
      </c>
      <c r="E24" s="74">
        <v>5.2178231199813798E-4</v>
      </c>
      <c r="F24" s="74">
        <v>3.67526967671935E-4</v>
      </c>
      <c r="G24" s="74">
        <v>1.03167615237809E-3</v>
      </c>
      <c r="H24" s="74">
        <v>6.2066227459695099E-4</v>
      </c>
      <c r="I24" s="74">
        <v>3.93599677105878E-4</v>
      </c>
      <c r="J24" s="74">
        <v>4.46346734133538E-4</v>
      </c>
      <c r="K24" s="74">
        <v>4.4201268709924402E-4</v>
      </c>
      <c r="L24" s="74">
        <v>4.7018219082696299E-4</v>
      </c>
      <c r="M24" s="74">
        <v>5.5126449958997203E-4</v>
      </c>
      <c r="N24" s="74">
        <v>6.3977138369662495E-4</v>
      </c>
      <c r="O24" s="74">
        <v>8.13112538527688E-4</v>
      </c>
      <c r="P24" s="74">
        <v>1.18535083409962E-3</v>
      </c>
      <c r="Q24" s="74">
        <v>1.6758474150847401E-3</v>
      </c>
      <c r="R24" s="74">
        <v>1.9958169463799298E-3</v>
      </c>
      <c r="S24" s="74">
        <v>2.6088109355786198E-3</v>
      </c>
      <c r="T24" s="74">
        <v>2.8603436614164598E-3</v>
      </c>
      <c r="U24" s="74">
        <v>2.2395214416701501E-3</v>
      </c>
      <c r="V24" s="69"/>
      <c r="W24" s="69"/>
      <c r="X24" s="69"/>
      <c r="Y24" s="69"/>
      <c r="Z24" s="69"/>
      <c r="AA24" s="69"/>
      <c r="AB24" s="69"/>
      <c r="AC24" s="69"/>
      <c r="AD24" s="69"/>
      <c r="AE24" s="69"/>
      <c r="AF24" s="69"/>
      <c r="AG24" s="69"/>
      <c r="AH24" s="69"/>
      <c r="AI24" s="69"/>
      <c r="AJ24" s="69"/>
      <c r="AK24" s="69"/>
      <c r="AL24" s="69"/>
      <c r="AM24" s="69" t="s">
        <v>393</v>
      </c>
      <c r="AN24" s="79" t="s">
        <v>394</v>
      </c>
    </row>
    <row r="25" spans="1:40" ht="15" x14ac:dyDescent="0.3">
      <c r="A25" s="68">
        <v>24</v>
      </c>
      <c r="B25" s="152" t="s">
        <v>415</v>
      </c>
      <c r="C25" s="72">
        <v>2019</v>
      </c>
      <c r="D25" s="73">
        <f t="shared" si="2"/>
        <v>0</v>
      </c>
      <c r="E25" s="74">
        <v>3.9040849254030598E-4</v>
      </c>
      <c r="F25" s="74">
        <v>2.1201781002390401E-3</v>
      </c>
      <c r="G25" s="74">
        <v>4.0689926793702801E-3</v>
      </c>
      <c r="H25" s="74">
        <v>5.1880193083293303E-3</v>
      </c>
      <c r="I25" s="74">
        <v>5.36506894953496E-3</v>
      </c>
      <c r="J25" s="74">
        <v>5.42133364051226E-3</v>
      </c>
      <c r="K25" s="74">
        <v>5.4766362813523598E-3</v>
      </c>
      <c r="L25" s="74">
        <v>5.3366620610280297E-3</v>
      </c>
      <c r="M25" s="74">
        <v>5.43710267296029E-3</v>
      </c>
      <c r="N25" s="74">
        <v>5.2466032336245102E-3</v>
      </c>
      <c r="O25" s="74">
        <v>4.61361858128109E-3</v>
      </c>
      <c r="P25" s="74">
        <v>4.0750286695790299E-3</v>
      </c>
      <c r="Q25" s="74">
        <v>3.7832447113010899E-3</v>
      </c>
      <c r="R25" s="74">
        <v>3.5057595442270898E-3</v>
      </c>
      <c r="S25" s="74">
        <v>3.2162712918028E-3</v>
      </c>
      <c r="T25" s="74">
        <v>2.9173547255177301E-3</v>
      </c>
      <c r="U25" s="74">
        <v>2.6368719776066101E-3</v>
      </c>
      <c r="V25" s="69"/>
      <c r="W25" s="69"/>
      <c r="X25" s="69"/>
      <c r="Y25" s="69"/>
      <c r="Z25" s="69"/>
      <c r="AA25" s="69"/>
      <c r="AB25" s="69"/>
      <c r="AC25" s="69"/>
      <c r="AD25" s="69"/>
      <c r="AE25" s="69"/>
      <c r="AF25" s="69"/>
      <c r="AG25" s="69"/>
      <c r="AH25" s="69"/>
      <c r="AI25" s="69"/>
      <c r="AJ25" s="69"/>
      <c r="AK25" s="69"/>
      <c r="AL25" s="69"/>
      <c r="AM25" s="69" t="s">
        <v>393</v>
      </c>
      <c r="AN25" s="79" t="s">
        <v>394</v>
      </c>
    </row>
    <row r="26" spans="1:40" ht="15" x14ac:dyDescent="0.3">
      <c r="A26" s="68">
        <v>25</v>
      </c>
      <c r="B26" s="152" t="s">
        <v>416</v>
      </c>
      <c r="C26" s="72">
        <v>2019</v>
      </c>
      <c r="D26" s="73">
        <f t="shared" si="2"/>
        <v>0</v>
      </c>
      <c r="E26" s="74">
        <v>0</v>
      </c>
      <c r="F26" s="74">
        <v>0</v>
      </c>
      <c r="G26" s="74">
        <v>0</v>
      </c>
      <c r="H26" s="74">
        <v>1.6837961462710501E-4</v>
      </c>
      <c r="I26" s="74">
        <v>5.3422633184238197E-4</v>
      </c>
      <c r="J26" s="74">
        <v>1.5691886636794001E-3</v>
      </c>
      <c r="K26" s="74">
        <v>3.4008862735739002E-3</v>
      </c>
      <c r="L26" s="74">
        <v>6.5043512377617203E-3</v>
      </c>
      <c r="M26" s="74">
        <v>1.17800810864883E-2</v>
      </c>
      <c r="N26" s="74">
        <v>1.9853712669051699E-2</v>
      </c>
      <c r="O26" s="74">
        <v>3.1558406136995003E-2</v>
      </c>
      <c r="P26" s="74">
        <v>4.7829276447997698E-2</v>
      </c>
      <c r="Q26" s="74">
        <v>6.9233088708687898E-2</v>
      </c>
      <c r="R26" s="74">
        <v>9.9666893283826205E-2</v>
      </c>
      <c r="S26" s="74">
        <v>0.132888900991532</v>
      </c>
      <c r="T26" s="74">
        <v>0.177056665390013</v>
      </c>
      <c r="U26" s="74">
        <v>0.25812483765711403</v>
      </c>
      <c r="V26" s="69"/>
      <c r="W26" s="69"/>
      <c r="X26" s="69"/>
      <c r="Y26" s="69"/>
      <c r="Z26" s="69"/>
      <c r="AA26" s="69"/>
      <c r="AB26" s="69"/>
      <c r="AC26" s="69"/>
      <c r="AD26" s="69"/>
      <c r="AE26" s="69"/>
      <c r="AF26" s="69"/>
      <c r="AG26" s="69"/>
      <c r="AH26" s="69"/>
      <c r="AI26" s="69"/>
      <c r="AJ26" s="69"/>
      <c r="AK26" s="69"/>
      <c r="AL26" s="69"/>
      <c r="AM26" s="69" t="s">
        <v>393</v>
      </c>
      <c r="AN26" s="79" t="s">
        <v>394</v>
      </c>
    </row>
    <row r="27" spans="1:40" ht="15" x14ac:dyDescent="0.3">
      <c r="A27" s="68">
        <v>26</v>
      </c>
      <c r="B27" s="152" t="s">
        <v>417</v>
      </c>
      <c r="C27" s="72">
        <v>2019</v>
      </c>
      <c r="D27" s="73">
        <f t="shared" si="2"/>
        <v>0</v>
      </c>
      <c r="E27" s="74">
        <v>3.3249566369853197E-5</v>
      </c>
      <c r="F27" s="74">
        <v>2.21357471374993E-5</v>
      </c>
      <c r="G27" s="74">
        <v>1.6278921314422101E-5</v>
      </c>
      <c r="H27" s="74">
        <v>1.2426756147796499E-5</v>
      </c>
      <c r="I27" s="74">
        <v>1.0066039080512299E-5</v>
      </c>
      <c r="J27" s="74">
        <v>8.2355452401891899E-6</v>
      </c>
      <c r="K27" s="74">
        <v>6.5522348181033698E-6</v>
      </c>
      <c r="L27" s="74">
        <v>5.0429170300782097E-6</v>
      </c>
      <c r="M27" s="74">
        <v>3.7820351993334602E-6</v>
      </c>
      <c r="N27" s="74">
        <v>2.7782767681151899E-6</v>
      </c>
      <c r="O27" s="74">
        <v>2.0326545544538099E-6</v>
      </c>
      <c r="P27" s="74">
        <v>1.4431803169328501E-6</v>
      </c>
      <c r="Q27" s="74">
        <v>9.96969173653458E-7</v>
      </c>
      <c r="R27" s="74">
        <v>6.8428479642154105E-7</v>
      </c>
      <c r="S27" s="74">
        <v>4.4580149606746099E-7</v>
      </c>
      <c r="T27" s="74">
        <v>2.7810761663452898E-7</v>
      </c>
      <c r="U27" s="74">
        <v>1.3235862946454199E-7</v>
      </c>
      <c r="V27" s="69"/>
      <c r="W27" s="69"/>
      <c r="X27" s="69"/>
      <c r="Y27" s="69"/>
      <c r="Z27" s="69"/>
      <c r="AA27" s="69"/>
      <c r="AB27" s="69"/>
      <c r="AC27" s="69"/>
      <c r="AD27" s="69"/>
      <c r="AE27" s="69"/>
      <c r="AF27" s="69"/>
      <c r="AG27" s="69"/>
      <c r="AH27" s="69"/>
      <c r="AI27" s="69"/>
      <c r="AJ27" s="69"/>
      <c r="AK27" s="69"/>
      <c r="AL27" s="69"/>
      <c r="AM27" s="69" t="s">
        <v>393</v>
      </c>
      <c r="AN27" s="79" t="s">
        <v>394</v>
      </c>
    </row>
    <row r="28" spans="1:40" ht="15" x14ac:dyDescent="0.3">
      <c r="A28" s="68">
        <v>27</v>
      </c>
      <c r="B28" s="152" t="s">
        <v>418</v>
      </c>
      <c r="C28" s="72">
        <v>2019</v>
      </c>
      <c r="D28" s="73">
        <f t="shared" si="2"/>
        <v>0</v>
      </c>
      <c r="E28" s="74">
        <v>0</v>
      </c>
      <c r="F28" s="74">
        <v>0</v>
      </c>
      <c r="G28" s="74">
        <v>0</v>
      </c>
      <c r="H28" s="74">
        <v>0</v>
      </c>
      <c r="I28" s="74">
        <v>0</v>
      </c>
      <c r="J28" s="74">
        <v>0</v>
      </c>
      <c r="K28" s="74">
        <v>0</v>
      </c>
      <c r="L28" s="74">
        <v>0</v>
      </c>
      <c r="M28" s="74">
        <v>8.0246095710446801E-5</v>
      </c>
      <c r="N28" s="74">
        <v>6.7189911178827395E-4</v>
      </c>
      <c r="O28" s="74">
        <v>2.2479424088780301E-3</v>
      </c>
      <c r="P28" s="74">
        <v>5.2891866437464099E-3</v>
      </c>
      <c r="Q28" s="74">
        <v>1.10368705468749E-2</v>
      </c>
      <c r="R28" s="74">
        <v>2.05909331939747E-2</v>
      </c>
      <c r="S28" s="74">
        <v>3.9129888815566401E-2</v>
      </c>
      <c r="T28" s="74">
        <v>7.7698985061437395E-2</v>
      </c>
      <c r="U28" s="74">
        <v>0.19078871566814701</v>
      </c>
      <c r="V28" s="69"/>
      <c r="W28" s="69"/>
      <c r="X28" s="69"/>
      <c r="Y28" s="69"/>
      <c r="Z28" s="69"/>
      <c r="AA28" s="69"/>
      <c r="AB28" s="69"/>
      <c r="AC28" s="69"/>
      <c r="AD28" s="69"/>
      <c r="AE28" s="69"/>
      <c r="AF28" s="69"/>
      <c r="AG28" s="69"/>
      <c r="AH28" s="69"/>
      <c r="AI28" s="69"/>
      <c r="AJ28" s="69"/>
      <c r="AK28" s="69"/>
      <c r="AL28" s="69"/>
      <c r="AM28" s="69" t="s">
        <v>393</v>
      </c>
      <c r="AN28" s="79" t="s">
        <v>394</v>
      </c>
    </row>
    <row r="29" spans="1:40" ht="15" x14ac:dyDescent="0.3">
      <c r="A29" s="68">
        <v>28</v>
      </c>
      <c r="B29" s="152" t="s">
        <v>419</v>
      </c>
      <c r="C29" s="72">
        <v>2019</v>
      </c>
      <c r="D29" s="73">
        <f t="shared" si="2"/>
        <v>0</v>
      </c>
      <c r="E29" s="74">
        <v>0</v>
      </c>
      <c r="F29" s="74">
        <v>0</v>
      </c>
      <c r="G29" s="74">
        <v>0</v>
      </c>
      <c r="H29" s="74">
        <v>0</v>
      </c>
      <c r="I29" s="74">
        <v>2.6041361338276002E-6</v>
      </c>
      <c r="J29" s="74">
        <v>1.7529269093046E-5</v>
      </c>
      <c r="K29" s="74">
        <v>5.2899042747113198E-5</v>
      </c>
      <c r="L29" s="74">
        <v>1.3164202464234501E-4</v>
      </c>
      <c r="M29" s="74">
        <v>2.9949584379329499E-4</v>
      </c>
      <c r="N29" s="74">
        <v>7.1151033179689004E-4</v>
      </c>
      <c r="O29" s="74">
        <v>1.4179087456405799E-3</v>
      </c>
      <c r="P29" s="74">
        <v>2.5248011111391401E-3</v>
      </c>
      <c r="Q29" s="74">
        <v>4.18551490490973E-3</v>
      </c>
      <c r="R29" s="74">
        <v>6.85696812194373E-3</v>
      </c>
      <c r="S29" s="74">
        <v>1.0501782914483599E-2</v>
      </c>
      <c r="T29" s="74">
        <v>1.45206240493714E-2</v>
      </c>
      <c r="U29" s="74">
        <v>1.81976720937796E-2</v>
      </c>
      <c r="V29" s="69"/>
      <c r="W29" s="69"/>
      <c r="X29" s="69"/>
      <c r="Y29" s="69"/>
      <c r="Z29" s="69"/>
      <c r="AA29" s="69"/>
      <c r="AB29" s="69"/>
      <c r="AC29" s="69"/>
      <c r="AD29" s="69"/>
      <c r="AE29" s="69"/>
      <c r="AF29" s="69"/>
      <c r="AG29" s="69"/>
      <c r="AH29" s="69"/>
      <c r="AI29" s="69"/>
      <c r="AJ29" s="69"/>
      <c r="AK29" s="69"/>
      <c r="AL29" s="69"/>
      <c r="AM29" s="69" t="s">
        <v>393</v>
      </c>
      <c r="AN29" s="79" t="s">
        <v>394</v>
      </c>
    </row>
    <row r="30" spans="1:40" ht="15" x14ac:dyDescent="0.3">
      <c r="A30" s="68">
        <v>29</v>
      </c>
      <c r="B30" s="152" t="s">
        <v>420</v>
      </c>
      <c r="C30" s="72">
        <v>2019</v>
      </c>
      <c r="D30" s="73">
        <f t="shared" si="2"/>
        <v>0</v>
      </c>
      <c r="E30" s="74">
        <v>0</v>
      </c>
      <c r="F30" s="74">
        <v>4.6618391827507202E-7</v>
      </c>
      <c r="G30" s="74">
        <v>3.2899114374637098E-6</v>
      </c>
      <c r="H30" s="74">
        <v>8.7754438070986404E-6</v>
      </c>
      <c r="I30" s="74">
        <v>1.61268575974309E-5</v>
      </c>
      <c r="J30" s="74">
        <v>2.5336319861320701E-5</v>
      </c>
      <c r="K30" s="74">
        <v>3.4350979363762202E-5</v>
      </c>
      <c r="L30" s="74">
        <v>4.1527708746032997E-5</v>
      </c>
      <c r="M30" s="74">
        <v>4.6936046677886599E-5</v>
      </c>
      <c r="N30" s="74">
        <v>4.9633022187595203E-5</v>
      </c>
      <c r="O30" s="74">
        <v>4.9049243497714299E-5</v>
      </c>
      <c r="P30" s="74">
        <v>4.4837140947942599E-5</v>
      </c>
      <c r="Q30" s="74">
        <v>3.8642496034650997E-5</v>
      </c>
      <c r="R30" s="74">
        <v>3.3533048473612798E-5</v>
      </c>
      <c r="S30" s="74">
        <v>2.99559862703648E-5</v>
      </c>
      <c r="T30" s="74">
        <v>2.6331536753524601E-5</v>
      </c>
      <c r="U30" s="74">
        <v>2.2444821749768499E-5</v>
      </c>
      <c r="V30" s="69"/>
      <c r="W30" s="69"/>
      <c r="X30" s="69"/>
      <c r="Y30" s="69"/>
      <c r="Z30" s="69"/>
      <c r="AA30" s="69"/>
      <c r="AB30" s="69"/>
      <c r="AC30" s="69"/>
      <c r="AD30" s="69"/>
      <c r="AE30" s="69"/>
      <c r="AF30" s="69"/>
      <c r="AG30" s="69"/>
      <c r="AH30" s="69"/>
      <c r="AI30" s="69"/>
      <c r="AJ30" s="69"/>
      <c r="AK30" s="69"/>
      <c r="AL30" s="69"/>
      <c r="AM30" s="69" t="s">
        <v>393</v>
      </c>
      <c r="AN30" s="79" t="s">
        <v>394</v>
      </c>
    </row>
    <row r="31" spans="1:40" ht="15" x14ac:dyDescent="0.3">
      <c r="A31" s="68">
        <v>30</v>
      </c>
      <c r="B31" s="152" t="s">
        <v>421</v>
      </c>
      <c r="C31" s="72">
        <v>2019</v>
      </c>
      <c r="D31" s="73">
        <f t="shared" si="2"/>
        <v>0</v>
      </c>
      <c r="E31" s="74">
        <v>1.8631970182133902E-5</v>
      </c>
      <c r="F31" s="74">
        <v>2.5473654219501301E-5</v>
      </c>
      <c r="G31" s="74">
        <v>2.9170870071692699E-5</v>
      </c>
      <c r="H31" s="74">
        <v>3.0775135678396099E-5</v>
      </c>
      <c r="I31" s="74">
        <v>3.2588812194646601E-5</v>
      </c>
      <c r="J31" s="74">
        <v>3.4560062004271801E-5</v>
      </c>
      <c r="K31" s="74">
        <v>3.56020922985683E-5</v>
      </c>
      <c r="L31" s="74">
        <v>3.3920128719210997E-5</v>
      </c>
      <c r="M31" s="74">
        <v>3.1392106572325502E-5</v>
      </c>
      <c r="N31" s="74">
        <v>2.92004125465234E-5</v>
      </c>
      <c r="O31" s="74">
        <v>2.72605192234658E-5</v>
      </c>
      <c r="P31" s="74">
        <v>2.7574606123314799E-5</v>
      </c>
      <c r="Q31" s="74">
        <v>3.0397061983395901E-5</v>
      </c>
      <c r="R31" s="74">
        <v>3.3202053971370001E-5</v>
      </c>
      <c r="S31" s="74">
        <v>3.4716809242896202E-5</v>
      </c>
      <c r="T31" s="74">
        <v>3.2737061354224803E-5</v>
      </c>
      <c r="U31" s="74">
        <v>3.19261061926185E-5</v>
      </c>
      <c r="V31" s="69"/>
      <c r="W31" s="69"/>
      <c r="X31" s="69"/>
      <c r="Y31" s="69"/>
      <c r="Z31" s="69"/>
      <c r="AA31" s="69"/>
      <c r="AB31" s="69"/>
      <c r="AC31" s="69"/>
      <c r="AD31" s="69"/>
      <c r="AE31" s="69"/>
      <c r="AF31" s="69"/>
      <c r="AG31" s="69"/>
      <c r="AH31" s="69"/>
      <c r="AI31" s="69"/>
      <c r="AJ31" s="69"/>
      <c r="AK31" s="69"/>
      <c r="AL31" s="69"/>
      <c r="AM31" s="69" t="s">
        <v>393</v>
      </c>
      <c r="AN31" s="79" t="s">
        <v>394</v>
      </c>
    </row>
    <row r="32" spans="1:40" ht="15" x14ac:dyDescent="0.3">
      <c r="A32" s="68">
        <v>31</v>
      </c>
      <c r="B32" s="152" t="s">
        <v>422</v>
      </c>
      <c r="C32" s="72">
        <v>2019</v>
      </c>
      <c r="D32" s="73">
        <f t="shared" si="2"/>
        <v>0</v>
      </c>
      <c r="E32" s="74">
        <v>3.7345427882158801E-6</v>
      </c>
      <c r="F32" s="74">
        <v>3.9526562467079003E-6</v>
      </c>
      <c r="G32" s="74">
        <v>3.3675348719676999E-6</v>
      </c>
      <c r="H32" s="74">
        <v>2.6492578694402201E-6</v>
      </c>
      <c r="I32" s="74">
        <v>2.2888682565857401E-6</v>
      </c>
      <c r="J32" s="74">
        <v>2.1746149416490201E-6</v>
      </c>
      <c r="K32" s="74">
        <v>2.1646689061824999E-6</v>
      </c>
      <c r="L32" s="74">
        <v>2.1822228779594299E-6</v>
      </c>
      <c r="M32" s="74">
        <v>2.28826308625173E-6</v>
      </c>
      <c r="N32" s="74">
        <v>2.4241524724527099E-6</v>
      </c>
      <c r="O32" s="74">
        <v>2.7364133921964198E-6</v>
      </c>
      <c r="P32" s="74">
        <v>3.2551720625625301E-6</v>
      </c>
      <c r="Q32" s="74">
        <v>3.9506844978934996E-6</v>
      </c>
      <c r="R32" s="74">
        <v>4.6785600371658399E-6</v>
      </c>
      <c r="S32" s="74">
        <v>5.5882330706191396E-6</v>
      </c>
      <c r="T32" s="74">
        <v>6.3917656716316503E-6</v>
      </c>
      <c r="U32" s="74">
        <v>8.2545282924823607E-6</v>
      </c>
      <c r="V32" s="69"/>
      <c r="W32" s="69"/>
      <c r="X32" s="69"/>
      <c r="Y32" s="69"/>
      <c r="Z32" s="69"/>
      <c r="AA32" s="69"/>
      <c r="AB32" s="69"/>
      <c r="AC32" s="69"/>
      <c r="AD32" s="69"/>
      <c r="AE32" s="69"/>
      <c r="AF32" s="69"/>
      <c r="AG32" s="69"/>
      <c r="AH32" s="69"/>
      <c r="AI32" s="69"/>
      <c r="AJ32" s="69"/>
      <c r="AK32" s="69"/>
      <c r="AL32" s="69"/>
      <c r="AM32" s="69" t="s">
        <v>393</v>
      </c>
      <c r="AN32" s="79" t="s">
        <v>394</v>
      </c>
    </row>
    <row r="33" spans="1:40" ht="15" x14ac:dyDescent="0.3">
      <c r="A33" s="68">
        <v>32</v>
      </c>
      <c r="B33" s="152" t="s">
        <v>423</v>
      </c>
      <c r="C33" s="72">
        <v>2019</v>
      </c>
      <c r="D33" s="73">
        <f t="shared" si="2"/>
        <v>0</v>
      </c>
      <c r="E33" s="74">
        <v>4.7257475721224204E-3</v>
      </c>
      <c r="F33" s="74">
        <v>6.0531284352667901E-3</v>
      </c>
      <c r="G33" s="74">
        <v>5.7154052397376002E-3</v>
      </c>
      <c r="H33" s="74">
        <v>5.1295793345391199E-3</v>
      </c>
      <c r="I33" s="74">
        <v>4.6695825694293E-3</v>
      </c>
      <c r="J33" s="74">
        <v>4.25874799054361E-3</v>
      </c>
      <c r="K33" s="74">
        <v>3.9131217585612402E-3</v>
      </c>
      <c r="L33" s="74">
        <v>3.6698695643112402E-3</v>
      </c>
      <c r="M33" s="74">
        <v>3.48753830222565E-3</v>
      </c>
      <c r="N33" s="74">
        <v>3.2625885077086098E-3</v>
      </c>
      <c r="O33" s="74">
        <v>2.9889590087304402E-3</v>
      </c>
      <c r="P33" s="74">
        <v>2.6895756616143098E-3</v>
      </c>
      <c r="Q33" s="74">
        <v>2.3824187451762201E-3</v>
      </c>
      <c r="R33" s="74">
        <v>2.0583880788545999E-3</v>
      </c>
      <c r="S33" s="74">
        <v>1.7202844370306E-3</v>
      </c>
      <c r="T33" s="74">
        <v>1.4223795551715299E-3</v>
      </c>
      <c r="U33" s="74">
        <v>1.61187154396199E-3</v>
      </c>
      <c r="V33" s="69"/>
      <c r="W33" s="69"/>
      <c r="X33" s="69"/>
      <c r="Y33" s="69"/>
      <c r="Z33" s="69"/>
      <c r="AA33" s="69"/>
      <c r="AB33" s="69"/>
      <c r="AC33" s="69"/>
      <c r="AD33" s="69"/>
      <c r="AE33" s="69"/>
      <c r="AF33" s="69"/>
      <c r="AG33" s="69"/>
      <c r="AH33" s="69"/>
      <c r="AI33" s="69"/>
      <c r="AJ33" s="69"/>
      <c r="AK33" s="69"/>
      <c r="AL33" s="69"/>
      <c r="AM33" s="69" t="s">
        <v>393</v>
      </c>
      <c r="AN33" s="79" t="s">
        <v>394</v>
      </c>
    </row>
    <row r="34" spans="1:40" ht="15" x14ac:dyDescent="0.3">
      <c r="A34" s="68"/>
      <c r="B34" s="157" t="s">
        <v>777</v>
      </c>
      <c r="C34" s="72">
        <v>2019</v>
      </c>
      <c r="D34" s="73">
        <f t="shared" si="2"/>
        <v>0</v>
      </c>
      <c r="E34" s="74">
        <v>0</v>
      </c>
      <c r="F34" s="74">
        <v>0</v>
      </c>
      <c r="G34" s="74">
        <v>0</v>
      </c>
      <c r="H34" s="74">
        <v>2.7133426510017697E-4</v>
      </c>
      <c r="I34" s="74">
        <v>4.1936424324430001E-4</v>
      </c>
      <c r="J34" s="74">
        <v>6.9939870941383405E-4</v>
      </c>
      <c r="K34" s="74">
        <v>1.07406130222134E-3</v>
      </c>
      <c r="L34" s="74">
        <v>1.4887064276227599E-3</v>
      </c>
      <c r="M34" s="74">
        <v>1.95597805244788E-3</v>
      </c>
      <c r="N34" s="74">
        <v>2.5104596632064698E-3</v>
      </c>
      <c r="O34" s="74">
        <v>3.3713462008134799E-3</v>
      </c>
      <c r="P34" s="74">
        <v>4.6666745556858697E-3</v>
      </c>
      <c r="Q34" s="74">
        <v>6.4804466635101296E-3</v>
      </c>
      <c r="R34" s="74">
        <v>9.5489218301685504E-3</v>
      </c>
      <c r="S34" s="74">
        <v>1.51725514037031E-2</v>
      </c>
      <c r="T34" s="74">
        <v>2.3918515261218999E-2</v>
      </c>
      <c r="U34" s="74">
        <v>3.93319112680992E-2</v>
      </c>
      <c r="V34" s="69"/>
      <c r="W34" s="69"/>
      <c r="X34" s="69"/>
      <c r="Y34" s="69"/>
      <c r="Z34" s="69"/>
      <c r="AA34" s="69"/>
      <c r="AB34" s="69"/>
      <c r="AC34" s="69"/>
      <c r="AD34" s="69"/>
      <c r="AE34" s="69"/>
      <c r="AF34" s="69"/>
      <c r="AG34" s="69"/>
      <c r="AH34" s="69"/>
      <c r="AI34" s="69"/>
      <c r="AJ34" s="69"/>
      <c r="AK34" s="69"/>
      <c r="AL34" s="69"/>
      <c r="AM34" s="69" t="s">
        <v>393</v>
      </c>
      <c r="AN34" s="79" t="s">
        <v>394</v>
      </c>
    </row>
    <row r="35" spans="1:40" ht="15" x14ac:dyDescent="0.3">
      <c r="A35" s="68">
        <v>33</v>
      </c>
      <c r="B35" s="152" t="s">
        <v>424</v>
      </c>
      <c r="C35" s="72">
        <v>2019</v>
      </c>
      <c r="D35" s="73">
        <f t="shared" si="2"/>
        <v>0</v>
      </c>
      <c r="E35" s="74">
        <v>6.5869780177367097E-4</v>
      </c>
      <c r="F35" s="74">
        <v>1.01455073085136E-3</v>
      </c>
      <c r="G35" s="74">
        <v>1.15621613358127E-3</v>
      </c>
      <c r="H35" s="74">
        <v>1.35643858293875E-3</v>
      </c>
      <c r="I35" s="74">
        <v>1.83106818888662E-3</v>
      </c>
      <c r="J35" s="74">
        <v>2.2323301402019501E-3</v>
      </c>
      <c r="K35" s="74">
        <v>2.6937509706828999E-3</v>
      </c>
      <c r="L35" s="74">
        <v>2.95628262565644E-3</v>
      </c>
      <c r="M35" s="74">
        <v>2.9521885545278799E-3</v>
      </c>
      <c r="N35" s="74">
        <v>2.7828466736744299E-3</v>
      </c>
      <c r="O35" s="74">
        <v>2.65172189898716E-3</v>
      </c>
      <c r="P35" s="74">
        <v>2.5320244725937102E-3</v>
      </c>
      <c r="Q35" s="74">
        <v>2.30230217363366E-3</v>
      </c>
      <c r="R35" s="74">
        <v>2.12227960845954E-3</v>
      </c>
      <c r="S35" s="74">
        <v>2.1323712457813802E-3</v>
      </c>
      <c r="T35" s="74">
        <v>2.11598892706207E-3</v>
      </c>
      <c r="U35" s="74">
        <v>1.67403116243276E-3</v>
      </c>
      <c r="V35" s="69"/>
      <c r="W35" s="69"/>
      <c r="X35" s="69"/>
      <c r="Y35" s="69"/>
      <c r="Z35" s="69"/>
      <c r="AA35" s="69"/>
      <c r="AB35" s="69"/>
      <c r="AC35" s="69"/>
      <c r="AD35" s="69"/>
      <c r="AE35" s="69"/>
      <c r="AF35" s="69"/>
      <c r="AG35" s="69"/>
      <c r="AH35" s="69"/>
      <c r="AI35" s="69"/>
      <c r="AJ35" s="69"/>
      <c r="AK35" s="69"/>
      <c r="AL35" s="69"/>
      <c r="AM35" s="69" t="s">
        <v>393</v>
      </c>
      <c r="AN35" s="79" t="s">
        <v>394</v>
      </c>
    </row>
    <row r="36" spans="1:40" ht="15" x14ac:dyDescent="0.3">
      <c r="A36" s="68">
        <v>34</v>
      </c>
      <c r="B36" s="152" t="s">
        <v>425</v>
      </c>
      <c r="C36" s="72">
        <v>2019</v>
      </c>
      <c r="D36" s="73">
        <f t="shared" si="2"/>
        <v>0</v>
      </c>
      <c r="E36" s="74">
        <v>1.72426819424201E-3</v>
      </c>
      <c r="F36" s="74">
        <v>2.9707151956190601E-3</v>
      </c>
      <c r="G36" s="74">
        <v>5.0592593340887297E-3</v>
      </c>
      <c r="H36" s="74">
        <v>1.16937997515265E-2</v>
      </c>
      <c r="I36" s="74">
        <v>2.6128253381340501E-2</v>
      </c>
      <c r="J36" s="74">
        <v>4.80960896960251E-2</v>
      </c>
      <c r="K36" s="74">
        <v>7.0841382990012303E-2</v>
      </c>
      <c r="L36" s="74">
        <v>8.5209032520409705E-2</v>
      </c>
      <c r="M36" s="74">
        <v>8.6760691851017993E-2</v>
      </c>
      <c r="N36" s="74">
        <v>8.4924195242271294E-2</v>
      </c>
      <c r="O36" s="74">
        <v>9.2414110567409405E-2</v>
      </c>
      <c r="P36" s="74">
        <v>0.10362272330637</v>
      </c>
      <c r="Q36" s="74">
        <v>0.113482706642929</v>
      </c>
      <c r="R36" s="74">
        <v>0.13425472735885599</v>
      </c>
      <c r="S36" s="74">
        <v>0.17971143584926699</v>
      </c>
      <c r="T36" s="74">
        <v>0.24315334906123101</v>
      </c>
      <c r="U36" s="74">
        <v>0.32531353848288802</v>
      </c>
      <c r="V36" s="69"/>
      <c r="W36" s="69"/>
      <c r="X36" s="69"/>
      <c r="Y36" s="69"/>
      <c r="Z36" s="69"/>
      <c r="AA36" s="69"/>
      <c r="AB36" s="69"/>
      <c r="AC36" s="69"/>
      <c r="AD36" s="69"/>
      <c r="AE36" s="69"/>
      <c r="AF36" s="69"/>
      <c r="AG36" s="69"/>
      <c r="AH36" s="69"/>
      <c r="AI36" s="69"/>
      <c r="AJ36" s="69"/>
      <c r="AK36" s="69"/>
      <c r="AL36" s="69"/>
      <c r="AM36" s="69" t="s">
        <v>393</v>
      </c>
      <c r="AN36" s="79" t="s">
        <v>394</v>
      </c>
    </row>
    <row r="37" spans="1:40" ht="15" x14ac:dyDescent="0.3">
      <c r="A37" s="68">
        <v>35</v>
      </c>
      <c r="B37" s="152" t="s">
        <v>426</v>
      </c>
      <c r="C37" s="72">
        <v>2019</v>
      </c>
      <c r="D37" s="73">
        <f t="shared" si="2"/>
        <v>0</v>
      </c>
      <c r="E37" s="74">
        <v>3.1137954223824999E-4</v>
      </c>
      <c r="F37" s="74">
        <v>8.3274881538029195E-4</v>
      </c>
      <c r="G37" s="74">
        <v>1.2839285679229801E-3</v>
      </c>
      <c r="H37" s="74">
        <v>1.61794261166104E-3</v>
      </c>
      <c r="I37" s="74">
        <v>1.9601607313024299E-3</v>
      </c>
      <c r="J37" s="74">
        <v>2.40793376891651E-3</v>
      </c>
      <c r="K37" s="74">
        <v>2.9869346235007598E-3</v>
      </c>
      <c r="L37" s="74">
        <v>3.7660401822109898E-3</v>
      </c>
      <c r="M37" s="74">
        <v>4.9944531675573398E-3</v>
      </c>
      <c r="N37" s="74">
        <v>7.3134180777943798E-3</v>
      </c>
      <c r="O37" s="74">
        <v>1.16325923327641E-2</v>
      </c>
      <c r="P37" s="74">
        <v>2.0506559673256E-2</v>
      </c>
      <c r="Q37" s="74">
        <v>3.5005006073529701E-2</v>
      </c>
      <c r="R37" s="74">
        <v>5.7193159072396103E-2</v>
      </c>
      <c r="S37" s="74">
        <v>8.4301348416670294E-2</v>
      </c>
      <c r="T37" s="74">
        <v>0.11176382121652199</v>
      </c>
      <c r="U37" s="74">
        <v>0.12764630586669101</v>
      </c>
      <c r="V37" s="69"/>
      <c r="W37" s="69"/>
      <c r="X37" s="69"/>
      <c r="Y37" s="69"/>
      <c r="Z37" s="69"/>
      <c r="AA37" s="69"/>
      <c r="AB37" s="69"/>
      <c r="AC37" s="69"/>
      <c r="AD37" s="69"/>
      <c r="AE37" s="69"/>
      <c r="AF37" s="69"/>
      <c r="AG37" s="69"/>
      <c r="AH37" s="69"/>
      <c r="AI37" s="69"/>
      <c r="AJ37" s="69"/>
      <c r="AK37" s="69"/>
      <c r="AL37" s="69"/>
      <c r="AM37" s="69" t="s">
        <v>393</v>
      </c>
      <c r="AN37" s="79" t="s">
        <v>394</v>
      </c>
    </row>
    <row r="38" spans="1:40" ht="15" x14ac:dyDescent="0.3">
      <c r="A38" s="68">
        <v>36</v>
      </c>
      <c r="B38" s="152" t="s">
        <v>427</v>
      </c>
      <c r="C38" s="72">
        <v>2019</v>
      </c>
      <c r="D38" s="73">
        <f t="shared" si="2"/>
        <v>0</v>
      </c>
      <c r="E38" s="74">
        <v>3.6954746767025101E-5</v>
      </c>
      <c r="F38" s="74">
        <v>1.24350475110182E-4</v>
      </c>
      <c r="G38" s="74">
        <v>2.3971616673715499E-4</v>
      </c>
      <c r="H38" s="74">
        <v>3.6602903634924097E-4</v>
      </c>
      <c r="I38" s="74">
        <v>5.2577507545597505E-4</v>
      </c>
      <c r="J38" s="74">
        <v>7.4715682359954101E-4</v>
      </c>
      <c r="K38" s="74">
        <v>1.0640014345373601E-3</v>
      </c>
      <c r="L38" s="74">
        <v>1.57902208320235E-3</v>
      </c>
      <c r="M38" s="74">
        <v>2.3754374565520099E-3</v>
      </c>
      <c r="N38" s="74">
        <v>3.5983762553888298E-3</v>
      </c>
      <c r="O38" s="74">
        <v>5.1850715671725896E-3</v>
      </c>
      <c r="P38" s="74">
        <v>6.9700767130510804E-3</v>
      </c>
      <c r="Q38" s="74">
        <v>8.4204822434623995E-3</v>
      </c>
      <c r="R38" s="74">
        <v>8.4364257751130892E-3</v>
      </c>
      <c r="S38" s="74">
        <v>7.3225137193034502E-3</v>
      </c>
      <c r="T38" s="74">
        <v>6.1903187983855801E-3</v>
      </c>
      <c r="U38" s="74">
        <v>4.3705692494600996E-3</v>
      </c>
      <c r="V38" s="69"/>
      <c r="W38" s="69"/>
      <c r="X38" s="69"/>
      <c r="Y38" s="69"/>
      <c r="Z38" s="69"/>
      <c r="AA38" s="69"/>
      <c r="AB38" s="69"/>
      <c r="AC38" s="69"/>
      <c r="AD38" s="69"/>
      <c r="AE38" s="69"/>
      <c r="AF38" s="69"/>
      <c r="AG38" s="69"/>
      <c r="AH38" s="69"/>
      <c r="AI38" s="69"/>
      <c r="AJ38" s="69"/>
      <c r="AK38" s="69"/>
      <c r="AL38" s="69"/>
      <c r="AM38" s="69" t="s">
        <v>393</v>
      </c>
      <c r="AN38" s="79" t="s">
        <v>394</v>
      </c>
    </row>
    <row r="39" spans="1:40" ht="15" x14ac:dyDescent="0.3">
      <c r="A39" s="68">
        <v>37</v>
      </c>
      <c r="B39" s="152" t="s">
        <v>428</v>
      </c>
      <c r="C39" s="72">
        <v>2019</v>
      </c>
      <c r="D39" s="73">
        <f t="shared" si="2"/>
        <v>0</v>
      </c>
      <c r="E39" s="74">
        <v>2.7478401988502398E-5</v>
      </c>
      <c r="F39" s="74">
        <v>8.3697604757599896E-5</v>
      </c>
      <c r="G39" s="74">
        <v>1.4789344953231099E-4</v>
      </c>
      <c r="H39" s="74">
        <v>2.13394041801819E-4</v>
      </c>
      <c r="I39" s="74">
        <v>2.9625576555466002E-4</v>
      </c>
      <c r="J39" s="74">
        <v>4.0314505650347198E-4</v>
      </c>
      <c r="K39" s="74">
        <v>5.4065353596509304E-4</v>
      </c>
      <c r="L39" s="74">
        <v>7.2870283889894295E-4</v>
      </c>
      <c r="M39" s="74">
        <v>9.7662645632541904E-4</v>
      </c>
      <c r="N39" s="74">
        <v>1.3131365118522701E-3</v>
      </c>
      <c r="O39" s="74">
        <v>1.70301320896972E-3</v>
      </c>
      <c r="P39" s="74">
        <v>2.0984674500875199E-3</v>
      </c>
      <c r="Q39" s="74">
        <v>2.43872975724139E-3</v>
      </c>
      <c r="R39" s="74">
        <v>2.7051208317170799E-3</v>
      </c>
      <c r="S39" s="74">
        <v>2.83253012077585E-3</v>
      </c>
      <c r="T39" s="74">
        <v>2.7231688070674899E-3</v>
      </c>
      <c r="U39" s="74">
        <v>2.6203866498931299E-3</v>
      </c>
      <c r="V39" s="69"/>
      <c r="W39" s="69"/>
      <c r="X39" s="69"/>
      <c r="Y39" s="69"/>
      <c r="Z39" s="69"/>
      <c r="AA39" s="69"/>
      <c r="AB39" s="69"/>
      <c r="AC39" s="69"/>
      <c r="AD39" s="69"/>
      <c r="AE39" s="69"/>
      <c r="AF39" s="69"/>
      <c r="AG39" s="69"/>
      <c r="AH39" s="69"/>
      <c r="AI39" s="69"/>
      <c r="AJ39" s="69"/>
      <c r="AK39" s="69"/>
      <c r="AL39" s="69"/>
      <c r="AM39" s="69" t="s">
        <v>393</v>
      </c>
      <c r="AN39" s="79" t="s">
        <v>394</v>
      </c>
    </row>
    <row r="40" spans="1:40" ht="15" x14ac:dyDescent="0.3">
      <c r="A40" s="68"/>
      <c r="B40" s="157" t="s">
        <v>779</v>
      </c>
      <c r="C40" s="72">
        <v>2019</v>
      </c>
      <c r="D40" s="73">
        <f t="shared" si="2"/>
        <v>0</v>
      </c>
      <c r="E40" s="74">
        <v>0</v>
      </c>
      <c r="F40" s="74">
        <v>0</v>
      </c>
      <c r="G40" s="74">
        <v>0</v>
      </c>
      <c r="H40" s="74">
        <v>2.65287513074886E-6</v>
      </c>
      <c r="I40" s="74">
        <v>3.0691544890977101E-5</v>
      </c>
      <c r="J40" s="74">
        <v>1.01287534107848E-4</v>
      </c>
      <c r="K40" s="74">
        <v>1.9058443302585399E-4</v>
      </c>
      <c r="L40" s="74">
        <v>3.5831559558396198E-4</v>
      </c>
      <c r="M40" s="74">
        <v>7.8720884665048005E-4</v>
      </c>
      <c r="N40" s="74">
        <v>1.93561026616394E-3</v>
      </c>
      <c r="O40" s="74">
        <v>3.4596479683754299E-3</v>
      </c>
      <c r="P40" s="74">
        <v>4.6497301846950998E-3</v>
      </c>
      <c r="Q40" s="74">
        <v>7.6812851696144097E-3</v>
      </c>
      <c r="R40" s="74">
        <v>1.77238003114733E-2</v>
      </c>
      <c r="S40" s="74">
        <v>3.0381817081970901E-2</v>
      </c>
      <c r="T40" s="74">
        <v>4.0800426104103102E-2</v>
      </c>
      <c r="U40" s="74">
        <v>7.0394601981814506E-2</v>
      </c>
      <c r="V40" s="69"/>
      <c r="W40" s="69"/>
      <c r="X40" s="69"/>
      <c r="Y40" s="69"/>
      <c r="Z40" s="69"/>
      <c r="AA40" s="69"/>
      <c r="AB40" s="69"/>
      <c r="AC40" s="69"/>
      <c r="AD40" s="69"/>
      <c r="AE40" s="69"/>
      <c r="AF40" s="69"/>
      <c r="AG40" s="69"/>
      <c r="AH40" s="69"/>
      <c r="AI40" s="69"/>
      <c r="AJ40" s="69"/>
      <c r="AK40" s="69"/>
      <c r="AL40" s="69"/>
      <c r="AM40" s="69" t="s">
        <v>393</v>
      </c>
      <c r="AN40" s="79" t="s">
        <v>394</v>
      </c>
    </row>
    <row r="41" spans="1:40" ht="15" x14ac:dyDescent="0.3">
      <c r="A41" s="68">
        <v>38</v>
      </c>
      <c r="B41" s="152" t="s">
        <v>429</v>
      </c>
      <c r="C41" s="72">
        <v>2019</v>
      </c>
      <c r="D41" s="73">
        <f t="shared" si="2"/>
        <v>0</v>
      </c>
      <c r="E41" s="74">
        <v>0</v>
      </c>
      <c r="F41" s="74">
        <v>0</v>
      </c>
      <c r="G41" s="74">
        <v>0</v>
      </c>
      <c r="H41" s="74">
        <v>0</v>
      </c>
      <c r="I41" s="74">
        <v>0</v>
      </c>
      <c r="J41" s="74">
        <v>0</v>
      </c>
      <c r="K41" s="74">
        <v>5.9907557251718498E-5</v>
      </c>
      <c r="L41" s="74">
        <v>4.0841521781848799E-4</v>
      </c>
      <c r="M41" s="74">
        <v>1.24607126840129E-3</v>
      </c>
      <c r="N41" s="74">
        <v>3.1307439128317499E-3</v>
      </c>
      <c r="O41" s="74">
        <v>6.3981771354804304E-3</v>
      </c>
      <c r="P41" s="74">
        <v>1.18210863274108E-2</v>
      </c>
      <c r="Q41" s="74">
        <v>2.0006807859408001E-2</v>
      </c>
      <c r="R41" s="74">
        <v>3.2552264191863703E-2</v>
      </c>
      <c r="S41" s="74">
        <v>4.9432793027916498E-2</v>
      </c>
      <c r="T41" s="74">
        <v>6.9766577370572194E-2</v>
      </c>
      <c r="U41" s="74">
        <v>0.103028598631955</v>
      </c>
      <c r="V41" s="69"/>
      <c r="W41" s="69"/>
      <c r="X41" s="69"/>
      <c r="Y41" s="69"/>
      <c r="Z41" s="69"/>
      <c r="AA41" s="69"/>
      <c r="AB41" s="69"/>
      <c r="AC41" s="69"/>
      <c r="AD41" s="69"/>
      <c r="AE41" s="69"/>
      <c r="AF41" s="69"/>
      <c r="AG41" s="69"/>
      <c r="AH41" s="69"/>
      <c r="AI41" s="69"/>
      <c r="AJ41" s="69"/>
      <c r="AK41" s="69"/>
      <c r="AL41" s="69"/>
      <c r="AM41" s="69" t="s">
        <v>393</v>
      </c>
      <c r="AN41" s="79" t="s">
        <v>394</v>
      </c>
    </row>
    <row r="42" spans="1:40" ht="15" x14ac:dyDescent="0.3">
      <c r="A42" s="68">
        <v>39</v>
      </c>
      <c r="B42" s="153" t="s">
        <v>637</v>
      </c>
      <c r="C42" s="72">
        <v>2019</v>
      </c>
      <c r="D42" s="73">
        <f t="shared" si="2"/>
        <v>0</v>
      </c>
      <c r="E42" s="74">
        <v>0</v>
      </c>
      <c r="F42" s="74">
        <v>0</v>
      </c>
      <c r="G42" s="74">
        <v>0</v>
      </c>
      <c r="H42" s="74">
        <v>0</v>
      </c>
      <c r="I42" s="74">
        <v>0</v>
      </c>
      <c r="J42" s="74">
        <v>0</v>
      </c>
      <c r="K42" s="74">
        <v>0</v>
      </c>
      <c r="L42" s="74">
        <v>0</v>
      </c>
      <c r="M42" s="74">
        <v>5.1238197921322799E-3</v>
      </c>
      <c r="N42" s="74">
        <v>1.20630281332072E-2</v>
      </c>
      <c r="O42" s="74">
        <v>2.2635224184998699E-2</v>
      </c>
      <c r="P42" s="74">
        <v>3.5175682512231299E-2</v>
      </c>
      <c r="Q42" s="74">
        <v>4.9012683599141002E-2</v>
      </c>
      <c r="R42" s="74">
        <v>6.7320345242674898E-2</v>
      </c>
      <c r="S42" s="74">
        <v>8.8007706742035202E-2</v>
      </c>
      <c r="T42" s="74">
        <v>0.109111610282722</v>
      </c>
      <c r="U42" s="74">
        <v>0.14356606532775901</v>
      </c>
      <c r="V42" s="69"/>
      <c r="W42" s="69"/>
      <c r="X42" s="69"/>
      <c r="Y42" s="69"/>
      <c r="Z42" s="69"/>
      <c r="AA42" s="69"/>
      <c r="AB42" s="69"/>
      <c r="AC42" s="69"/>
      <c r="AD42" s="69"/>
      <c r="AE42" s="69"/>
      <c r="AF42" s="69"/>
      <c r="AG42" s="69"/>
      <c r="AH42" s="69"/>
      <c r="AI42" s="69"/>
      <c r="AJ42" s="69"/>
      <c r="AK42" s="69"/>
      <c r="AL42" s="69"/>
      <c r="AM42" s="69" t="s">
        <v>393</v>
      </c>
      <c r="AN42" s="79" t="s">
        <v>394</v>
      </c>
    </row>
    <row r="43" spans="1:40" ht="15" x14ac:dyDescent="0.3">
      <c r="A43" s="68">
        <v>40</v>
      </c>
      <c r="B43" s="152" t="s">
        <v>430</v>
      </c>
      <c r="C43" s="72">
        <v>2019</v>
      </c>
      <c r="D43" s="73">
        <f t="shared" si="2"/>
        <v>0</v>
      </c>
      <c r="E43" s="74">
        <v>1.37006886614771E-5</v>
      </c>
      <c r="F43" s="74">
        <v>1.03880413231554E-5</v>
      </c>
      <c r="G43" s="74">
        <v>7.2207530143533597E-6</v>
      </c>
      <c r="H43" s="74">
        <v>6.57460644729354E-6</v>
      </c>
      <c r="I43" s="74">
        <v>8.1337238776989104E-6</v>
      </c>
      <c r="J43" s="74">
        <v>8.9982827601931498E-6</v>
      </c>
      <c r="K43" s="74">
        <v>8.7252714370832207E-6</v>
      </c>
      <c r="L43" s="74">
        <v>9.0009702334150807E-6</v>
      </c>
      <c r="M43" s="74">
        <v>9.9308295886232706E-6</v>
      </c>
      <c r="N43" s="74">
        <v>1.4881398329365699E-5</v>
      </c>
      <c r="O43" s="74">
        <v>2.2446817514334401E-5</v>
      </c>
      <c r="P43" s="74">
        <v>3.3052205585841999E-5</v>
      </c>
      <c r="Q43" s="74">
        <v>6.1199909261742906E-5</v>
      </c>
      <c r="R43" s="74">
        <v>1.1873547222491401E-4</v>
      </c>
      <c r="S43" s="74">
        <v>1.4414804593608599E-4</v>
      </c>
      <c r="T43" s="74">
        <v>1.84164967462196E-4</v>
      </c>
      <c r="U43" s="74">
        <v>3.6137224399371498E-4</v>
      </c>
      <c r="V43" s="69"/>
      <c r="W43" s="69"/>
      <c r="X43" s="69"/>
      <c r="Y43" s="69"/>
      <c r="Z43" s="69"/>
      <c r="AA43" s="69"/>
      <c r="AB43" s="69"/>
      <c r="AC43" s="69"/>
      <c r="AD43" s="69"/>
      <c r="AE43" s="69"/>
      <c r="AF43" s="69"/>
      <c r="AG43" s="69"/>
      <c r="AH43" s="69"/>
      <c r="AI43" s="69"/>
      <c r="AJ43" s="69"/>
      <c r="AK43" s="69"/>
      <c r="AL43" s="69"/>
      <c r="AM43" s="69" t="s">
        <v>393</v>
      </c>
      <c r="AN43" s="79" t="s">
        <v>394</v>
      </c>
    </row>
    <row r="44" spans="1:40" ht="15" x14ac:dyDescent="0.3">
      <c r="A44" s="68">
        <v>41</v>
      </c>
      <c r="B44" s="152" t="s">
        <v>431</v>
      </c>
      <c r="C44" s="72">
        <v>2019</v>
      </c>
      <c r="D44" s="73">
        <f t="shared" si="2"/>
        <v>0</v>
      </c>
      <c r="E44" s="74">
        <v>2.9981035788825703E-4</v>
      </c>
      <c r="F44" s="74">
        <v>1.4016274438784901E-3</v>
      </c>
      <c r="G44" s="74">
        <v>2.3257664377004899E-3</v>
      </c>
      <c r="H44" s="74">
        <v>9.5957021467659798E-4</v>
      </c>
      <c r="I44" s="74">
        <v>8.84375627715938E-4</v>
      </c>
      <c r="J44" s="74">
        <v>1.1971817299290699E-3</v>
      </c>
      <c r="K44" s="74">
        <v>8.4078287821146903E-4</v>
      </c>
      <c r="L44" s="74">
        <v>9.0939614214244802E-4</v>
      </c>
      <c r="M44" s="74">
        <v>5.9464648993973503E-3</v>
      </c>
      <c r="N44" s="74">
        <v>3.2633000986760801E-3</v>
      </c>
      <c r="O44" s="74">
        <v>3.2268780950590798E-3</v>
      </c>
      <c r="P44" s="74">
        <v>3.2815868602327101E-3</v>
      </c>
      <c r="Q44" s="74">
        <v>5.1500569941966201E-3</v>
      </c>
      <c r="R44" s="74">
        <v>5.3746068700128097E-3</v>
      </c>
      <c r="S44" s="74">
        <v>5.1477654940769802E-3</v>
      </c>
      <c r="T44" s="74">
        <v>5.1331337511101097E-3</v>
      </c>
      <c r="U44" s="74">
        <v>4.3206015455738104E-3</v>
      </c>
      <c r="V44" s="69"/>
      <c r="W44" s="69"/>
      <c r="X44" s="69"/>
      <c r="Y44" s="69"/>
      <c r="Z44" s="69"/>
      <c r="AA44" s="69"/>
      <c r="AB44" s="69"/>
      <c r="AC44" s="69"/>
      <c r="AD44" s="69"/>
      <c r="AE44" s="69"/>
      <c r="AF44" s="69"/>
      <c r="AG44" s="69"/>
      <c r="AH44" s="69"/>
      <c r="AI44" s="69"/>
      <c r="AJ44" s="69"/>
      <c r="AK44" s="69"/>
      <c r="AL44" s="69"/>
      <c r="AM44" s="69" t="s">
        <v>393</v>
      </c>
      <c r="AN44" s="79" t="s">
        <v>394</v>
      </c>
    </row>
    <row r="45" spans="1:40" ht="15" x14ac:dyDescent="0.3">
      <c r="A45" s="68">
        <v>42</v>
      </c>
      <c r="B45" s="152" t="s">
        <v>432</v>
      </c>
      <c r="C45" s="72">
        <v>2019</v>
      </c>
      <c r="D45" s="73">
        <f t="shared" si="2"/>
        <v>0</v>
      </c>
      <c r="E45" s="74">
        <v>4.5396467930388198E-4</v>
      </c>
      <c r="F45" s="74">
        <v>1.26527417738944E-3</v>
      </c>
      <c r="G45" s="74">
        <v>2.0372088100424298E-3</v>
      </c>
      <c r="H45" s="74">
        <v>2.7480282154758598E-3</v>
      </c>
      <c r="I45" s="74">
        <v>3.7771350777945798E-3</v>
      </c>
      <c r="J45" s="74">
        <v>4.8238122676699099E-3</v>
      </c>
      <c r="K45" s="74">
        <v>5.8605276276258401E-3</v>
      </c>
      <c r="L45" s="74">
        <v>7.0615043462865902E-3</v>
      </c>
      <c r="M45" s="74">
        <v>9.3076795185070196E-3</v>
      </c>
      <c r="N45" s="74">
        <v>1.49358562041907E-2</v>
      </c>
      <c r="O45" s="74">
        <v>2.5490861918828499E-2</v>
      </c>
      <c r="P45" s="74">
        <v>3.9640012886140302E-2</v>
      </c>
      <c r="Q45" s="74">
        <v>5.9480871737375603E-2</v>
      </c>
      <c r="R45" s="74">
        <v>9.4362290629294701E-2</v>
      </c>
      <c r="S45" s="74">
        <v>0.14298565573059399</v>
      </c>
      <c r="T45" s="74">
        <v>0.20187317160392701</v>
      </c>
      <c r="U45" s="74">
        <v>0.287027507807953</v>
      </c>
      <c r="V45" s="69"/>
      <c r="W45" s="69"/>
      <c r="X45" s="69"/>
      <c r="Y45" s="69"/>
      <c r="Z45" s="69"/>
      <c r="AA45" s="69"/>
      <c r="AB45" s="69"/>
      <c r="AC45" s="69"/>
      <c r="AD45" s="69"/>
      <c r="AE45" s="69"/>
      <c r="AF45" s="69"/>
      <c r="AG45" s="69"/>
      <c r="AH45" s="69"/>
      <c r="AI45" s="69"/>
      <c r="AJ45" s="69"/>
      <c r="AK45" s="69"/>
      <c r="AL45" s="69"/>
      <c r="AM45" s="69" t="s">
        <v>393</v>
      </c>
      <c r="AN45" s="79" t="s">
        <v>394</v>
      </c>
    </row>
    <row r="46" spans="1:40" ht="15" x14ac:dyDescent="0.3">
      <c r="A46" s="68">
        <v>43</v>
      </c>
      <c r="B46" s="152" t="s">
        <v>433</v>
      </c>
      <c r="C46" s="72">
        <v>2019</v>
      </c>
      <c r="D46" s="73">
        <f t="shared" si="2"/>
        <v>0</v>
      </c>
      <c r="E46" s="74">
        <v>0</v>
      </c>
      <c r="F46" s="74">
        <v>0</v>
      </c>
      <c r="G46" s="74">
        <v>0</v>
      </c>
      <c r="H46" s="74">
        <v>0</v>
      </c>
      <c r="I46" s="74">
        <v>4.1716536696430501E-5</v>
      </c>
      <c r="J46" s="74">
        <v>3.8476644280541301E-5</v>
      </c>
      <c r="K46" s="74">
        <v>3.6933317709748701E-5</v>
      </c>
      <c r="L46" s="74">
        <v>4.7653640157084303E-5</v>
      </c>
      <c r="M46" s="74">
        <v>7.1540229114823504E-5</v>
      </c>
      <c r="N46" s="74">
        <v>1.3330073093157101E-4</v>
      </c>
      <c r="O46" s="74">
        <v>2.3863045969661401E-4</v>
      </c>
      <c r="P46" s="74">
        <v>4.1046469566249601E-4</v>
      </c>
      <c r="Q46" s="74">
        <v>6.1989387056074496E-4</v>
      </c>
      <c r="R46" s="74">
        <v>7.0549691161892597E-4</v>
      </c>
      <c r="S46" s="74">
        <v>7.6064174584293E-4</v>
      </c>
      <c r="T46" s="74">
        <v>7.0608797686054795E-4</v>
      </c>
      <c r="U46" s="74">
        <v>5.4172106790819003E-4</v>
      </c>
      <c r="V46" s="69"/>
      <c r="W46" s="69"/>
      <c r="X46" s="69"/>
      <c r="Y46" s="69"/>
      <c r="Z46" s="69"/>
      <c r="AA46" s="69"/>
      <c r="AB46" s="69"/>
      <c r="AC46" s="69"/>
      <c r="AD46" s="69"/>
      <c r="AE46" s="69"/>
      <c r="AF46" s="69"/>
      <c r="AG46" s="69"/>
      <c r="AH46" s="69"/>
      <c r="AI46" s="69"/>
      <c r="AJ46" s="69"/>
      <c r="AK46" s="69"/>
      <c r="AL46" s="69"/>
      <c r="AM46" s="69" t="s">
        <v>393</v>
      </c>
      <c r="AN46" s="79" t="s">
        <v>394</v>
      </c>
    </row>
    <row r="47" spans="1:40" ht="15" x14ac:dyDescent="0.3">
      <c r="A47" s="68">
        <v>44</v>
      </c>
      <c r="B47" s="152" t="s">
        <v>434</v>
      </c>
      <c r="C47" s="72">
        <v>2019</v>
      </c>
      <c r="D47" s="73">
        <f t="shared" si="2"/>
        <v>0</v>
      </c>
      <c r="E47" s="74">
        <v>0</v>
      </c>
      <c r="F47" s="74">
        <v>0</v>
      </c>
      <c r="G47" s="74">
        <v>1.38319719589117E-6</v>
      </c>
      <c r="H47" s="74">
        <v>1.3168463858318201E-5</v>
      </c>
      <c r="I47" s="74">
        <v>2.2652500977122599E-5</v>
      </c>
      <c r="J47" s="74">
        <v>3.3822122700568702E-5</v>
      </c>
      <c r="K47" s="74">
        <v>6.0335347908104599E-5</v>
      </c>
      <c r="L47" s="74">
        <v>1.17720319567812E-4</v>
      </c>
      <c r="M47" s="74">
        <v>2.1281688374478501E-4</v>
      </c>
      <c r="N47" s="74">
        <v>4.1292467688504899E-4</v>
      </c>
      <c r="O47" s="74">
        <v>8.3018563346465898E-4</v>
      </c>
      <c r="P47" s="74">
        <v>1.4864696857300301E-3</v>
      </c>
      <c r="Q47" s="74">
        <v>2.3023321070508298E-3</v>
      </c>
      <c r="R47" s="74">
        <v>3.02855474467335E-3</v>
      </c>
      <c r="S47" s="74">
        <v>3.8157551076906699E-3</v>
      </c>
      <c r="T47" s="74">
        <v>3.8493828368426201E-3</v>
      </c>
      <c r="U47" s="74">
        <v>3.5246836589418501E-3</v>
      </c>
      <c r="V47" s="69"/>
      <c r="W47" s="69"/>
      <c r="X47" s="69"/>
      <c r="Y47" s="69"/>
      <c r="Z47" s="69"/>
      <c r="AA47" s="69"/>
      <c r="AB47" s="69"/>
      <c r="AC47" s="69"/>
      <c r="AD47" s="69"/>
      <c r="AE47" s="69"/>
      <c r="AF47" s="69"/>
      <c r="AG47" s="69"/>
      <c r="AH47" s="69"/>
      <c r="AI47" s="69"/>
      <c r="AJ47" s="69"/>
      <c r="AK47" s="69"/>
      <c r="AL47" s="69"/>
      <c r="AM47" s="69" t="s">
        <v>393</v>
      </c>
      <c r="AN47" s="79" t="s">
        <v>394</v>
      </c>
    </row>
    <row r="48" spans="1:40" ht="15" x14ac:dyDescent="0.3">
      <c r="A48" s="68">
        <v>45</v>
      </c>
      <c r="B48" s="152" t="s">
        <v>435</v>
      </c>
      <c r="C48" s="72">
        <v>2019</v>
      </c>
      <c r="D48" s="73">
        <f t="shared" si="2"/>
        <v>0</v>
      </c>
      <c r="E48" s="74">
        <v>0</v>
      </c>
      <c r="F48" s="74">
        <v>0</v>
      </c>
      <c r="G48" s="74">
        <v>0</v>
      </c>
      <c r="H48" s="74">
        <v>3.1935793107131197E-5</v>
      </c>
      <c r="I48" s="74">
        <v>8.8359682507065904E-5</v>
      </c>
      <c r="J48" s="74">
        <v>2.7912880096699999E-4</v>
      </c>
      <c r="K48" s="74">
        <v>7.5776859662536698E-4</v>
      </c>
      <c r="L48" s="74">
        <v>1.5048278989674201E-3</v>
      </c>
      <c r="M48" s="74">
        <v>2.6427246912135902E-3</v>
      </c>
      <c r="N48" s="74">
        <v>3.35253409677765E-3</v>
      </c>
      <c r="O48" s="74">
        <v>4.3443053034952399E-3</v>
      </c>
      <c r="P48" s="74">
        <v>5.2814977245282399E-3</v>
      </c>
      <c r="Q48" s="74">
        <v>5.9784038488414903E-3</v>
      </c>
      <c r="R48" s="74">
        <v>6.4541807721711503E-3</v>
      </c>
      <c r="S48" s="74">
        <v>6.0284461187245196E-3</v>
      </c>
      <c r="T48" s="74">
        <v>5.6508399026504903E-3</v>
      </c>
      <c r="U48" s="74">
        <v>5.1714858854727203E-3</v>
      </c>
      <c r="V48" s="69"/>
      <c r="W48" s="69"/>
      <c r="X48" s="69"/>
      <c r="Y48" s="69"/>
      <c r="Z48" s="69"/>
      <c r="AA48" s="69"/>
      <c r="AB48" s="69"/>
      <c r="AC48" s="69"/>
      <c r="AD48" s="69"/>
      <c r="AE48" s="69"/>
      <c r="AF48" s="69"/>
      <c r="AG48" s="69"/>
      <c r="AH48" s="69"/>
      <c r="AI48" s="69"/>
      <c r="AJ48" s="69"/>
      <c r="AK48" s="69"/>
      <c r="AL48" s="69"/>
      <c r="AM48" s="69" t="s">
        <v>393</v>
      </c>
      <c r="AN48" s="79" t="s">
        <v>394</v>
      </c>
    </row>
    <row r="49" spans="1:40" ht="15" x14ac:dyDescent="0.3">
      <c r="A49" s="68">
        <v>46</v>
      </c>
      <c r="B49" s="152" t="s">
        <v>436</v>
      </c>
      <c r="C49" s="72">
        <v>2019</v>
      </c>
      <c r="D49" s="73">
        <f t="shared" si="2"/>
        <v>0</v>
      </c>
      <c r="E49" s="74">
        <v>0</v>
      </c>
      <c r="F49" s="74">
        <v>0</v>
      </c>
      <c r="G49" s="74">
        <v>0</v>
      </c>
      <c r="H49" s="74">
        <v>2.1334580056808802E-5</v>
      </c>
      <c r="I49" s="74">
        <v>5.9523415712865498E-5</v>
      </c>
      <c r="J49" s="74">
        <v>1.51474118224593E-4</v>
      </c>
      <c r="K49" s="74">
        <v>4.0112959447454198E-4</v>
      </c>
      <c r="L49" s="74">
        <v>6.4248134495149801E-4</v>
      </c>
      <c r="M49" s="74">
        <v>8.4121121110434702E-4</v>
      </c>
      <c r="N49" s="74">
        <v>8.1181414630124402E-4</v>
      </c>
      <c r="O49" s="74">
        <v>8.1169764144721805E-4</v>
      </c>
      <c r="P49" s="74">
        <v>7.3030024923555995E-4</v>
      </c>
      <c r="Q49" s="74">
        <v>5.3169766061364205E-4</v>
      </c>
      <c r="R49" s="74">
        <v>3.60592794668237E-4</v>
      </c>
      <c r="S49" s="74">
        <v>2.3705894504700201E-4</v>
      </c>
      <c r="T49" s="74">
        <v>1.5694127457798601E-4</v>
      </c>
      <c r="U49" s="74">
        <v>1.0636019171628E-4</v>
      </c>
      <c r="V49" s="69"/>
      <c r="W49" s="69"/>
      <c r="X49" s="69"/>
      <c r="Y49" s="69"/>
      <c r="Z49" s="69"/>
      <c r="AA49" s="69"/>
      <c r="AB49" s="69"/>
      <c r="AC49" s="69"/>
      <c r="AD49" s="69"/>
      <c r="AE49" s="69"/>
      <c r="AF49" s="69"/>
      <c r="AG49" s="69"/>
      <c r="AH49" s="69"/>
      <c r="AI49" s="69"/>
      <c r="AJ49" s="69"/>
      <c r="AK49" s="69"/>
      <c r="AL49" s="69"/>
      <c r="AM49" s="69" t="s">
        <v>393</v>
      </c>
      <c r="AN49" s="79" t="s">
        <v>394</v>
      </c>
    </row>
    <row r="50" spans="1:40" ht="15" x14ac:dyDescent="0.3">
      <c r="A50" s="68">
        <v>47</v>
      </c>
      <c r="B50" s="152" t="s">
        <v>437</v>
      </c>
      <c r="C50" s="72">
        <v>2019</v>
      </c>
      <c r="D50" s="73">
        <f t="shared" si="2"/>
        <v>0</v>
      </c>
      <c r="E50" s="74">
        <v>0</v>
      </c>
      <c r="F50" s="74">
        <v>0</v>
      </c>
      <c r="G50" s="74">
        <v>0</v>
      </c>
      <c r="H50" s="74">
        <v>0</v>
      </c>
      <c r="I50" s="74">
        <v>4.6837932802342901E-5</v>
      </c>
      <c r="J50" s="74">
        <v>7.2533496092423101E-5</v>
      </c>
      <c r="K50" s="74">
        <v>1.3505369588938E-4</v>
      </c>
      <c r="L50" s="74">
        <v>2.41142287339423E-4</v>
      </c>
      <c r="M50" s="74">
        <v>3.56111678889621E-4</v>
      </c>
      <c r="N50" s="74">
        <v>5.2144021713544598E-4</v>
      </c>
      <c r="O50" s="74">
        <v>9.0063207760590202E-4</v>
      </c>
      <c r="P50" s="74">
        <v>9.7748678002117098E-4</v>
      </c>
      <c r="Q50" s="74">
        <v>8.7891874560280304E-4</v>
      </c>
      <c r="R50" s="74">
        <v>7.0863304155037801E-4</v>
      </c>
      <c r="S50" s="74">
        <v>5.3906145139877195E-4</v>
      </c>
      <c r="T50" s="74">
        <v>3.7597661982973499E-4</v>
      </c>
      <c r="U50" s="74">
        <v>1.73436223619758E-4</v>
      </c>
      <c r="V50" s="69"/>
      <c r="W50" s="69"/>
      <c r="X50" s="69"/>
      <c r="Y50" s="69"/>
      <c r="Z50" s="69"/>
      <c r="AA50" s="69"/>
      <c r="AB50" s="69"/>
      <c r="AC50" s="69"/>
      <c r="AD50" s="69"/>
      <c r="AE50" s="69"/>
      <c r="AF50" s="69"/>
      <c r="AG50" s="69"/>
      <c r="AH50" s="69"/>
      <c r="AI50" s="69"/>
      <c r="AJ50" s="69"/>
      <c r="AK50" s="69"/>
      <c r="AL50" s="69"/>
      <c r="AM50" s="69" t="s">
        <v>393</v>
      </c>
      <c r="AN50" s="79" t="s">
        <v>394</v>
      </c>
    </row>
    <row r="51" spans="1:40" ht="15" x14ac:dyDescent="0.3">
      <c r="A51" s="68">
        <v>48</v>
      </c>
      <c r="B51" s="152" t="s">
        <v>438</v>
      </c>
      <c r="C51" s="72">
        <v>2019</v>
      </c>
      <c r="D51" s="73">
        <f t="shared" si="2"/>
        <v>0</v>
      </c>
      <c r="E51" s="74">
        <v>0</v>
      </c>
      <c r="F51" s="74">
        <v>0</v>
      </c>
      <c r="G51" s="74">
        <v>0</v>
      </c>
      <c r="H51" s="74">
        <v>0</v>
      </c>
      <c r="I51" s="74">
        <v>1.5287680226025299E-5</v>
      </c>
      <c r="J51" s="74">
        <v>1.93646282633872E-5</v>
      </c>
      <c r="K51" s="74">
        <v>2.5787469762768899E-5</v>
      </c>
      <c r="L51" s="74">
        <v>3.5260381803674401E-5</v>
      </c>
      <c r="M51" s="74">
        <v>5.74024368914016E-5</v>
      </c>
      <c r="N51" s="74">
        <v>1.3239399355631E-4</v>
      </c>
      <c r="O51" s="74">
        <v>3.3725663474459101E-4</v>
      </c>
      <c r="P51" s="74">
        <v>8.9354542371367096E-4</v>
      </c>
      <c r="Q51" s="74">
        <v>1.9409437436582E-3</v>
      </c>
      <c r="R51" s="74">
        <v>3.5080162626261202E-3</v>
      </c>
      <c r="S51" s="74">
        <v>5.3032316762478696E-3</v>
      </c>
      <c r="T51" s="74">
        <v>6.1166359217812803E-3</v>
      </c>
      <c r="U51" s="74">
        <v>4.5611637063720503E-3</v>
      </c>
      <c r="V51" s="69"/>
      <c r="W51" s="69"/>
      <c r="X51" s="69"/>
      <c r="Y51" s="69"/>
      <c r="Z51" s="69"/>
      <c r="AA51" s="69"/>
      <c r="AB51" s="69"/>
      <c r="AC51" s="69"/>
      <c r="AD51" s="69"/>
      <c r="AE51" s="69"/>
      <c r="AF51" s="69"/>
      <c r="AG51" s="69"/>
      <c r="AH51" s="69"/>
      <c r="AI51" s="69"/>
      <c r="AJ51" s="69"/>
      <c r="AK51" s="69"/>
      <c r="AL51" s="69"/>
      <c r="AM51" s="69" t="s">
        <v>393</v>
      </c>
      <c r="AN51" s="79" t="s">
        <v>394</v>
      </c>
    </row>
    <row r="52" spans="1:40" ht="15" x14ac:dyDescent="0.3">
      <c r="A52" s="68">
        <v>49</v>
      </c>
      <c r="B52" s="152" t="s">
        <v>439</v>
      </c>
      <c r="C52" s="72">
        <v>2019</v>
      </c>
      <c r="D52" s="73">
        <f t="shared" si="2"/>
        <v>0</v>
      </c>
      <c r="E52" s="74">
        <v>3.7304573135014898E-6</v>
      </c>
      <c r="F52" s="74">
        <v>3.4562437776075199E-6</v>
      </c>
      <c r="G52" s="74">
        <v>3.2107369401043398E-6</v>
      </c>
      <c r="H52" s="74">
        <v>1.1276677053925199E-5</v>
      </c>
      <c r="I52" s="74">
        <v>2.9130893377310101E-5</v>
      </c>
      <c r="J52" s="74">
        <v>3.9062680617909098E-5</v>
      </c>
      <c r="K52" s="74">
        <v>4.0432426717547597E-5</v>
      </c>
      <c r="L52" s="74">
        <v>4.1172439704599999E-5</v>
      </c>
      <c r="M52" s="74">
        <v>3.8398927883926602E-5</v>
      </c>
      <c r="N52" s="74">
        <v>3.8546131185285501E-5</v>
      </c>
      <c r="O52" s="74">
        <v>3.5437993684496103E-5</v>
      </c>
      <c r="P52" s="74">
        <v>3.30267350926093E-5</v>
      </c>
      <c r="Q52" s="74">
        <v>3.6226297187193598E-5</v>
      </c>
      <c r="R52" s="74">
        <v>4.5648141973738098E-5</v>
      </c>
      <c r="S52" s="74">
        <v>4.5532532036532002E-5</v>
      </c>
      <c r="T52" s="74">
        <v>4.4533952253540698E-5</v>
      </c>
      <c r="U52" s="74">
        <v>3.30190686126041E-5</v>
      </c>
      <c r="V52" s="69"/>
      <c r="W52" s="69"/>
      <c r="X52" s="69"/>
      <c r="Y52" s="69"/>
      <c r="Z52" s="69"/>
      <c r="AA52" s="69"/>
      <c r="AB52" s="69"/>
      <c r="AC52" s="69"/>
      <c r="AD52" s="69"/>
      <c r="AE52" s="69"/>
      <c r="AF52" s="69"/>
      <c r="AG52" s="69"/>
      <c r="AH52" s="69"/>
      <c r="AI52" s="69"/>
      <c r="AJ52" s="69"/>
      <c r="AK52" s="69"/>
      <c r="AL52" s="69"/>
      <c r="AM52" s="69" t="s">
        <v>393</v>
      </c>
      <c r="AN52" s="79" t="s">
        <v>394</v>
      </c>
    </row>
    <row r="53" spans="1:40" ht="15" x14ac:dyDescent="0.3">
      <c r="A53" s="68">
        <v>50</v>
      </c>
      <c r="B53" s="152" t="s">
        <v>440</v>
      </c>
      <c r="C53" s="72">
        <v>2019</v>
      </c>
      <c r="D53" s="73">
        <f t="shared" si="2"/>
        <v>0</v>
      </c>
      <c r="E53" s="74">
        <v>1.9671174324057201E-7</v>
      </c>
      <c r="F53" s="74">
        <v>1.82086501691556E-7</v>
      </c>
      <c r="G53" s="74">
        <v>1.6897877217010699E-7</v>
      </c>
      <c r="H53" s="74">
        <v>5.9265879324999201E-7</v>
      </c>
      <c r="I53" s="74">
        <v>1.5215931565479301E-6</v>
      </c>
      <c r="J53" s="74">
        <v>2.0322185212459E-6</v>
      </c>
      <c r="K53" s="74">
        <v>2.1000253697820399E-6</v>
      </c>
      <c r="L53" s="74">
        <v>2.1296988756241599E-6</v>
      </c>
      <c r="M53" s="74">
        <v>1.9879952611819498E-6</v>
      </c>
      <c r="N53" s="74">
        <v>2.0031820878306802E-6</v>
      </c>
      <c r="O53" s="74">
        <v>1.84909792883194E-6</v>
      </c>
      <c r="P53" s="74">
        <v>1.7301290419303901E-6</v>
      </c>
      <c r="Q53" s="74">
        <v>1.8951050115807101E-6</v>
      </c>
      <c r="R53" s="74">
        <v>2.38339685032838E-6</v>
      </c>
      <c r="S53" s="74">
        <v>2.3727508348248298E-6</v>
      </c>
      <c r="T53" s="74">
        <v>2.3207514393666501E-6</v>
      </c>
      <c r="U53" s="74">
        <v>1.7292249661196699E-6</v>
      </c>
      <c r="V53" s="69"/>
      <c r="W53" s="69"/>
      <c r="X53" s="69"/>
      <c r="Y53" s="69"/>
      <c r="Z53" s="69"/>
      <c r="AA53" s="69"/>
      <c r="AB53" s="69"/>
      <c r="AC53" s="69"/>
      <c r="AD53" s="69"/>
      <c r="AE53" s="69"/>
      <c r="AF53" s="69"/>
      <c r="AG53" s="69"/>
      <c r="AH53" s="69"/>
      <c r="AI53" s="69"/>
      <c r="AJ53" s="69"/>
      <c r="AK53" s="69"/>
      <c r="AL53" s="69"/>
      <c r="AM53" s="69" t="s">
        <v>393</v>
      </c>
      <c r="AN53" s="79" t="s">
        <v>394</v>
      </c>
    </row>
    <row r="54" spans="1:40" ht="15" x14ac:dyDescent="0.3">
      <c r="A54" s="68">
        <v>51</v>
      </c>
      <c r="B54" s="152" t="s">
        <v>441</v>
      </c>
      <c r="C54" s="72">
        <v>2019</v>
      </c>
      <c r="D54" s="73">
        <f t="shared" si="2"/>
        <v>0</v>
      </c>
      <c r="E54" s="74">
        <v>1.79351678756998E-8</v>
      </c>
      <c r="F54" s="74">
        <v>1.6602789232352201E-8</v>
      </c>
      <c r="G54" s="74">
        <v>1.5407830998783499E-8</v>
      </c>
      <c r="H54" s="74">
        <v>5.4038914312623401E-8</v>
      </c>
      <c r="I54" s="74">
        <v>1.3873934994845901E-7</v>
      </c>
      <c r="J54" s="74">
        <v>1.85302986761638E-7</v>
      </c>
      <c r="K54" s="74">
        <v>1.91479649937803E-7</v>
      </c>
      <c r="L54" s="74">
        <v>1.9418860753221999E-7</v>
      </c>
      <c r="M54" s="74">
        <v>1.8126438297967599E-7</v>
      </c>
      <c r="N54" s="74">
        <v>1.8265768877968001E-7</v>
      </c>
      <c r="O54" s="74">
        <v>1.6860210599944501E-7</v>
      </c>
      <c r="P54" s="74">
        <v>1.5775313696849201E-7</v>
      </c>
      <c r="Q54" s="74">
        <v>1.7279461845919699E-7</v>
      </c>
      <c r="R54" s="74">
        <v>2.17321238982289E-7</v>
      </c>
      <c r="S54" s="74">
        <v>2.1635685467418101E-7</v>
      </c>
      <c r="T54" s="74">
        <v>2.1160566320642301E-7</v>
      </c>
      <c r="U54" s="74">
        <v>1.5766874522089E-7</v>
      </c>
      <c r="V54" s="69"/>
      <c r="W54" s="69"/>
      <c r="X54" s="69"/>
      <c r="Y54" s="69"/>
      <c r="Z54" s="69"/>
      <c r="AA54" s="69"/>
      <c r="AB54" s="69"/>
      <c r="AC54" s="69"/>
      <c r="AD54" s="69"/>
      <c r="AE54" s="69"/>
      <c r="AF54" s="69"/>
      <c r="AG54" s="69"/>
      <c r="AH54" s="69"/>
      <c r="AI54" s="69"/>
      <c r="AJ54" s="69"/>
      <c r="AK54" s="69"/>
      <c r="AL54" s="69"/>
      <c r="AM54" s="69" t="s">
        <v>393</v>
      </c>
      <c r="AN54" s="79" t="s">
        <v>394</v>
      </c>
    </row>
    <row r="55" spans="1:40" ht="15" x14ac:dyDescent="0.3">
      <c r="A55" s="68">
        <v>52</v>
      </c>
      <c r="B55" s="152" t="s">
        <v>442</v>
      </c>
      <c r="C55" s="72">
        <v>2019</v>
      </c>
      <c r="D55" s="73">
        <f t="shared" si="2"/>
        <v>0</v>
      </c>
      <c r="E55" s="74">
        <v>4.48334914013183E-5</v>
      </c>
      <c r="F55" s="74">
        <v>4.1644018118560603E-5</v>
      </c>
      <c r="G55" s="74">
        <v>3.82671927110976E-5</v>
      </c>
      <c r="H55" s="74">
        <v>1.38949310713597E-4</v>
      </c>
      <c r="I55" s="74">
        <v>3.4647344426413598E-4</v>
      </c>
      <c r="J55" s="74">
        <v>4.4552467300405303E-4</v>
      </c>
      <c r="K55" s="74">
        <v>4.5011641111436702E-4</v>
      </c>
      <c r="L55" s="74">
        <v>4.59765155534887E-4</v>
      </c>
      <c r="M55" s="74">
        <v>4.3061340140944598E-4</v>
      </c>
      <c r="N55" s="74">
        <v>4.3881299484630902E-4</v>
      </c>
      <c r="O55" s="74">
        <v>4.0744718431139098E-4</v>
      </c>
      <c r="P55" s="74">
        <v>3.7911146588781401E-4</v>
      </c>
      <c r="Q55" s="74">
        <v>4.2826592424379602E-4</v>
      </c>
      <c r="R55" s="74">
        <v>5.5378229659784498E-4</v>
      </c>
      <c r="S55" s="74">
        <v>5.6316203079288503E-4</v>
      </c>
      <c r="T55" s="74">
        <v>5.5360168669522404E-4</v>
      </c>
      <c r="U55" s="74">
        <v>4.0659240955929099E-4</v>
      </c>
      <c r="V55" s="69"/>
      <c r="W55" s="69"/>
      <c r="X55" s="69"/>
      <c r="Y55" s="69"/>
      <c r="Z55" s="69"/>
      <c r="AA55" s="69"/>
      <c r="AB55" s="69"/>
      <c r="AC55" s="69"/>
      <c r="AD55" s="69"/>
      <c r="AE55" s="69"/>
      <c r="AF55" s="69"/>
      <c r="AG55" s="69"/>
      <c r="AH55" s="69"/>
      <c r="AI55" s="69"/>
      <c r="AJ55" s="69"/>
      <c r="AK55" s="69"/>
      <c r="AL55" s="69"/>
      <c r="AM55" s="69" t="s">
        <v>393</v>
      </c>
      <c r="AN55" s="79" t="s">
        <v>394</v>
      </c>
    </row>
    <row r="56" spans="1:40" ht="15" x14ac:dyDescent="0.3">
      <c r="A56" s="68">
        <v>53</v>
      </c>
      <c r="B56" s="152" t="s">
        <v>443</v>
      </c>
      <c r="C56" s="72">
        <v>2019</v>
      </c>
      <c r="D56" s="73">
        <f t="shared" si="2"/>
        <v>0</v>
      </c>
      <c r="E56" s="74">
        <v>0</v>
      </c>
      <c r="F56" s="74">
        <v>0</v>
      </c>
      <c r="G56" s="74">
        <v>0</v>
      </c>
      <c r="H56" s="74">
        <v>0</v>
      </c>
      <c r="I56" s="74">
        <v>5.9542776477556599E-6</v>
      </c>
      <c r="J56" s="74">
        <v>6.74540211938898E-6</v>
      </c>
      <c r="K56" s="74">
        <v>1.6506979089150999E-5</v>
      </c>
      <c r="L56" s="74">
        <v>3.8829228354514399E-5</v>
      </c>
      <c r="M56" s="74">
        <v>9.6978451721811804E-5</v>
      </c>
      <c r="N56" s="74">
        <v>2.0742368877654899E-4</v>
      </c>
      <c r="O56" s="74">
        <v>3.7780886096089501E-4</v>
      </c>
      <c r="P56" s="74">
        <v>6.4391282154127702E-4</v>
      </c>
      <c r="Q56" s="74">
        <v>9.5758350747295496E-4</v>
      </c>
      <c r="R56" s="74">
        <v>1.2803541701648601E-3</v>
      </c>
      <c r="S56" s="74">
        <v>1.7350267523099699E-3</v>
      </c>
      <c r="T56" s="74">
        <v>1.67510111949213E-3</v>
      </c>
      <c r="U56" s="74">
        <v>1.67564517313856E-3</v>
      </c>
      <c r="V56" s="69"/>
      <c r="W56" s="69"/>
      <c r="X56" s="69"/>
      <c r="Y56" s="69"/>
      <c r="Z56" s="69"/>
      <c r="AA56" s="69"/>
      <c r="AB56" s="69"/>
      <c r="AC56" s="69"/>
      <c r="AD56" s="69"/>
      <c r="AE56" s="69"/>
      <c r="AF56" s="69"/>
      <c r="AG56" s="69"/>
      <c r="AH56" s="69"/>
      <c r="AI56" s="69"/>
      <c r="AJ56" s="69"/>
      <c r="AK56" s="69"/>
      <c r="AL56" s="69"/>
      <c r="AM56" s="69" t="s">
        <v>393</v>
      </c>
      <c r="AN56" s="79" t="s">
        <v>394</v>
      </c>
    </row>
    <row r="57" spans="1:40" ht="15" x14ac:dyDescent="0.3">
      <c r="A57" s="68">
        <v>54</v>
      </c>
      <c r="B57" s="152" t="s">
        <v>444</v>
      </c>
      <c r="C57" s="72">
        <v>2019</v>
      </c>
      <c r="D57" s="73">
        <f t="shared" si="2"/>
        <v>0</v>
      </c>
      <c r="E57" s="74">
        <v>0</v>
      </c>
      <c r="F57" s="74">
        <v>0</v>
      </c>
      <c r="G57" s="74">
        <v>0</v>
      </c>
      <c r="H57" s="74">
        <v>2.1151231504635199E-5</v>
      </c>
      <c r="I57" s="74">
        <v>5.9445951377243903E-5</v>
      </c>
      <c r="J57" s="74">
        <v>1.11305609308322E-4</v>
      </c>
      <c r="K57" s="74">
        <v>2.4348261549680399E-4</v>
      </c>
      <c r="L57" s="74">
        <v>3.4374408909266298E-4</v>
      </c>
      <c r="M57" s="74">
        <v>6.1302747173733695E-4</v>
      </c>
      <c r="N57" s="74">
        <v>7.5752361652092304E-4</v>
      </c>
      <c r="O57" s="74">
        <v>1.19414630655468E-3</v>
      </c>
      <c r="P57" s="74">
        <v>1.87549852385746E-3</v>
      </c>
      <c r="Q57" s="74">
        <v>2.6793917397378202E-3</v>
      </c>
      <c r="R57" s="74">
        <v>3.4097073925871799E-3</v>
      </c>
      <c r="S57" s="74">
        <v>4.4051255237341803E-3</v>
      </c>
      <c r="T57" s="74">
        <v>4.0188685155433902E-3</v>
      </c>
      <c r="U57" s="74">
        <v>3.2336780002756001E-3</v>
      </c>
      <c r="V57" s="69"/>
      <c r="W57" s="69"/>
      <c r="X57" s="69"/>
      <c r="Y57" s="69"/>
      <c r="Z57" s="69"/>
      <c r="AA57" s="69"/>
      <c r="AB57" s="69"/>
      <c r="AC57" s="69"/>
      <c r="AD57" s="69"/>
      <c r="AE57" s="69"/>
      <c r="AF57" s="69"/>
      <c r="AG57" s="69"/>
      <c r="AH57" s="69"/>
      <c r="AI57" s="69"/>
      <c r="AJ57" s="69"/>
      <c r="AK57" s="69"/>
      <c r="AL57" s="69"/>
      <c r="AM57" s="69" t="s">
        <v>393</v>
      </c>
      <c r="AN57" s="79" t="s">
        <v>394</v>
      </c>
    </row>
    <row r="58" spans="1:40" ht="15" x14ac:dyDescent="0.3">
      <c r="A58" s="68">
        <v>55</v>
      </c>
      <c r="B58" s="152" t="s">
        <v>445</v>
      </c>
      <c r="C58" s="72">
        <v>2019</v>
      </c>
      <c r="D58" s="73">
        <f t="shared" si="2"/>
        <v>0</v>
      </c>
      <c r="E58" s="74">
        <v>0</v>
      </c>
      <c r="F58" s="74">
        <v>0</v>
      </c>
      <c r="G58" s="74">
        <v>2.70734629155271E-6</v>
      </c>
      <c r="H58" s="74">
        <v>6.3861789026253804E-6</v>
      </c>
      <c r="I58" s="74">
        <v>1.43258990634053E-5</v>
      </c>
      <c r="J58" s="74">
        <v>3.0802029363329098E-5</v>
      </c>
      <c r="K58" s="74">
        <v>5.2691404111319102E-5</v>
      </c>
      <c r="L58" s="74">
        <v>9.7689474389444901E-5</v>
      </c>
      <c r="M58" s="74">
        <v>1.6500367034249101E-4</v>
      </c>
      <c r="N58" s="74">
        <v>1.9818261350906501E-4</v>
      </c>
      <c r="O58" s="74">
        <v>2.3654929359269E-4</v>
      </c>
      <c r="P58" s="74">
        <v>2.8165721489937601E-4</v>
      </c>
      <c r="Q58" s="74">
        <v>3.1149447757108201E-4</v>
      </c>
      <c r="R58" s="74">
        <v>3.0992544434145698E-4</v>
      </c>
      <c r="S58" s="74">
        <v>2.9829623338427201E-4</v>
      </c>
      <c r="T58" s="74">
        <v>2.8580970153761201E-4</v>
      </c>
      <c r="U58" s="74">
        <v>2.3591729056358801E-4</v>
      </c>
      <c r="V58" s="69"/>
      <c r="W58" s="69"/>
      <c r="X58" s="69"/>
      <c r="Y58" s="69"/>
      <c r="Z58" s="69"/>
      <c r="AA58" s="69"/>
      <c r="AB58" s="69"/>
      <c r="AC58" s="69"/>
      <c r="AD58" s="69"/>
      <c r="AE58" s="69"/>
      <c r="AF58" s="69"/>
      <c r="AG58" s="69"/>
      <c r="AH58" s="69"/>
      <c r="AI58" s="69"/>
      <c r="AJ58" s="69"/>
      <c r="AK58" s="69"/>
      <c r="AL58" s="69"/>
      <c r="AM58" s="69" t="s">
        <v>393</v>
      </c>
      <c r="AN58" s="79" t="s">
        <v>394</v>
      </c>
    </row>
    <row r="59" spans="1:40" ht="15" x14ac:dyDescent="0.3">
      <c r="A59" s="68">
        <v>56</v>
      </c>
      <c r="B59" s="152" t="s">
        <v>446</v>
      </c>
      <c r="C59" s="72">
        <v>2019</v>
      </c>
      <c r="D59" s="73">
        <f t="shared" si="2"/>
        <v>0</v>
      </c>
      <c r="E59" s="74">
        <v>0</v>
      </c>
      <c r="F59" s="74">
        <v>0</v>
      </c>
      <c r="G59" s="74">
        <v>2.76758009502171E-8</v>
      </c>
      <c r="H59" s="74">
        <v>5.69732257222793E-8</v>
      </c>
      <c r="I59" s="74">
        <v>2.37057636528378E-7</v>
      </c>
      <c r="J59" s="74">
        <v>6.3101636526821197E-7</v>
      </c>
      <c r="K59" s="74">
        <v>1.5717938650454899E-6</v>
      </c>
      <c r="L59" s="74">
        <v>4.4669170540469601E-6</v>
      </c>
      <c r="M59" s="74">
        <v>1.0521874402736599E-5</v>
      </c>
      <c r="N59" s="74">
        <v>1.67891603164244E-5</v>
      </c>
      <c r="O59" s="74">
        <v>2.8971320466297299E-5</v>
      </c>
      <c r="P59" s="74">
        <v>4.7568144469259102E-5</v>
      </c>
      <c r="Q59" s="74">
        <v>6.9913287379006002E-5</v>
      </c>
      <c r="R59" s="74">
        <v>9.5953845320275604E-5</v>
      </c>
      <c r="S59" s="74">
        <v>1.28268860943306E-4</v>
      </c>
      <c r="T59" s="74">
        <v>1.5898074183974401E-4</v>
      </c>
      <c r="U59" s="74">
        <v>2.0039835834412601E-4</v>
      </c>
      <c r="V59" s="69"/>
      <c r="W59" s="69"/>
      <c r="X59" s="69"/>
      <c r="Y59" s="69"/>
      <c r="Z59" s="69"/>
      <c r="AA59" s="69"/>
      <c r="AB59" s="69"/>
      <c r="AC59" s="69"/>
      <c r="AD59" s="69"/>
      <c r="AE59" s="69"/>
      <c r="AF59" s="69"/>
      <c r="AG59" s="69"/>
      <c r="AH59" s="69"/>
      <c r="AI59" s="69"/>
      <c r="AJ59" s="69"/>
      <c r="AK59" s="69"/>
      <c r="AL59" s="69"/>
      <c r="AM59" s="69" t="s">
        <v>393</v>
      </c>
      <c r="AN59" s="79" t="s">
        <v>394</v>
      </c>
    </row>
    <row r="60" spans="1:40" ht="15" x14ac:dyDescent="0.3">
      <c r="A60" s="68">
        <v>57</v>
      </c>
      <c r="B60" s="152" t="s">
        <v>447</v>
      </c>
      <c r="C60" s="72">
        <v>2019</v>
      </c>
      <c r="D60" s="73">
        <f t="shared" si="2"/>
        <v>0</v>
      </c>
      <c r="E60" s="74">
        <v>0</v>
      </c>
      <c r="F60" s="74">
        <v>0</v>
      </c>
      <c r="G60" s="74">
        <v>0</v>
      </c>
      <c r="H60" s="74">
        <v>3.7556752061245601E-8</v>
      </c>
      <c r="I60" s="74">
        <v>1.8873152933078999E-7</v>
      </c>
      <c r="J60" s="74">
        <v>5.63948064714145E-7</v>
      </c>
      <c r="K60" s="74">
        <v>1.5209639709777601E-6</v>
      </c>
      <c r="L60" s="74">
        <v>4.6098131114366202E-6</v>
      </c>
      <c r="M60" s="74">
        <v>1.08334217050282E-5</v>
      </c>
      <c r="N60" s="74">
        <v>1.7226508968606201E-5</v>
      </c>
      <c r="O60" s="74">
        <v>2.5950344133162498E-5</v>
      </c>
      <c r="P60" s="74">
        <v>3.61608392935288E-5</v>
      </c>
      <c r="Q60" s="74">
        <v>4.9036123577766898E-5</v>
      </c>
      <c r="R60" s="74">
        <v>6.3242954115980899E-5</v>
      </c>
      <c r="S60" s="74">
        <v>6.9776202041345301E-5</v>
      </c>
      <c r="T60" s="74">
        <v>6.3354402701810405E-5</v>
      </c>
      <c r="U60" s="74">
        <v>4.7496475933166799E-5</v>
      </c>
      <c r="V60" s="69"/>
      <c r="W60" s="69"/>
      <c r="X60" s="69"/>
      <c r="Y60" s="69"/>
      <c r="Z60" s="69"/>
      <c r="AA60" s="69"/>
      <c r="AB60" s="69"/>
      <c r="AC60" s="69"/>
      <c r="AD60" s="69"/>
      <c r="AE60" s="69"/>
      <c r="AF60" s="69"/>
      <c r="AG60" s="69"/>
      <c r="AH60" s="69"/>
      <c r="AI60" s="69"/>
      <c r="AJ60" s="69"/>
      <c r="AK60" s="69"/>
      <c r="AL60" s="69"/>
      <c r="AM60" s="69" t="s">
        <v>393</v>
      </c>
      <c r="AN60" s="79" t="s">
        <v>394</v>
      </c>
    </row>
    <row r="61" spans="1:40" ht="15" x14ac:dyDescent="0.3">
      <c r="A61" s="68">
        <v>58</v>
      </c>
      <c r="B61" s="152" t="s">
        <v>448</v>
      </c>
      <c r="C61" s="72">
        <v>2019</v>
      </c>
      <c r="D61" s="73">
        <f t="shared" si="2"/>
        <v>0</v>
      </c>
      <c r="E61" s="74">
        <v>6.1884155522920099E-6</v>
      </c>
      <c r="F61" s="74">
        <v>2.8201861207951498E-6</v>
      </c>
      <c r="G61" s="74">
        <v>2.3122626750057201E-6</v>
      </c>
      <c r="H61" s="74">
        <v>1.7912580013209301E-6</v>
      </c>
      <c r="I61" s="74">
        <v>2.6822873576870902E-6</v>
      </c>
      <c r="J61" s="74">
        <v>3.3250455880212899E-6</v>
      </c>
      <c r="K61" s="74">
        <v>4.5618340423284003E-6</v>
      </c>
      <c r="L61" s="74">
        <v>7.8402951790345603E-6</v>
      </c>
      <c r="M61" s="74">
        <v>1.2593593245493299E-5</v>
      </c>
      <c r="N61" s="74">
        <v>1.45981978310729E-5</v>
      </c>
      <c r="O61" s="74">
        <v>1.78078457629062E-5</v>
      </c>
      <c r="P61" s="74">
        <v>2.1166757819613899E-5</v>
      </c>
      <c r="Q61" s="74">
        <v>2.4138435471489199E-5</v>
      </c>
      <c r="R61" s="74">
        <v>2.6543053719365598E-5</v>
      </c>
      <c r="S61" s="74">
        <v>2.9626984490323699E-5</v>
      </c>
      <c r="T61" s="74">
        <v>3.1540142721962401E-5</v>
      </c>
      <c r="U61" s="74">
        <v>2.96434120432687E-5</v>
      </c>
      <c r="V61" s="69"/>
      <c r="W61" s="69"/>
      <c r="X61" s="69"/>
      <c r="Y61" s="69"/>
      <c r="Z61" s="69"/>
      <c r="AA61" s="69"/>
      <c r="AB61" s="69"/>
      <c r="AC61" s="69"/>
      <c r="AD61" s="69"/>
      <c r="AE61" s="69"/>
      <c r="AF61" s="69"/>
      <c r="AG61" s="69"/>
      <c r="AH61" s="69"/>
      <c r="AI61" s="69"/>
      <c r="AJ61" s="69"/>
      <c r="AK61" s="69"/>
      <c r="AL61" s="69"/>
      <c r="AM61" s="69" t="s">
        <v>393</v>
      </c>
      <c r="AN61" s="79" t="s">
        <v>394</v>
      </c>
    </row>
    <row r="62" spans="1:40" ht="15" x14ac:dyDescent="0.3">
      <c r="A62" s="68">
        <v>59</v>
      </c>
      <c r="B62" s="152" t="s">
        <v>449</v>
      </c>
      <c r="C62" s="72">
        <v>2019</v>
      </c>
      <c r="D62" s="73">
        <f t="shared" si="2"/>
        <v>0</v>
      </c>
      <c r="E62" s="74">
        <v>4.0234679226790502E-5</v>
      </c>
      <c r="F62" s="74">
        <v>6.9032515323652293E-5</v>
      </c>
      <c r="G62" s="74">
        <v>6.6769953451880298E-5</v>
      </c>
      <c r="H62" s="74">
        <v>6.4087618474677706E-5</v>
      </c>
      <c r="I62" s="74">
        <v>7.2870116950349902E-5</v>
      </c>
      <c r="J62" s="74">
        <v>9.8609643557040006E-5</v>
      </c>
      <c r="K62" s="74">
        <v>1.4664062561853299E-4</v>
      </c>
      <c r="L62" s="74">
        <v>2.3671023217357599E-4</v>
      </c>
      <c r="M62" s="74">
        <v>3.8657905016263101E-4</v>
      </c>
      <c r="N62" s="74">
        <v>6.5398119608954899E-4</v>
      </c>
      <c r="O62" s="74">
        <v>1.1011718749872701E-3</v>
      </c>
      <c r="P62" s="74">
        <v>1.9149552946542E-3</v>
      </c>
      <c r="Q62" s="74">
        <v>2.9833185821117698E-3</v>
      </c>
      <c r="R62" s="74">
        <v>3.7430380103983399E-3</v>
      </c>
      <c r="S62" s="74">
        <v>4.1630296999929798E-3</v>
      </c>
      <c r="T62" s="74">
        <v>4.25566825574193E-3</v>
      </c>
      <c r="U62" s="74">
        <v>3.7597391256058402E-3</v>
      </c>
      <c r="V62" s="69"/>
      <c r="W62" s="69"/>
      <c r="X62" s="69"/>
      <c r="Y62" s="69"/>
      <c r="Z62" s="69"/>
      <c r="AA62" s="69"/>
      <c r="AB62" s="69"/>
      <c r="AC62" s="69"/>
      <c r="AD62" s="69"/>
      <c r="AE62" s="69"/>
      <c r="AF62" s="69"/>
      <c r="AG62" s="69"/>
      <c r="AH62" s="69"/>
      <c r="AI62" s="69"/>
      <c r="AJ62" s="69"/>
      <c r="AK62" s="69"/>
      <c r="AL62" s="69"/>
      <c r="AM62" s="69" t="s">
        <v>393</v>
      </c>
      <c r="AN62" s="79" t="s">
        <v>394</v>
      </c>
    </row>
    <row r="63" spans="1:40" ht="15" x14ac:dyDescent="0.3">
      <c r="A63" s="68">
        <v>60</v>
      </c>
      <c r="B63" s="152" t="s">
        <v>450</v>
      </c>
      <c r="C63" s="72">
        <v>2019</v>
      </c>
      <c r="D63" s="73">
        <f t="shared" si="2"/>
        <v>0</v>
      </c>
      <c r="E63" s="74">
        <v>0</v>
      </c>
      <c r="F63" s="74">
        <v>0</v>
      </c>
      <c r="G63" s="74">
        <v>0</v>
      </c>
      <c r="H63" s="74">
        <v>1.9619726858373898E-6</v>
      </c>
      <c r="I63" s="74">
        <v>1.33810968318372E-5</v>
      </c>
      <c r="J63" s="74">
        <v>3.6248158824208901E-5</v>
      </c>
      <c r="K63" s="74">
        <v>7.0651771611861697E-5</v>
      </c>
      <c r="L63" s="74">
        <v>1.14819753662965E-4</v>
      </c>
      <c r="M63" s="74">
        <v>1.8405848314572001E-4</v>
      </c>
      <c r="N63" s="74">
        <v>3.6292674828622098E-4</v>
      </c>
      <c r="O63" s="74">
        <v>6.6848445937963004E-4</v>
      </c>
      <c r="P63" s="74">
        <v>1.15079357281468E-3</v>
      </c>
      <c r="Q63" s="74">
        <v>1.7425541424634201E-3</v>
      </c>
      <c r="R63" s="74">
        <v>2.1871304577256098E-3</v>
      </c>
      <c r="S63" s="74">
        <v>2.5182292185782101E-3</v>
      </c>
      <c r="T63" s="74">
        <v>2.75100986447218E-3</v>
      </c>
      <c r="U63" s="74">
        <v>3.1597612467464701E-3</v>
      </c>
      <c r="V63" s="69"/>
      <c r="W63" s="69"/>
      <c r="X63" s="69"/>
      <c r="Y63" s="69"/>
      <c r="Z63" s="69"/>
      <c r="AA63" s="69"/>
      <c r="AB63" s="69"/>
      <c r="AC63" s="69"/>
      <c r="AD63" s="69"/>
      <c r="AE63" s="69"/>
      <c r="AF63" s="69"/>
      <c r="AG63" s="69"/>
      <c r="AH63" s="69"/>
      <c r="AI63" s="69"/>
      <c r="AJ63" s="69"/>
      <c r="AK63" s="69"/>
      <c r="AL63" s="69"/>
      <c r="AM63" s="69" t="s">
        <v>393</v>
      </c>
      <c r="AN63" s="79" t="s">
        <v>394</v>
      </c>
    </row>
    <row r="64" spans="1:40" ht="15" x14ac:dyDescent="0.3">
      <c r="A64" s="68">
        <v>61</v>
      </c>
      <c r="B64" s="152" t="s">
        <v>451</v>
      </c>
      <c r="C64" s="72">
        <v>2019</v>
      </c>
      <c r="D64" s="73">
        <f t="shared" si="2"/>
        <v>0</v>
      </c>
      <c r="E64" s="74">
        <v>0</v>
      </c>
      <c r="F64" s="74">
        <v>0</v>
      </c>
      <c r="G64" s="74">
        <v>0</v>
      </c>
      <c r="H64" s="74">
        <v>1.0936979605619401E-5</v>
      </c>
      <c r="I64" s="74">
        <v>8.2123141887889295E-5</v>
      </c>
      <c r="J64" s="74">
        <v>2.2449194945520801E-4</v>
      </c>
      <c r="K64" s="74">
        <v>4.4600158663255402E-4</v>
      </c>
      <c r="L64" s="74">
        <v>7.5818489177806596E-4</v>
      </c>
      <c r="M64" s="74">
        <v>1.0994316251026199E-3</v>
      </c>
      <c r="N64" s="74">
        <v>1.75226005308381E-3</v>
      </c>
      <c r="O64" s="74">
        <v>2.9614173674559802E-3</v>
      </c>
      <c r="P64" s="74">
        <v>5.8963812695737904E-3</v>
      </c>
      <c r="Q64" s="74">
        <v>9.8653359043307694E-3</v>
      </c>
      <c r="R64" s="74">
        <v>1.2230188325709599E-2</v>
      </c>
      <c r="S64" s="74">
        <v>1.33279985320434E-2</v>
      </c>
      <c r="T64" s="74">
        <v>1.4236584025951401E-2</v>
      </c>
      <c r="U64" s="74">
        <v>1.67417420132519E-2</v>
      </c>
      <c r="V64" s="69"/>
      <c r="W64" s="69"/>
      <c r="X64" s="69"/>
      <c r="Y64" s="69"/>
      <c r="Z64" s="69"/>
      <c r="AA64" s="69"/>
      <c r="AB64" s="69"/>
      <c r="AC64" s="69"/>
      <c r="AD64" s="69"/>
      <c r="AE64" s="69"/>
      <c r="AF64" s="69"/>
      <c r="AG64" s="69"/>
      <c r="AH64" s="69"/>
      <c r="AI64" s="69"/>
      <c r="AJ64" s="69"/>
      <c r="AK64" s="69"/>
      <c r="AL64" s="69"/>
      <c r="AM64" s="69" t="s">
        <v>393</v>
      </c>
      <c r="AN64" s="79" t="s">
        <v>394</v>
      </c>
    </row>
    <row r="65" spans="1:40" ht="15" x14ac:dyDescent="0.3">
      <c r="A65" s="68">
        <v>62</v>
      </c>
      <c r="B65" s="152" t="s">
        <v>452</v>
      </c>
      <c r="C65" s="72">
        <v>2019</v>
      </c>
      <c r="D65" s="73">
        <f t="shared" si="2"/>
        <v>0</v>
      </c>
      <c r="E65" s="74">
        <v>0</v>
      </c>
      <c r="F65" s="74">
        <v>0</v>
      </c>
      <c r="G65" s="74">
        <v>0</v>
      </c>
      <c r="H65" s="74">
        <v>8.6447074210352098E-7</v>
      </c>
      <c r="I65" s="74">
        <v>8.8913798700272505E-7</v>
      </c>
      <c r="J65" s="74">
        <v>1.04186693474743E-6</v>
      </c>
      <c r="K65" s="74">
        <v>1.0398153203947699E-6</v>
      </c>
      <c r="L65" s="74">
        <v>9.7377730453169395E-7</v>
      </c>
      <c r="M65" s="74">
        <v>4.5721210450974597E-7</v>
      </c>
      <c r="N65" s="74">
        <v>1.8716208829778E-6</v>
      </c>
      <c r="O65" s="74">
        <v>6.7891162351675402E-6</v>
      </c>
      <c r="P65" s="74">
        <v>1.2805586779763899E-5</v>
      </c>
      <c r="Q65" s="74">
        <v>5.8054951224749496E-6</v>
      </c>
      <c r="R65" s="74">
        <v>8.1812521473620906E-6</v>
      </c>
      <c r="S65" s="74">
        <v>4.9930496969387502E-5</v>
      </c>
      <c r="T65" s="74">
        <v>1.12197586009604E-4</v>
      </c>
      <c r="U65" s="74">
        <v>1.98822100695477E-4</v>
      </c>
      <c r="V65" s="69"/>
      <c r="W65" s="69"/>
      <c r="X65" s="69"/>
      <c r="Y65" s="69"/>
      <c r="Z65" s="69"/>
      <c r="AA65" s="69"/>
      <c r="AB65" s="69"/>
      <c r="AC65" s="69"/>
      <c r="AD65" s="69"/>
      <c r="AE65" s="69"/>
      <c r="AF65" s="69"/>
      <c r="AG65" s="69"/>
      <c r="AH65" s="69"/>
      <c r="AI65" s="69"/>
      <c r="AJ65" s="69"/>
      <c r="AK65" s="69"/>
      <c r="AL65" s="69"/>
      <c r="AM65" s="69" t="s">
        <v>393</v>
      </c>
      <c r="AN65" s="79" t="s">
        <v>394</v>
      </c>
    </row>
    <row r="66" spans="1:40" ht="15" x14ac:dyDescent="0.3">
      <c r="A66" s="68"/>
      <c r="B66" s="69" t="s">
        <v>453</v>
      </c>
      <c r="C66" s="72">
        <v>2019</v>
      </c>
      <c r="D66" s="73">
        <f t="shared" si="2"/>
        <v>0</v>
      </c>
      <c r="E66" s="74">
        <v>5.99567581838097E-5</v>
      </c>
      <c r="F66" s="74">
        <v>3.9291517542171202E-4</v>
      </c>
      <c r="G66" s="74">
        <v>7.9389341936958295E-4</v>
      </c>
      <c r="H66" s="74">
        <v>1.0247809930869301E-3</v>
      </c>
      <c r="I66" s="74">
        <v>1.2068193056923801E-3</v>
      </c>
      <c r="J66" s="74">
        <v>1.3905575768364299E-3</v>
      </c>
      <c r="K66" s="74">
        <v>1.5023174895923701E-3</v>
      </c>
      <c r="L66" s="74">
        <v>1.58540060822086E-3</v>
      </c>
      <c r="M66" s="74">
        <v>1.6522231448317199E-3</v>
      </c>
      <c r="N66" s="74">
        <v>1.70506951298245E-3</v>
      </c>
      <c r="O66" s="74">
        <v>1.74126181919554E-3</v>
      </c>
      <c r="P66" s="74">
        <v>1.77819964699737E-3</v>
      </c>
      <c r="Q66" s="74">
        <v>1.8079956728290999E-3</v>
      </c>
      <c r="R66" s="74">
        <v>1.8230531461664601E-3</v>
      </c>
      <c r="S66" s="74">
        <v>1.8393135876181999E-3</v>
      </c>
      <c r="T66" s="74">
        <v>1.83720582858107E-3</v>
      </c>
      <c r="U66" s="74">
        <v>1.76757170316231E-3</v>
      </c>
      <c r="V66" s="69"/>
      <c r="W66" s="69"/>
      <c r="X66" s="69"/>
      <c r="Y66" s="69"/>
      <c r="Z66" s="69"/>
      <c r="AA66" s="69"/>
      <c r="AB66" s="69"/>
      <c r="AC66" s="69"/>
      <c r="AD66" s="69"/>
      <c r="AE66" s="69"/>
      <c r="AF66" s="69"/>
      <c r="AG66" s="69"/>
      <c r="AH66" s="69"/>
      <c r="AI66" s="69"/>
      <c r="AJ66" s="69"/>
      <c r="AK66" s="69"/>
      <c r="AL66" s="69"/>
      <c r="AM66" s="69" t="s">
        <v>393</v>
      </c>
      <c r="AN66" s="79" t="s">
        <v>394</v>
      </c>
    </row>
    <row r="67" spans="1:40" ht="15" x14ac:dyDescent="0.3">
      <c r="A67" s="68"/>
      <c r="B67" s="69" t="s">
        <v>454</v>
      </c>
      <c r="C67" s="72">
        <v>2019</v>
      </c>
      <c r="D67" s="73">
        <f t="shared" si="2"/>
        <v>0</v>
      </c>
      <c r="E67" s="74">
        <v>0</v>
      </c>
      <c r="F67" s="74">
        <v>0</v>
      </c>
      <c r="G67" s="74">
        <v>0</v>
      </c>
      <c r="H67" s="74">
        <v>1.86039934641174E-3</v>
      </c>
      <c r="I67" s="74">
        <v>9.4426760547809303E-3</v>
      </c>
      <c r="J67" s="74">
        <v>1.9890744624932101E-2</v>
      </c>
      <c r="K67" s="74">
        <v>3.0428048782534401E-2</v>
      </c>
      <c r="L67" s="74">
        <v>4.3722748703881598E-2</v>
      </c>
      <c r="M67" s="74">
        <v>5.9773581582380199E-2</v>
      </c>
      <c r="N67" s="74">
        <v>7.9041551069036903E-2</v>
      </c>
      <c r="O67" s="74">
        <v>9.9919852176064E-2</v>
      </c>
      <c r="P67" s="74">
        <v>0.119553025814542</v>
      </c>
      <c r="Q67" s="74">
        <v>0.136774558365821</v>
      </c>
      <c r="R67" s="74">
        <v>0.15251047003990301</v>
      </c>
      <c r="S67" s="74">
        <v>0.165622264311831</v>
      </c>
      <c r="T67" s="74">
        <v>0.17311270230972201</v>
      </c>
      <c r="U67" s="74">
        <v>0.167682241077483</v>
      </c>
      <c r="V67" s="69"/>
      <c r="W67" s="69"/>
      <c r="X67" s="69"/>
      <c r="Y67" s="69"/>
      <c r="Z67" s="69"/>
      <c r="AA67" s="69"/>
      <c r="AB67" s="69"/>
      <c r="AC67" s="69"/>
      <c r="AD67" s="69"/>
      <c r="AE67" s="69"/>
      <c r="AF67" s="69"/>
      <c r="AG67" s="69"/>
      <c r="AH67" s="69"/>
      <c r="AI67" s="69"/>
      <c r="AJ67" s="69"/>
      <c r="AK67" s="69"/>
      <c r="AL67" s="69"/>
      <c r="AM67" s="69" t="s">
        <v>393</v>
      </c>
      <c r="AN67" s="79" t="s">
        <v>394</v>
      </c>
    </row>
    <row r="68" spans="1:40" ht="15" x14ac:dyDescent="0.3">
      <c r="A68" s="68">
        <v>63</v>
      </c>
      <c r="B68" s="152" t="s">
        <v>455</v>
      </c>
      <c r="C68" s="72">
        <v>2019</v>
      </c>
      <c r="D68" s="73">
        <f t="shared" si="2"/>
        <v>0</v>
      </c>
      <c r="E68" s="74">
        <v>5.3732293627263398E-4</v>
      </c>
      <c r="F68" s="74">
        <v>3.1087055114367398E-4</v>
      </c>
      <c r="G68" s="74">
        <v>1.5801354207579501E-4</v>
      </c>
      <c r="H68" s="74">
        <v>2.3736289178273199E-4</v>
      </c>
      <c r="I68" s="74">
        <v>1.79632544175517E-4</v>
      </c>
      <c r="J68" s="74">
        <v>1.6704641701892201E-4</v>
      </c>
      <c r="K68" s="74">
        <v>2.09392944598224E-4</v>
      </c>
      <c r="L68" s="74">
        <v>2.7316408270227298E-4</v>
      </c>
      <c r="M68" s="74">
        <v>2.6031723498455198E-4</v>
      </c>
      <c r="N68" s="74">
        <v>2.8286739421327299E-4</v>
      </c>
      <c r="O68" s="74">
        <v>3.3792611053451698E-4</v>
      </c>
      <c r="P68" s="74">
        <v>4.0385768920774798E-4</v>
      </c>
      <c r="Q68" s="74">
        <v>4.5024073360738298E-4</v>
      </c>
      <c r="R68" s="74">
        <v>4.7647930387532402E-4</v>
      </c>
      <c r="S68" s="74">
        <v>5.2127668797301405E-4</v>
      </c>
      <c r="T68" s="74">
        <v>4.0295527328517501E-4</v>
      </c>
      <c r="U68" s="74">
        <v>2.20785829602609E-4</v>
      </c>
      <c r="V68" s="69"/>
      <c r="W68" s="69"/>
      <c r="X68" s="69"/>
      <c r="Y68" s="69"/>
      <c r="Z68" s="69"/>
      <c r="AA68" s="69"/>
      <c r="AB68" s="69"/>
      <c r="AC68" s="69"/>
      <c r="AD68" s="69"/>
      <c r="AE68" s="69"/>
      <c r="AF68" s="69"/>
      <c r="AG68" s="69"/>
      <c r="AH68" s="69"/>
      <c r="AI68" s="69"/>
      <c r="AJ68" s="69"/>
      <c r="AK68" s="69"/>
      <c r="AL68" s="69"/>
      <c r="AM68" s="69" t="s">
        <v>393</v>
      </c>
      <c r="AN68" s="79" t="s">
        <v>394</v>
      </c>
    </row>
    <row r="69" spans="1:40" ht="15" x14ac:dyDescent="0.3">
      <c r="A69" s="68">
        <v>64</v>
      </c>
      <c r="B69" s="152" t="s">
        <v>456</v>
      </c>
      <c r="C69" s="72">
        <v>2019</v>
      </c>
      <c r="D69" s="73">
        <f t="shared" ref="D69:D91" si="3">SUM(Y69+Z69+AA69+AB69+AC69+AD69+AE69+AF69+AG69+AH69+AI69+AJ69)</f>
        <v>0</v>
      </c>
      <c r="E69" s="74">
        <v>0</v>
      </c>
      <c r="F69" s="74">
        <v>0</v>
      </c>
      <c r="G69" s="74">
        <v>0</v>
      </c>
      <c r="H69" s="74">
        <v>0</v>
      </c>
      <c r="I69" s="74">
        <v>6.6455794701685006E-5</v>
      </c>
      <c r="J69" s="74">
        <v>4.8951148760556099E-5</v>
      </c>
      <c r="K69" s="74">
        <v>5.3166830797267799E-5</v>
      </c>
      <c r="L69" s="74">
        <v>6.2502303531698303E-5</v>
      </c>
      <c r="M69" s="74">
        <v>6.5330710218596796E-5</v>
      </c>
      <c r="N69" s="74">
        <v>7.6974129456368001E-5</v>
      </c>
      <c r="O69" s="74">
        <v>1.0837690160714601E-4</v>
      </c>
      <c r="P69" s="74">
        <v>1.4646323150003301E-4</v>
      </c>
      <c r="Q69" s="74">
        <v>1.8551760090304299E-4</v>
      </c>
      <c r="R69" s="74">
        <v>1.90656398148247E-4</v>
      </c>
      <c r="S69" s="74">
        <v>2.0555390118667601E-4</v>
      </c>
      <c r="T69" s="74">
        <v>2.0174867387513101E-4</v>
      </c>
      <c r="U69" s="74">
        <v>6.7032090301007995E-5</v>
      </c>
      <c r="V69" s="69"/>
      <c r="W69" s="69"/>
      <c r="X69" s="69"/>
      <c r="Y69" s="69"/>
      <c r="Z69" s="69"/>
      <c r="AA69" s="69"/>
      <c r="AB69" s="69"/>
      <c r="AC69" s="69"/>
      <c r="AD69" s="69"/>
      <c r="AE69" s="69"/>
      <c r="AF69" s="69"/>
      <c r="AG69" s="69"/>
      <c r="AH69" s="69"/>
      <c r="AI69" s="69"/>
      <c r="AJ69" s="69"/>
      <c r="AK69" s="69"/>
      <c r="AL69" s="69"/>
      <c r="AM69" s="69" t="s">
        <v>393</v>
      </c>
      <c r="AN69" s="79" t="s">
        <v>394</v>
      </c>
    </row>
    <row r="70" spans="1:40" ht="15" x14ac:dyDescent="0.3">
      <c r="A70" s="68">
        <v>65</v>
      </c>
      <c r="B70" s="152" t="s">
        <v>457</v>
      </c>
      <c r="C70" s="72">
        <v>2019</v>
      </c>
      <c r="D70" s="73">
        <f t="shared" si="3"/>
        <v>0</v>
      </c>
      <c r="E70" s="74">
        <v>1.8261790514317899E-5</v>
      </c>
      <c r="F70" s="74">
        <v>1.13518476136785E-5</v>
      </c>
      <c r="G70" s="74">
        <v>7.70219907539788E-6</v>
      </c>
      <c r="H70" s="74">
        <v>1.9432422560633799E-5</v>
      </c>
      <c r="I70" s="74">
        <v>1.2448554843573599E-5</v>
      </c>
      <c r="J70" s="74">
        <v>9.6423593297074702E-6</v>
      </c>
      <c r="K70" s="74">
        <v>6.7712840892818299E-6</v>
      </c>
      <c r="L70" s="74">
        <v>6.6272276806903203E-6</v>
      </c>
      <c r="M70" s="74">
        <v>5.8966226847698701E-6</v>
      </c>
      <c r="N70" s="74">
        <v>7.4813606382847697E-6</v>
      </c>
      <c r="O70" s="74">
        <v>9.4244292201692707E-6</v>
      </c>
      <c r="P70" s="74">
        <v>1.03176951696752E-5</v>
      </c>
      <c r="Q70" s="74">
        <v>1.10233299924552E-5</v>
      </c>
      <c r="R70" s="74">
        <v>1.2834136684247201E-5</v>
      </c>
      <c r="S70" s="74">
        <v>1.49088216291458E-5</v>
      </c>
      <c r="T70" s="74">
        <v>1.69791150108939E-5</v>
      </c>
      <c r="U70" s="74">
        <v>2.3761149825566899E-5</v>
      </c>
      <c r="V70" s="69"/>
      <c r="W70" s="69"/>
      <c r="X70" s="69"/>
      <c r="Y70" s="69"/>
      <c r="Z70" s="69"/>
      <c r="AA70" s="69"/>
      <c r="AB70" s="69"/>
      <c r="AC70" s="69"/>
      <c r="AD70" s="69"/>
      <c r="AE70" s="69"/>
      <c r="AF70" s="69"/>
      <c r="AG70" s="69"/>
      <c r="AH70" s="69"/>
      <c r="AI70" s="69"/>
      <c r="AJ70" s="69"/>
      <c r="AK70" s="69"/>
      <c r="AL70" s="69"/>
      <c r="AM70" s="69" t="s">
        <v>393</v>
      </c>
      <c r="AN70" s="79" t="s">
        <v>394</v>
      </c>
    </row>
    <row r="71" spans="1:40" ht="15" x14ac:dyDescent="0.3">
      <c r="A71" s="68">
        <v>66</v>
      </c>
      <c r="B71" s="152" t="s">
        <v>458</v>
      </c>
      <c r="C71" s="72">
        <v>2019</v>
      </c>
      <c r="D71" s="73">
        <f t="shared" si="3"/>
        <v>0</v>
      </c>
      <c r="E71" s="74">
        <v>4.2340469080832701E-6</v>
      </c>
      <c r="F71" s="74">
        <v>3.5794367885860998E-6</v>
      </c>
      <c r="G71" s="74">
        <v>3.198236943726E-6</v>
      </c>
      <c r="H71" s="74">
        <v>5.7006152209091398E-6</v>
      </c>
      <c r="I71" s="74">
        <v>8.5754047025107698E-6</v>
      </c>
      <c r="J71" s="74">
        <v>8.7858843420648092E-6</v>
      </c>
      <c r="K71" s="74">
        <v>9.8295780845911201E-6</v>
      </c>
      <c r="L71" s="74">
        <v>1.07325622735887E-5</v>
      </c>
      <c r="M71" s="74">
        <v>1.0062574045019499E-5</v>
      </c>
      <c r="N71" s="74">
        <v>1.1104925825248199E-5</v>
      </c>
      <c r="O71" s="74">
        <v>1.44272348198887E-5</v>
      </c>
      <c r="P71" s="74">
        <v>1.7010652606274201E-5</v>
      </c>
      <c r="Q71" s="74">
        <v>1.7125965924827E-5</v>
      </c>
      <c r="R71" s="74">
        <v>2.1069983768530899E-5</v>
      </c>
      <c r="S71" s="74">
        <v>2.2935814349051601E-5</v>
      </c>
      <c r="T71" s="74">
        <v>2.2487153492833701E-5</v>
      </c>
      <c r="U71" s="74">
        <v>2.64246246404782E-5</v>
      </c>
      <c r="V71" s="69"/>
      <c r="W71" s="69"/>
      <c r="X71" s="69"/>
      <c r="Y71" s="69"/>
      <c r="Z71" s="69"/>
      <c r="AA71" s="69"/>
      <c r="AB71" s="69"/>
      <c r="AC71" s="69"/>
      <c r="AD71" s="69"/>
      <c r="AE71" s="69"/>
      <c r="AF71" s="69"/>
      <c r="AG71" s="69"/>
      <c r="AH71" s="69"/>
      <c r="AI71" s="69"/>
      <c r="AJ71" s="69"/>
      <c r="AK71" s="69"/>
      <c r="AL71" s="69"/>
      <c r="AM71" s="69" t="s">
        <v>393</v>
      </c>
      <c r="AN71" s="79" t="s">
        <v>394</v>
      </c>
    </row>
    <row r="72" spans="1:40" ht="15" x14ac:dyDescent="0.3">
      <c r="A72" s="68">
        <v>67</v>
      </c>
      <c r="B72" s="152" t="s">
        <v>459</v>
      </c>
      <c r="C72" s="72">
        <v>2019</v>
      </c>
      <c r="D72" s="73">
        <f t="shared" si="3"/>
        <v>0</v>
      </c>
      <c r="E72" s="74">
        <v>3.5082968199343599E-4</v>
      </c>
      <c r="F72" s="74">
        <v>3.1766124793089398E-4</v>
      </c>
      <c r="G72" s="74">
        <v>1.0507177436991601E-4</v>
      </c>
      <c r="H72" s="74">
        <v>1.6079921553651701E-4</v>
      </c>
      <c r="I72" s="74">
        <v>1.25755643473284E-3</v>
      </c>
      <c r="J72" s="74">
        <v>9.3271377384948205E-4</v>
      </c>
      <c r="K72" s="74">
        <v>6.5049136437640004E-4</v>
      </c>
      <c r="L72" s="74">
        <v>6.9363995685629701E-4</v>
      </c>
      <c r="M72" s="74">
        <v>6.0611875413705499E-4</v>
      </c>
      <c r="N72" s="74">
        <v>6.4073453878134398E-4</v>
      </c>
      <c r="O72" s="74">
        <v>6.9937402273888803E-4</v>
      </c>
      <c r="P72" s="74">
        <v>8.0920337225200199E-4</v>
      </c>
      <c r="Q72" s="74">
        <v>1.0216242613335399E-3</v>
      </c>
      <c r="R72" s="74">
        <v>1.69497092099722E-3</v>
      </c>
      <c r="S72" s="74">
        <v>3.8664511643519599E-3</v>
      </c>
      <c r="T72" s="74">
        <v>3.8712025380090698E-3</v>
      </c>
      <c r="U72" s="74">
        <v>2.7596185978020502E-3</v>
      </c>
      <c r="V72" s="69"/>
      <c r="W72" s="69"/>
      <c r="X72" s="69"/>
      <c r="Y72" s="69"/>
      <c r="Z72" s="69"/>
      <c r="AA72" s="69"/>
      <c r="AB72" s="69"/>
      <c r="AC72" s="69"/>
      <c r="AD72" s="69"/>
      <c r="AE72" s="69"/>
      <c r="AF72" s="69"/>
      <c r="AG72" s="69"/>
      <c r="AH72" s="69"/>
      <c r="AI72" s="69"/>
      <c r="AJ72" s="69"/>
      <c r="AK72" s="69"/>
      <c r="AL72" s="69"/>
      <c r="AM72" s="69" t="s">
        <v>393</v>
      </c>
      <c r="AN72" s="79" t="s">
        <v>394</v>
      </c>
    </row>
    <row r="73" spans="1:40" ht="15" x14ac:dyDescent="0.3">
      <c r="A73" s="68">
        <v>68</v>
      </c>
      <c r="B73" s="152" t="s">
        <v>460</v>
      </c>
      <c r="C73" s="72">
        <v>2019</v>
      </c>
      <c r="D73" s="73">
        <f t="shared" si="3"/>
        <v>0</v>
      </c>
      <c r="E73" s="74">
        <v>0</v>
      </c>
      <c r="F73" s="74">
        <v>0</v>
      </c>
      <c r="G73" s="74">
        <v>0</v>
      </c>
      <c r="H73" s="74">
        <v>3.37494625628559E-6</v>
      </c>
      <c r="I73" s="74">
        <v>4.7728979258586496E-6</v>
      </c>
      <c r="J73" s="74">
        <v>6.2630358454352203E-6</v>
      </c>
      <c r="K73" s="74">
        <v>8.57721028643254E-6</v>
      </c>
      <c r="L73" s="74">
        <v>1.1311868679430199E-5</v>
      </c>
      <c r="M73" s="74">
        <v>1.5826295890099901E-5</v>
      </c>
      <c r="N73" s="74">
        <v>3.5701316865040197E-5</v>
      </c>
      <c r="O73" s="74">
        <v>5.4764312974035197E-5</v>
      </c>
      <c r="P73" s="74">
        <v>5.9374235691140098E-5</v>
      </c>
      <c r="Q73" s="74">
        <v>6.4689379076690099E-5</v>
      </c>
      <c r="R73" s="74">
        <v>6.3022026837822797E-5</v>
      </c>
      <c r="S73" s="74">
        <v>4.8613452020614898E-5</v>
      </c>
      <c r="T73" s="74">
        <v>4.2509520245566301E-5</v>
      </c>
      <c r="U73" s="74">
        <v>4.4516825291955298E-5</v>
      </c>
      <c r="V73" s="69"/>
      <c r="W73" s="69"/>
      <c r="X73" s="69"/>
      <c r="Y73" s="69"/>
      <c r="Z73" s="69"/>
      <c r="AA73" s="69"/>
      <c r="AB73" s="69"/>
      <c r="AC73" s="69"/>
      <c r="AD73" s="69"/>
      <c r="AE73" s="69"/>
      <c r="AF73" s="69"/>
      <c r="AG73" s="69"/>
      <c r="AH73" s="69"/>
      <c r="AI73" s="69"/>
      <c r="AJ73" s="69"/>
      <c r="AK73" s="69"/>
      <c r="AL73" s="69"/>
      <c r="AM73" s="69" t="s">
        <v>393</v>
      </c>
      <c r="AN73" s="79" t="s">
        <v>394</v>
      </c>
    </row>
    <row r="74" spans="1:40" ht="15" x14ac:dyDescent="0.3">
      <c r="A74" s="68">
        <v>69</v>
      </c>
      <c r="B74" s="152" t="s">
        <v>461</v>
      </c>
      <c r="C74" s="72">
        <v>2019</v>
      </c>
      <c r="D74" s="73">
        <f t="shared" si="3"/>
        <v>0</v>
      </c>
      <c r="E74" s="74">
        <v>8.3419851390221801E-5</v>
      </c>
      <c r="F74" s="74">
        <v>8.2295376449986401E-5</v>
      </c>
      <c r="G74" s="74">
        <v>6.7615589547875601E-5</v>
      </c>
      <c r="H74" s="74">
        <v>7.8224184122417998E-5</v>
      </c>
      <c r="I74" s="74">
        <v>8.1559320596104497E-5</v>
      </c>
      <c r="J74" s="74">
        <v>7.27593017119208E-5</v>
      </c>
      <c r="K74" s="74">
        <v>6.52009649568752E-5</v>
      </c>
      <c r="L74" s="74">
        <v>6.3645059223567393E-5</v>
      </c>
      <c r="M74" s="74">
        <v>7.0244600262873993E-5</v>
      </c>
      <c r="N74" s="74">
        <v>1.02086158221313E-4</v>
      </c>
      <c r="O74" s="74">
        <v>1.3760792934837699E-4</v>
      </c>
      <c r="P74" s="74">
        <v>1.9421968246537301E-4</v>
      </c>
      <c r="Q74" s="74">
        <v>2.7203112632856398E-4</v>
      </c>
      <c r="R74" s="74">
        <v>3.8364434077855499E-4</v>
      </c>
      <c r="S74" s="74">
        <v>4.8768328174770198E-4</v>
      </c>
      <c r="T74" s="74">
        <v>6.6119215265610402E-4</v>
      </c>
      <c r="U74" s="74">
        <v>1.3242647329800401E-3</v>
      </c>
      <c r="V74" s="69"/>
      <c r="W74" s="69"/>
      <c r="X74" s="69"/>
      <c r="Y74" s="69"/>
      <c r="Z74" s="69"/>
      <c r="AA74" s="69"/>
      <c r="AB74" s="69"/>
      <c r="AC74" s="69"/>
      <c r="AD74" s="69"/>
      <c r="AE74" s="69"/>
      <c r="AF74" s="69"/>
      <c r="AG74" s="69"/>
      <c r="AH74" s="69"/>
      <c r="AI74" s="69"/>
      <c r="AJ74" s="69"/>
      <c r="AK74" s="69"/>
      <c r="AL74" s="69"/>
      <c r="AM74" s="69" t="s">
        <v>393</v>
      </c>
      <c r="AN74" s="79" t="s">
        <v>394</v>
      </c>
    </row>
    <row r="75" spans="1:40" ht="15" x14ac:dyDescent="0.3">
      <c r="A75" s="68">
        <v>70</v>
      </c>
      <c r="B75" s="152" t="s">
        <v>462</v>
      </c>
      <c r="C75" s="72">
        <v>2019</v>
      </c>
      <c r="D75" s="73">
        <f t="shared" si="3"/>
        <v>0</v>
      </c>
      <c r="E75" s="74">
        <v>1.2997704955271701E-3</v>
      </c>
      <c r="F75" s="74">
        <v>6.8503578623968595E-4</v>
      </c>
      <c r="G75" s="74">
        <v>3.1471627704830101E-4</v>
      </c>
      <c r="H75" s="74">
        <v>1.0945197846621299E-4</v>
      </c>
      <c r="I75" s="74">
        <v>1.52604099620865E-4</v>
      </c>
      <c r="J75" s="74">
        <v>1.5940371261021901E-4</v>
      </c>
      <c r="K75" s="74">
        <v>1.51155094574758E-4</v>
      </c>
      <c r="L75" s="74">
        <v>2.8797836038045799E-4</v>
      </c>
      <c r="M75" s="74">
        <v>2.25771044254581E-4</v>
      </c>
      <c r="N75" s="74">
        <v>2.28254953868913E-4</v>
      </c>
      <c r="O75" s="74">
        <v>2.9856992405295101E-4</v>
      </c>
      <c r="P75" s="74">
        <v>3.4554382566061602E-4</v>
      </c>
      <c r="Q75" s="74">
        <v>3.7710711231078801E-4</v>
      </c>
      <c r="R75" s="74">
        <v>3.2631869020128401E-4</v>
      </c>
      <c r="S75" s="74">
        <v>3.9366249962970401E-4</v>
      </c>
      <c r="T75" s="74">
        <v>3.2532719329731499E-4</v>
      </c>
      <c r="U75" s="74">
        <v>3.1525695890511902E-4</v>
      </c>
      <c r="V75" s="69"/>
      <c r="W75" s="69"/>
      <c r="X75" s="69"/>
      <c r="Y75" s="69"/>
      <c r="Z75" s="69"/>
      <c r="AA75" s="69"/>
      <c r="AB75" s="69"/>
      <c r="AC75" s="69"/>
      <c r="AD75" s="69"/>
      <c r="AE75" s="69"/>
      <c r="AF75" s="69"/>
      <c r="AG75" s="69"/>
      <c r="AH75" s="69"/>
      <c r="AI75" s="69"/>
      <c r="AJ75" s="69"/>
      <c r="AK75" s="69"/>
      <c r="AL75" s="69"/>
      <c r="AM75" s="69" t="s">
        <v>393</v>
      </c>
      <c r="AN75" s="79" t="s">
        <v>394</v>
      </c>
    </row>
    <row r="76" spans="1:40" ht="15" x14ac:dyDescent="0.3">
      <c r="A76" s="68">
        <v>71</v>
      </c>
      <c r="B76" s="152" t="s">
        <v>463</v>
      </c>
      <c r="C76" s="72">
        <v>2019</v>
      </c>
      <c r="D76" s="73">
        <f t="shared" si="3"/>
        <v>0</v>
      </c>
      <c r="E76" s="74">
        <v>2.4073190457846801E-5</v>
      </c>
      <c r="F76" s="74">
        <v>2.3006663812528999E-5</v>
      </c>
      <c r="G76" s="74">
        <v>2.5107172405728002E-5</v>
      </c>
      <c r="H76" s="74">
        <v>2.2719288693881101E-5</v>
      </c>
      <c r="I76" s="74">
        <v>2.7054920370217598E-5</v>
      </c>
      <c r="J76" s="74">
        <v>2.4317297798274099E-5</v>
      </c>
      <c r="K76" s="74">
        <v>2.6625773036429401E-5</v>
      </c>
      <c r="L76" s="74">
        <v>3.0021702676553201E-5</v>
      </c>
      <c r="M76" s="74">
        <v>3.8723256448371201E-5</v>
      </c>
      <c r="N76" s="74">
        <v>8.21709219359417E-5</v>
      </c>
      <c r="O76" s="74">
        <v>1.5050611265609399E-4</v>
      </c>
      <c r="P76" s="74">
        <v>2.2705555883240899E-4</v>
      </c>
      <c r="Q76" s="74">
        <v>3.1884636174170703E-4</v>
      </c>
      <c r="R76" s="74">
        <v>4.0160267698895202E-4</v>
      </c>
      <c r="S76" s="74">
        <v>3.9571664829400101E-4</v>
      </c>
      <c r="T76" s="74">
        <v>4.69783893109689E-4</v>
      </c>
      <c r="U76" s="74">
        <v>7.3617282783280697E-4</v>
      </c>
      <c r="V76" s="69"/>
      <c r="W76" s="69"/>
      <c r="X76" s="69"/>
      <c r="Y76" s="69"/>
      <c r="Z76" s="69"/>
      <c r="AA76" s="69"/>
      <c r="AB76" s="69"/>
      <c r="AC76" s="69"/>
      <c r="AD76" s="69"/>
      <c r="AE76" s="69"/>
      <c r="AF76" s="69"/>
      <c r="AG76" s="69"/>
      <c r="AH76" s="69"/>
      <c r="AI76" s="69"/>
      <c r="AJ76" s="69"/>
      <c r="AK76" s="69"/>
      <c r="AL76" s="69"/>
      <c r="AM76" s="69" t="s">
        <v>393</v>
      </c>
      <c r="AN76" s="79" t="s">
        <v>394</v>
      </c>
    </row>
    <row r="77" spans="1:40" ht="15" x14ac:dyDescent="0.3">
      <c r="A77" s="68">
        <v>72</v>
      </c>
      <c r="B77" s="152" t="s">
        <v>464</v>
      </c>
      <c r="C77" s="72">
        <v>2019</v>
      </c>
      <c r="D77" s="73">
        <f t="shared" si="3"/>
        <v>0</v>
      </c>
      <c r="E77" s="74">
        <v>1.52058142009895E-5</v>
      </c>
      <c r="F77" s="74">
        <v>1.3875698095602601E-5</v>
      </c>
      <c r="G77" s="74">
        <v>4.5185192348904198E-6</v>
      </c>
      <c r="H77" s="74">
        <v>6.8794372329552601E-6</v>
      </c>
      <c r="I77" s="74">
        <v>5.3698557200698402E-5</v>
      </c>
      <c r="J77" s="74">
        <v>3.9587854257371898E-5</v>
      </c>
      <c r="K77" s="74">
        <v>2.7618153421616502E-5</v>
      </c>
      <c r="L77" s="74">
        <v>2.96678370622165E-5</v>
      </c>
      <c r="M77" s="74">
        <v>2.5868995419899401E-5</v>
      </c>
      <c r="N77" s="74">
        <v>2.74661267962959E-5</v>
      </c>
      <c r="O77" s="74">
        <v>2.9797986428888699E-5</v>
      </c>
      <c r="P77" s="74">
        <v>3.4495305397522701E-5</v>
      </c>
      <c r="Q77" s="74">
        <v>4.3796485667413403E-5</v>
      </c>
      <c r="R77" s="74">
        <v>7.2216563062672403E-5</v>
      </c>
      <c r="S77" s="74">
        <v>1.6488165948357601E-4</v>
      </c>
      <c r="T77" s="74">
        <v>1.6612266431493701E-4</v>
      </c>
      <c r="U77" s="74">
        <v>1.18703192333326E-4</v>
      </c>
      <c r="V77" s="69"/>
      <c r="W77" s="69"/>
      <c r="X77" s="69"/>
      <c r="Y77" s="69"/>
      <c r="Z77" s="69"/>
      <c r="AA77" s="69"/>
      <c r="AB77" s="69"/>
      <c r="AC77" s="69"/>
      <c r="AD77" s="69"/>
      <c r="AE77" s="69"/>
      <c r="AF77" s="69"/>
      <c r="AG77" s="69"/>
      <c r="AH77" s="69"/>
      <c r="AI77" s="69"/>
      <c r="AJ77" s="69"/>
      <c r="AK77" s="69"/>
      <c r="AL77" s="69"/>
      <c r="AM77" s="69" t="s">
        <v>393</v>
      </c>
      <c r="AN77" s="79" t="s">
        <v>394</v>
      </c>
    </row>
    <row r="78" spans="1:40" ht="15" x14ac:dyDescent="0.3">
      <c r="A78" s="68">
        <v>73</v>
      </c>
      <c r="B78" s="152" t="s">
        <v>465</v>
      </c>
      <c r="C78" s="72">
        <v>2019</v>
      </c>
      <c r="D78" s="73">
        <f t="shared" si="3"/>
        <v>0</v>
      </c>
      <c r="E78" s="74">
        <v>1.38646437424405E-6</v>
      </c>
      <c r="F78" s="74">
        <v>1.2651960124190199E-6</v>
      </c>
      <c r="G78" s="74">
        <v>4.12001741286681E-7</v>
      </c>
      <c r="H78" s="74">
        <v>6.2727571476201001E-7</v>
      </c>
      <c r="I78" s="74">
        <v>4.8962222796761498E-6</v>
      </c>
      <c r="J78" s="74">
        <v>3.6097497433744399E-6</v>
      </c>
      <c r="K78" s="74">
        <v>2.5182359081744999E-6</v>
      </c>
      <c r="L78" s="74">
        <v>2.7051374841767599E-6</v>
      </c>
      <c r="M78" s="74">
        <v>2.3587225834186001E-6</v>
      </c>
      <c r="N78" s="74">
        <v>2.5043654516685799E-6</v>
      </c>
      <c r="O78" s="74">
        <v>2.71700533442651E-6</v>
      </c>
      <c r="P78" s="74">
        <v>3.1453250414368198E-6</v>
      </c>
      <c r="Q78" s="74">
        <v>3.9934464411138903E-6</v>
      </c>
      <c r="R78" s="74">
        <v>6.5847834089059898E-6</v>
      </c>
      <c r="S78" s="74">
        <v>1.5034135474859701E-5</v>
      </c>
      <c r="T78" s="74">
        <v>1.5147198652584101E-5</v>
      </c>
      <c r="U78" s="74">
        <v>1.08235064788346E-5</v>
      </c>
      <c r="V78" s="69"/>
      <c r="W78" s="69"/>
      <c r="X78" s="69"/>
      <c r="Y78" s="69"/>
      <c r="Z78" s="69"/>
      <c r="AA78" s="69"/>
      <c r="AB78" s="69"/>
      <c r="AC78" s="69"/>
      <c r="AD78" s="69"/>
      <c r="AE78" s="69"/>
      <c r="AF78" s="69"/>
      <c r="AG78" s="69"/>
      <c r="AH78" s="69"/>
      <c r="AI78" s="69"/>
      <c r="AJ78" s="69"/>
      <c r="AK78" s="69"/>
      <c r="AL78" s="69"/>
      <c r="AM78" s="69" t="s">
        <v>393</v>
      </c>
      <c r="AN78" s="79" t="s">
        <v>394</v>
      </c>
    </row>
    <row r="79" spans="1:40" ht="15" x14ac:dyDescent="0.3">
      <c r="A79" s="68">
        <v>74</v>
      </c>
      <c r="B79" s="152" t="s">
        <v>466</v>
      </c>
      <c r="C79" s="72">
        <v>2019</v>
      </c>
      <c r="D79" s="73">
        <f t="shared" si="3"/>
        <v>0</v>
      </c>
      <c r="E79" s="74">
        <v>1.44649849084018E-4</v>
      </c>
      <c r="F79" s="74">
        <v>9.3185855755690996E-5</v>
      </c>
      <c r="G79" s="74">
        <v>7.9881411528733796E-5</v>
      </c>
      <c r="H79" s="74">
        <v>7.1120797466152206E-5</v>
      </c>
      <c r="I79" s="74">
        <v>6.3652105278745594E-5</v>
      </c>
      <c r="J79" s="74">
        <v>5.3259237400836998E-5</v>
      </c>
      <c r="K79" s="74">
        <v>4.2068291280233201E-5</v>
      </c>
      <c r="L79" s="74">
        <v>3.5307411105602501E-5</v>
      </c>
      <c r="M79" s="74">
        <v>3.01835370285715E-5</v>
      </c>
      <c r="N79" s="74">
        <v>2.6804026710626799E-5</v>
      </c>
      <c r="O79" s="74">
        <v>2.4248016600644201E-5</v>
      </c>
      <c r="P79" s="74">
        <v>2.2774383526951201E-5</v>
      </c>
      <c r="Q79" s="74">
        <v>2.1436496890190898E-5</v>
      </c>
      <c r="R79" s="74">
        <v>1.9266180753783999E-5</v>
      </c>
      <c r="S79" s="74">
        <v>1.6417807860766898E-5</v>
      </c>
      <c r="T79" s="74">
        <v>1.33814389224267E-5</v>
      </c>
      <c r="U79" s="74">
        <v>1.05614738858113E-5</v>
      </c>
      <c r="V79" s="69"/>
      <c r="W79" s="69"/>
      <c r="X79" s="69"/>
      <c r="Y79" s="69"/>
      <c r="Z79" s="69"/>
      <c r="AA79" s="69"/>
      <c r="AB79" s="69"/>
      <c r="AC79" s="69"/>
      <c r="AD79" s="69"/>
      <c r="AE79" s="69"/>
      <c r="AF79" s="69"/>
      <c r="AG79" s="69"/>
      <c r="AH79" s="69"/>
      <c r="AI79" s="69"/>
      <c r="AJ79" s="69"/>
      <c r="AK79" s="69"/>
      <c r="AL79" s="69"/>
      <c r="AM79" s="69" t="s">
        <v>393</v>
      </c>
      <c r="AN79" s="79" t="s">
        <v>394</v>
      </c>
    </row>
    <row r="80" spans="1:40" ht="15" x14ac:dyDescent="0.3">
      <c r="A80" s="68">
        <v>75</v>
      </c>
      <c r="B80" s="152" t="s">
        <v>467</v>
      </c>
      <c r="C80" s="72">
        <v>2019</v>
      </c>
      <c r="D80" s="73">
        <f t="shared" si="3"/>
        <v>0</v>
      </c>
      <c r="E80" s="74">
        <v>8.5454561284046097E-3</v>
      </c>
      <c r="F80" s="74">
        <v>2.4925477080028802E-3</v>
      </c>
      <c r="G80" s="74">
        <v>1.7297165390961699E-3</v>
      </c>
      <c r="H80" s="74">
        <v>1.5729605681388101E-3</v>
      </c>
      <c r="I80" s="74">
        <v>1.54064281008926E-3</v>
      </c>
      <c r="J80" s="74">
        <v>1.49646791148327E-3</v>
      </c>
      <c r="K80" s="74">
        <v>1.4491701981948801E-3</v>
      </c>
      <c r="L80" s="74">
        <v>1.44169656096605E-3</v>
      </c>
      <c r="M80" s="74">
        <v>1.38255516609914E-3</v>
      </c>
      <c r="N80" s="74">
        <v>1.3651892380892199E-3</v>
      </c>
      <c r="O80" s="74">
        <v>1.3665918830584099E-3</v>
      </c>
      <c r="P80" s="74">
        <v>1.34384269523141E-3</v>
      </c>
      <c r="Q80" s="74">
        <v>1.2433684954972499E-3</v>
      </c>
      <c r="R80" s="74">
        <v>1.18452903836478E-3</v>
      </c>
      <c r="S80" s="74">
        <v>1.1683964296219701E-3</v>
      </c>
      <c r="T80" s="74">
        <v>1.14856404255612E-3</v>
      </c>
      <c r="U80" s="74">
        <v>1.1801627283018099E-3</v>
      </c>
      <c r="V80" s="69"/>
      <c r="W80" s="69"/>
      <c r="X80" s="69"/>
      <c r="Y80" s="69"/>
      <c r="Z80" s="69"/>
      <c r="AA80" s="69"/>
      <c r="AB80" s="69"/>
      <c r="AC80" s="69"/>
      <c r="AD80" s="69"/>
      <c r="AE80" s="69"/>
      <c r="AF80" s="69"/>
      <c r="AG80" s="69"/>
      <c r="AH80" s="69"/>
      <c r="AI80" s="69"/>
      <c r="AJ80" s="69"/>
      <c r="AK80" s="69"/>
      <c r="AL80" s="69"/>
      <c r="AM80" s="69" t="s">
        <v>393</v>
      </c>
      <c r="AN80" s="79" t="s">
        <v>394</v>
      </c>
    </row>
    <row r="81" spans="1:40" ht="15" x14ac:dyDescent="0.3">
      <c r="A81" s="68">
        <v>76</v>
      </c>
      <c r="B81" s="152" t="s">
        <v>468</v>
      </c>
      <c r="C81" s="72">
        <v>2019</v>
      </c>
      <c r="D81" s="73">
        <f t="shared" si="3"/>
        <v>0</v>
      </c>
      <c r="E81" s="74">
        <v>4.2847211573933999E-4</v>
      </c>
      <c r="F81" s="74">
        <v>2.7488121628767E-4</v>
      </c>
      <c r="G81" s="74">
        <v>2.62917753472363E-4</v>
      </c>
      <c r="H81" s="74">
        <v>2.3759516473698301E-4</v>
      </c>
      <c r="I81" s="74">
        <v>2.10479647027011E-4</v>
      </c>
      <c r="J81" s="74">
        <v>1.6107537402269999E-4</v>
      </c>
      <c r="K81" s="74">
        <v>1.09296190234136E-4</v>
      </c>
      <c r="L81" s="74">
        <v>8.1186305093868997E-5</v>
      </c>
      <c r="M81" s="74">
        <v>6.3610987598241206E-5</v>
      </c>
      <c r="N81" s="74">
        <v>3.5459483982330999E-5</v>
      </c>
      <c r="O81" s="74">
        <v>1.2739867780102401E-5</v>
      </c>
      <c r="P81" s="74">
        <v>6.3684300815812197E-6</v>
      </c>
      <c r="Q81" s="74">
        <v>5.1203805332417404E-6</v>
      </c>
      <c r="R81" s="74">
        <v>4.11932542757585E-6</v>
      </c>
      <c r="S81" s="74">
        <v>0</v>
      </c>
      <c r="T81" s="74">
        <v>0</v>
      </c>
      <c r="U81" s="74">
        <v>0</v>
      </c>
      <c r="V81" s="69"/>
      <c r="W81" s="69"/>
      <c r="X81" s="69"/>
      <c r="Y81" s="69"/>
      <c r="Z81" s="69"/>
      <c r="AA81" s="69"/>
      <c r="AB81" s="69"/>
      <c r="AC81" s="69"/>
      <c r="AD81" s="69"/>
      <c r="AE81" s="69"/>
      <c r="AF81" s="69"/>
      <c r="AG81" s="69"/>
      <c r="AH81" s="69"/>
      <c r="AI81" s="69"/>
      <c r="AJ81" s="69"/>
      <c r="AK81" s="69"/>
      <c r="AL81" s="69"/>
      <c r="AM81" s="69" t="s">
        <v>393</v>
      </c>
      <c r="AN81" s="79" t="s">
        <v>394</v>
      </c>
    </row>
    <row r="82" spans="1:40" ht="15" x14ac:dyDescent="0.3">
      <c r="A82" s="68">
        <v>77</v>
      </c>
      <c r="B82" s="152" t="s">
        <v>469</v>
      </c>
      <c r="C82" s="72">
        <v>2019</v>
      </c>
      <c r="D82" s="73">
        <f t="shared" si="3"/>
        <v>0</v>
      </c>
      <c r="E82" s="74">
        <v>0</v>
      </c>
      <c r="F82" s="74">
        <v>0</v>
      </c>
      <c r="G82" s="74">
        <v>0</v>
      </c>
      <c r="H82" s="74">
        <v>4.5657282660614498E-7</v>
      </c>
      <c r="I82" s="74">
        <v>2.92375870863797E-6</v>
      </c>
      <c r="J82" s="74">
        <v>9.9098261858307098E-6</v>
      </c>
      <c r="K82" s="74">
        <v>8.0086625664088306E-5</v>
      </c>
      <c r="L82" s="74">
        <v>4.3716674133767599E-4</v>
      </c>
      <c r="M82" s="74">
        <v>1.1172243276854801E-3</v>
      </c>
      <c r="N82" s="74">
        <v>1.9830121573279698E-3</v>
      </c>
      <c r="O82" s="74">
        <v>2.8736870043109299E-3</v>
      </c>
      <c r="P82" s="74">
        <v>3.7239466922942902E-3</v>
      </c>
      <c r="Q82" s="74">
        <v>4.5085096400876799E-3</v>
      </c>
      <c r="R82" s="74">
        <v>5.0226959672012399E-3</v>
      </c>
      <c r="S82" s="74">
        <v>5.4058753661421297E-3</v>
      </c>
      <c r="T82" s="74">
        <v>5.4981138047519602E-3</v>
      </c>
      <c r="U82" s="74">
        <v>4.6413805442765098E-3</v>
      </c>
      <c r="V82" s="69"/>
      <c r="W82" s="69"/>
      <c r="X82" s="69"/>
      <c r="Y82" s="69"/>
      <c r="Z82" s="69"/>
      <c r="AA82" s="69"/>
      <c r="AB82" s="69"/>
      <c r="AC82" s="69"/>
      <c r="AD82" s="69"/>
      <c r="AE82" s="69"/>
      <c r="AF82" s="69"/>
      <c r="AG82" s="69"/>
      <c r="AH82" s="69"/>
      <c r="AI82" s="69"/>
      <c r="AJ82" s="69"/>
      <c r="AK82" s="69"/>
      <c r="AL82" s="69"/>
      <c r="AM82" s="69" t="s">
        <v>393</v>
      </c>
      <c r="AN82" s="79" t="s">
        <v>394</v>
      </c>
    </row>
    <row r="83" spans="1:40" ht="15" x14ac:dyDescent="0.3">
      <c r="A83" s="68">
        <v>78</v>
      </c>
      <c r="B83" s="152" t="s">
        <v>470</v>
      </c>
      <c r="C83" s="72">
        <v>2019</v>
      </c>
      <c r="D83" s="73">
        <f t="shared" si="3"/>
        <v>0</v>
      </c>
      <c r="E83" s="74">
        <v>0</v>
      </c>
      <c r="F83" s="74">
        <v>0</v>
      </c>
      <c r="G83" s="74">
        <v>0</v>
      </c>
      <c r="H83" s="74">
        <v>5.5806268167829196E-7</v>
      </c>
      <c r="I83" s="74">
        <v>1.3828053005364701E-6</v>
      </c>
      <c r="J83" s="74">
        <v>1.55328041568719E-6</v>
      </c>
      <c r="K83" s="74">
        <v>1.76875610207E-6</v>
      </c>
      <c r="L83" s="74">
        <v>2.0544251034419698E-6</v>
      </c>
      <c r="M83" s="74">
        <v>2.5042732497197698E-6</v>
      </c>
      <c r="N83" s="74">
        <v>3.2580092094001801E-6</v>
      </c>
      <c r="O83" s="74">
        <v>4.4089761109396996E-6</v>
      </c>
      <c r="P83" s="74">
        <v>6.42250989181669E-6</v>
      </c>
      <c r="Q83" s="74">
        <v>9.2578664302982906E-6</v>
      </c>
      <c r="R83" s="74">
        <v>1.1868409300690301E-5</v>
      </c>
      <c r="S83" s="74">
        <v>1.48092553185199E-5</v>
      </c>
      <c r="T83" s="74">
        <v>1.7559001903176499E-5</v>
      </c>
      <c r="U83" s="74">
        <v>1.7738846379324199E-5</v>
      </c>
      <c r="V83" s="69"/>
      <c r="W83" s="69"/>
      <c r="X83" s="69"/>
      <c r="Y83" s="69"/>
      <c r="Z83" s="69"/>
      <c r="AA83" s="69"/>
      <c r="AB83" s="69"/>
      <c r="AC83" s="69"/>
      <c r="AD83" s="69"/>
      <c r="AE83" s="69"/>
      <c r="AF83" s="69"/>
      <c r="AG83" s="69"/>
      <c r="AH83" s="69"/>
      <c r="AI83" s="69"/>
      <c r="AJ83" s="69"/>
      <c r="AK83" s="69"/>
      <c r="AL83" s="69"/>
      <c r="AM83" s="69" t="s">
        <v>393</v>
      </c>
      <c r="AN83" s="79" t="s">
        <v>394</v>
      </c>
    </row>
    <row r="84" spans="1:40" ht="15" x14ac:dyDescent="0.3">
      <c r="A84" s="68">
        <v>79</v>
      </c>
      <c r="B84" s="152" t="s">
        <v>471</v>
      </c>
      <c r="C84" s="72">
        <v>2019</v>
      </c>
      <c r="D84" s="73">
        <f t="shared" si="3"/>
        <v>0</v>
      </c>
      <c r="E84" s="74">
        <v>0</v>
      </c>
      <c r="F84" s="74">
        <v>0</v>
      </c>
      <c r="G84" s="74">
        <v>0</v>
      </c>
      <c r="H84" s="74">
        <v>3.1271411023163601E-7</v>
      </c>
      <c r="I84" s="74">
        <v>1.6659079197487901E-6</v>
      </c>
      <c r="J84" s="74">
        <v>4.5120939463745802E-6</v>
      </c>
      <c r="K84" s="74">
        <v>1.0406857269754401E-5</v>
      </c>
      <c r="L84" s="74">
        <v>2.5422059383742401E-5</v>
      </c>
      <c r="M84" s="74">
        <v>4.9159352932485301E-5</v>
      </c>
      <c r="N84" s="74">
        <v>7.5681060981263695E-5</v>
      </c>
      <c r="O84" s="74">
        <v>9.7872497604583597E-5</v>
      </c>
      <c r="P84" s="74">
        <v>1.22238332606714E-4</v>
      </c>
      <c r="Q84" s="74">
        <v>1.5000927544165499E-4</v>
      </c>
      <c r="R84" s="74">
        <v>1.7524744813591001E-4</v>
      </c>
      <c r="S84" s="74">
        <v>1.9508601264654001E-4</v>
      </c>
      <c r="T84" s="74">
        <v>2.03404072938298E-4</v>
      </c>
      <c r="U84" s="74">
        <v>1.5120561836435499E-4</v>
      </c>
      <c r="V84" s="69"/>
      <c r="W84" s="69"/>
      <c r="X84" s="69"/>
      <c r="Y84" s="69"/>
      <c r="Z84" s="69"/>
      <c r="AA84" s="69"/>
      <c r="AB84" s="69"/>
      <c r="AC84" s="69"/>
      <c r="AD84" s="69"/>
      <c r="AE84" s="69"/>
      <c r="AF84" s="69"/>
      <c r="AG84" s="69"/>
      <c r="AH84" s="69"/>
      <c r="AI84" s="69"/>
      <c r="AJ84" s="69"/>
      <c r="AK84" s="69"/>
      <c r="AL84" s="69"/>
      <c r="AM84" s="69" t="s">
        <v>393</v>
      </c>
      <c r="AN84" s="79" t="s">
        <v>394</v>
      </c>
    </row>
    <row r="85" spans="1:40" ht="15" x14ac:dyDescent="0.3">
      <c r="A85" s="68">
        <v>80</v>
      </c>
      <c r="B85" s="152" t="s">
        <v>472</v>
      </c>
      <c r="C85" s="72">
        <v>2019</v>
      </c>
      <c r="D85" s="73">
        <f t="shared" si="3"/>
        <v>0</v>
      </c>
      <c r="E85" s="74">
        <v>0</v>
      </c>
      <c r="F85" s="74">
        <v>0</v>
      </c>
      <c r="G85" s="74">
        <v>0</v>
      </c>
      <c r="H85" s="74">
        <v>5.7264785342187003E-7</v>
      </c>
      <c r="I85" s="74">
        <v>2.9949636643853899E-6</v>
      </c>
      <c r="J85" s="74">
        <v>8.1647747543078108E-6</v>
      </c>
      <c r="K85" s="74">
        <v>1.5357947538971001E-5</v>
      </c>
      <c r="L85" s="74">
        <v>2.7403761937434998E-5</v>
      </c>
      <c r="M85" s="74">
        <v>4.4903705559831399E-5</v>
      </c>
      <c r="N85" s="74">
        <v>6.6966288155383502E-5</v>
      </c>
      <c r="O85" s="74">
        <v>9.2664106952456297E-5</v>
      </c>
      <c r="P85" s="74">
        <v>1.26200141830674E-4</v>
      </c>
      <c r="Q85" s="74">
        <v>1.6821851155739801E-4</v>
      </c>
      <c r="R85" s="74">
        <v>2.28473449397018E-4</v>
      </c>
      <c r="S85" s="74">
        <v>3.08378533659923E-4</v>
      </c>
      <c r="T85" s="74">
        <v>3.8619539123076299E-4</v>
      </c>
      <c r="U85" s="74">
        <v>4.3185395200146101E-4</v>
      </c>
      <c r="V85" s="69"/>
      <c r="W85" s="69"/>
      <c r="X85" s="69"/>
      <c r="Y85" s="69"/>
      <c r="Z85" s="69"/>
      <c r="AA85" s="69"/>
      <c r="AB85" s="69"/>
      <c r="AC85" s="69"/>
      <c r="AD85" s="69"/>
      <c r="AE85" s="69"/>
      <c r="AF85" s="69"/>
      <c r="AG85" s="69"/>
      <c r="AH85" s="69"/>
      <c r="AI85" s="69"/>
      <c r="AJ85" s="69"/>
      <c r="AK85" s="69"/>
      <c r="AL85" s="69"/>
      <c r="AM85" s="69" t="s">
        <v>393</v>
      </c>
      <c r="AN85" s="79" t="s">
        <v>394</v>
      </c>
    </row>
    <row r="86" spans="1:40" ht="15" x14ac:dyDescent="0.3">
      <c r="A86" s="68">
        <v>81</v>
      </c>
      <c r="B86" s="152" t="s">
        <v>473</v>
      </c>
      <c r="C86" s="72">
        <v>2019</v>
      </c>
      <c r="D86" s="73">
        <f t="shared" si="3"/>
        <v>0</v>
      </c>
      <c r="E86" s="74">
        <v>3.1662722774572501E-2</v>
      </c>
      <c r="F86" s="74">
        <v>5.1770200376220703E-2</v>
      </c>
      <c r="G86" s="74">
        <v>3.34940143816422E-2</v>
      </c>
      <c r="H86" s="74">
        <v>2.0719369131348801E-2</v>
      </c>
      <c r="I86" s="74">
        <v>1.3323730402926901E-2</v>
      </c>
      <c r="J86" s="74">
        <v>1.14917469780044E-2</v>
      </c>
      <c r="K86" s="74">
        <v>1.1868329935424899E-2</v>
      </c>
      <c r="L86" s="74">
        <v>1.25377572482787E-2</v>
      </c>
      <c r="M86" s="74">
        <v>1.3087031372653201E-2</v>
      </c>
      <c r="N86" s="74">
        <v>1.3162771098591E-2</v>
      </c>
      <c r="O86" s="74">
        <v>1.30424992532847E-2</v>
      </c>
      <c r="P86" s="74">
        <v>1.3520698834223299E-2</v>
      </c>
      <c r="Q86" s="74">
        <v>1.49528282686866E-2</v>
      </c>
      <c r="R86" s="74">
        <v>1.8552920670092999E-2</v>
      </c>
      <c r="S86" s="74">
        <v>2.34121894766719E-2</v>
      </c>
      <c r="T86" s="74">
        <v>2.6456513210414201E-2</v>
      </c>
      <c r="U86" s="74">
        <v>2.91952434912147E-2</v>
      </c>
      <c r="V86" s="69"/>
      <c r="W86" s="69"/>
      <c r="X86" s="69"/>
      <c r="Y86" s="69"/>
      <c r="Z86" s="69"/>
      <c r="AA86" s="69"/>
      <c r="AB86" s="69"/>
      <c r="AC86" s="69"/>
      <c r="AD86" s="69"/>
      <c r="AE86" s="69"/>
      <c r="AF86" s="69"/>
      <c r="AG86" s="69"/>
      <c r="AH86" s="69"/>
      <c r="AI86" s="69"/>
      <c r="AJ86" s="69"/>
      <c r="AK86" s="69"/>
      <c r="AL86" s="69"/>
      <c r="AM86" s="69" t="s">
        <v>393</v>
      </c>
      <c r="AN86" s="79" t="s">
        <v>394</v>
      </c>
    </row>
    <row r="87" spans="1:40" ht="15" x14ac:dyDescent="0.3">
      <c r="A87" s="68">
        <v>82</v>
      </c>
      <c r="B87" s="152" t="s">
        <v>474</v>
      </c>
      <c r="C87" s="72">
        <v>2019</v>
      </c>
      <c r="D87" s="73">
        <f t="shared" si="3"/>
        <v>0</v>
      </c>
      <c r="E87" s="74">
        <v>2.8661730607383199E-5</v>
      </c>
      <c r="F87" s="74">
        <v>2.6995863440674301E-5</v>
      </c>
      <c r="G87" s="74">
        <v>2.0715693535204401E-5</v>
      </c>
      <c r="H87" s="74">
        <v>1.8291237525220099E-5</v>
      </c>
      <c r="I87" s="74">
        <v>2.1375065726294E-5</v>
      </c>
      <c r="J87" s="74">
        <v>3.2217064257525597E-5</v>
      </c>
      <c r="K87" s="74">
        <v>6.0366849546648901E-5</v>
      </c>
      <c r="L87" s="74">
        <v>1.2004906557354401E-4</v>
      </c>
      <c r="M87" s="74">
        <v>2.0919950532506399E-4</v>
      </c>
      <c r="N87" s="74">
        <v>3.6828413855202399E-4</v>
      </c>
      <c r="O87" s="74">
        <v>6.1262069862522302E-4</v>
      </c>
      <c r="P87" s="74">
        <v>9.2752857549229298E-4</v>
      </c>
      <c r="Q87" s="74">
        <v>1.2934079489423499E-3</v>
      </c>
      <c r="R87" s="74">
        <v>1.6601796820855999E-3</v>
      </c>
      <c r="S87" s="74">
        <v>2.2578957374354198E-3</v>
      </c>
      <c r="T87" s="74">
        <v>2.51636269803529E-3</v>
      </c>
      <c r="U87" s="74">
        <v>2.0281657676504299E-3</v>
      </c>
      <c r="V87" s="69"/>
      <c r="W87" s="69"/>
      <c r="X87" s="69"/>
      <c r="Y87" s="69"/>
      <c r="Z87" s="69"/>
      <c r="AA87" s="69"/>
      <c r="AB87" s="69"/>
      <c r="AC87" s="69"/>
      <c r="AD87" s="69"/>
      <c r="AE87" s="69"/>
      <c r="AF87" s="69"/>
      <c r="AG87" s="69"/>
      <c r="AH87" s="69"/>
      <c r="AI87" s="69"/>
      <c r="AJ87" s="69"/>
      <c r="AK87" s="69"/>
      <c r="AL87" s="69"/>
      <c r="AM87" s="69" t="s">
        <v>393</v>
      </c>
      <c r="AN87" s="79" t="s">
        <v>394</v>
      </c>
    </row>
    <row r="88" spans="1:40" ht="15" x14ac:dyDescent="0.3">
      <c r="A88" s="68">
        <v>83</v>
      </c>
      <c r="B88" s="152" t="s">
        <v>475</v>
      </c>
      <c r="C88" s="72">
        <v>2019</v>
      </c>
      <c r="D88" s="73">
        <f t="shared" si="3"/>
        <v>0</v>
      </c>
      <c r="E88" s="74">
        <v>5.2993047551551202E-3</v>
      </c>
      <c r="F88" s="74">
        <v>6.7581931402496496E-3</v>
      </c>
      <c r="G88" s="74">
        <v>9.3096168171906794E-3</v>
      </c>
      <c r="H88" s="74">
        <v>2.0002074379283401E-2</v>
      </c>
      <c r="I88" s="74">
        <v>9.7760825748704094E-2</v>
      </c>
      <c r="J88" s="74">
        <v>9.5508955484428004E-2</v>
      </c>
      <c r="K88" s="74">
        <v>9.4923411762355997E-2</v>
      </c>
      <c r="L88" s="74">
        <v>9.7412352518765302E-2</v>
      </c>
      <c r="M88" s="74">
        <v>9.8623896029636005E-2</v>
      </c>
      <c r="N88" s="74">
        <v>9.9205613307929402E-2</v>
      </c>
      <c r="O88" s="74">
        <v>9.8980903894115693E-2</v>
      </c>
      <c r="P88" s="74">
        <v>9.8726546372960605E-2</v>
      </c>
      <c r="Q88" s="74">
        <v>9.9142161732037895E-2</v>
      </c>
      <c r="R88" s="74">
        <v>0.100302731300224</v>
      </c>
      <c r="S88" s="74">
        <v>0.10132217319454299</v>
      </c>
      <c r="T88" s="74">
        <v>0.101953583927127</v>
      </c>
      <c r="U88" s="74">
        <v>9.6883018292807599E-2</v>
      </c>
      <c r="V88" s="69"/>
      <c r="W88" s="69"/>
      <c r="X88" s="69"/>
      <c r="Y88" s="69"/>
      <c r="Z88" s="69"/>
      <c r="AA88" s="69"/>
      <c r="AB88" s="69"/>
      <c r="AC88" s="69"/>
      <c r="AD88" s="69"/>
      <c r="AE88" s="69"/>
      <c r="AF88" s="69"/>
      <c r="AG88" s="69"/>
      <c r="AH88" s="69"/>
      <c r="AI88" s="69"/>
      <c r="AJ88" s="69"/>
      <c r="AK88" s="69"/>
      <c r="AL88" s="69"/>
      <c r="AM88" s="69" t="s">
        <v>393</v>
      </c>
      <c r="AN88" s="79" t="s">
        <v>394</v>
      </c>
    </row>
    <row r="89" spans="1:40" ht="15" x14ac:dyDescent="0.3">
      <c r="A89" s="68">
        <v>84</v>
      </c>
      <c r="B89" s="152" t="s">
        <v>476</v>
      </c>
      <c r="C89" s="72">
        <v>2019</v>
      </c>
      <c r="D89" s="73">
        <f t="shared" si="3"/>
        <v>0</v>
      </c>
      <c r="E89" s="74">
        <v>6.13615770842354E-3</v>
      </c>
      <c r="F89" s="74">
        <v>1.1715876832415E-2</v>
      </c>
      <c r="G89" s="74">
        <v>1.3303902997708301E-2</v>
      </c>
      <c r="H89" s="74">
        <v>1.33116990725191E-2</v>
      </c>
      <c r="I89" s="74">
        <v>1.3320961770041001E-2</v>
      </c>
      <c r="J89" s="74">
        <v>1.36064817028801E-2</v>
      </c>
      <c r="K89" s="74">
        <v>1.39484701687537E-2</v>
      </c>
      <c r="L89" s="74">
        <v>1.42036937089459E-2</v>
      </c>
      <c r="M89" s="74">
        <v>1.4442048519804599E-2</v>
      </c>
      <c r="N89" s="74">
        <v>1.45934550374523E-2</v>
      </c>
      <c r="O89" s="74">
        <v>1.4924338631736899E-2</v>
      </c>
      <c r="P89" s="74">
        <v>1.52257130501909E-2</v>
      </c>
      <c r="Q89" s="74">
        <v>1.54152799288668E-2</v>
      </c>
      <c r="R89" s="74">
        <v>1.55381082047014E-2</v>
      </c>
      <c r="S89" s="74">
        <v>1.55752755394667E-2</v>
      </c>
      <c r="T89" s="74">
        <v>1.5777422236644599E-2</v>
      </c>
      <c r="U89" s="74">
        <v>1.6365673946297898E-2</v>
      </c>
      <c r="V89" s="69"/>
      <c r="W89" s="69"/>
      <c r="X89" s="69"/>
      <c r="Y89" s="69"/>
      <c r="Z89" s="69"/>
      <c r="AA89" s="69"/>
      <c r="AB89" s="69"/>
      <c r="AC89" s="69"/>
      <c r="AD89" s="69"/>
      <c r="AE89" s="69"/>
      <c r="AF89" s="69"/>
      <c r="AG89" s="69"/>
      <c r="AH89" s="69"/>
      <c r="AI89" s="69"/>
      <c r="AJ89" s="69"/>
      <c r="AK89" s="69"/>
      <c r="AL89" s="69"/>
      <c r="AM89" s="69" t="s">
        <v>393</v>
      </c>
      <c r="AN89" s="79" t="s">
        <v>394</v>
      </c>
    </row>
    <row r="90" spans="1:40" ht="15" x14ac:dyDescent="0.3">
      <c r="A90" s="68">
        <v>85</v>
      </c>
      <c r="B90" s="152" t="s">
        <v>477</v>
      </c>
      <c r="C90" s="72">
        <v>2019</v>
      </c>
      <c r="D90" s="73">
        <f t="shared" si="3"/>
        <v>0</v>
      </c>
      <c r="E90" s="74">
        <v>0</v>
      </c>
      <c r="F90" s="74">
        <v>0</v>
      </c>
      <c r="G90" s="74">
        <v>0</v>
      </c>
      <c r="H90" s="74">
        <v>1.43560788739939E-6</v>
      </c>
      <c r="I90" s="74">
        <v>2.9859572033150899E-5</v>
      </c>
      <c r="J90" s="74">
        <v>9.3805070360018905E-5</v>
      </c>
      <c r="K90" s="74">
        <v>3.0498295670396499E-4</v>
      </c>
      <c r="L90" s="74">
        <v>8.1400682563914997E-4</v>
      </c>
      <c r="M90" s="74">
        <v>1.64669453805717E-3</v>
      </c>
      <c r="N90" s="74">
        <v>2.70998256091907E-3</v>
      </c>
      <c r="O90" s="74">
        <v>3.6259997331204502E-3</v>
      </c>
      <c r="P90" s="74">
        <v>4.3475233929617498E-3</v>
      </c>
      <c r="Q90" s="74">
        <v>4.4985349151272702E-3</v>
      </c>
      <c r="R90" s="74">
        <v>3.9871104054164204E-3</v>
      </c>
      <c r="S90" s="74">
        <v>3.38976844855603E-3</v>
      </c>
      <c r="T90" s="74">
        <v>2.7616400081923102E-3</v>
      </c>
      <c r="U90" s="74">
        <v>1.8029905560080499E-3</v>
      </c>
      <c r="V90" s="69"/>
      <c r="W90" s="69"/>
      <c r="X90" s="69"/>
      <c r="Y90" s="69"/>
      <c r="Z90" s="69"/>
      <c r="AA90" s="69"/>
      <c r="AB90" s="69"/>
      <c r="AC90" s="69"/>
      <c r="AD90" s="69"/>
      <c r="AE90" s="69"/>
      <c r="AF90" s="69"/>
      <c r="AG90" s="69"/>
      <c r="AH90" s="69"/>
      <c r="AI90" s="69"/>
      <c r="AJ90" s="69"/>
      <c r="AK90" s="69"/>
      <c r="AL90" s="69"/>
      <c r="AM90" s="69" t="s">
        <v>393</v>
      </c>
      <c r="AN90" s="79" t="s">
        <v>394</v>
      </c>
    </row>
    <row r="91" spans="1:40" ht="15" x14ac:dyDescent="0.3">
      <c r="A91" s="68">
        <v>86</v>
      </c>
      <c r="B91" s="152" t="s">
        <v>478</v>
      </c>
      <c r="C91" s="72">
        <v>2019</v>
      </c>
      <c r="D91" s="73">
        <f t="shared" si="3"/>
        <v>0</v>
      </c>
      <c r="E91" s="74">
        <v>2.2019778049103299E-4</v>
      </c>
      <c r="F91" s="74">
        <v>3.7675538091031901E-4</v>
      </c>
      <c r="G91" s="74">
        <v>4.4398365823407598E-4</v>
      </c>
      <c r="H91" s="74">
        <v>5.3856553336155703E-4</v>
      </c>
      <c r="I91" s="74">
        <v>5.8062462144752405E-4</v>
      </c>
      <c r="J91" s="74">
        <v>5.9974558958036104E-4</v>
      </c>
      <c r="K91" s="74">
        <v>6.3888009566828296E-4</v>
      </c>
      <c r="L91" s="74">
        <v>7.2477546505771899E-4</v>
      </c>
      <c r="M91" s="74">
        <v>9.6932924978771905E-4</v>
      </c>
      <c r="N91" s="74">
        <v>1.37739021739442E-3</v>
      </c>
      <c r="O91" s="74">
        <v>1.7959038339121301E-3</v>
      </c>
      <c r="P91" s="74">
        <v>2.2225482410412598E-3</v>
      </c>
      <c r="Q91" s="74">
        <v>2.63137605328964E-3</v>
      </c>
      <c r="R91" s="74">
        <v>3.01409669762784E-3</v>
      </c>
      <c r="S91" s="74">
        <v>3.2579360689855099E-3</v>
      </c>
      <c r="T91" s="74">
        <v>3.3380816327543599E-3</v>
      </c>
      <c r="U91" s="74">
        <v>2.7577970342252201E-3</v>
      </c>
      <c r="V91" s="69"/>
      <c r="W91" s="69"/>
      <c r="X91" s="69"/>
      <c r="Y91" s="69"/>
      <c r="Z91" s="69"/>
      <c r="AA91" s="69"/>
      <c r="AB91" s="69"/>
      <c r="AC91" s="69"/>
      <c r="AD91" s="69"/>
      <c r="AE91" s="69"/>
      <c r="AF91" s="69"/>
      <c r="AG91" s="69"/>
      <c r="AH91" s="69"/>
      <c r="AI91" s="69"/>
      <c r="AJ91" s="69"/>
      <c r="AK91" s="69"/>
      <c r="AL91" s="69"/>
      <c r="AM91" s="69" t="s">
        <v>393</v>
      </c>
      <c r="AN91" s="79" t="s">
        <v>394</v>
      </c>
    </row>
    <row r="92" spans="1:40" s="154" customFormat="1" ht="15.5" x14ac:dyDescent="0.3">
      <c r="A92" s="68">
        <v>87</v>
      </c>
      <c r="B92" s="133" t="s">
        <v>769</v>
      </c>
      <c r="C92" s="72">
        <v>2019</v>
      </c>
      <c r="E92" s="155">
        <f>E66*(1-50.4%)</f>
        <v>2.9738552059169611E-5</v>
      </c>
      <c r="F92" s="155">
        <f t="shared" ref="F92:U92" si="4">F66*(1-50.4%)</f>
        <v>1.9488592700916916E-4</v>
      </c>
      <c r="G92" s="155">
        <f t="shared" si="4"/>
        <v>3.9377113600731311E-4</v>
      </c>
      <c r="H92" s="155">
        <f t="shared" si="4"/>
        <v>5.0829137257111731E-4</v>
      </c>
      <c r="I92" s="155">
        <f t="shared" si="4"/>
        <v>5.9858237562342056E-4</v>
      </c>
      <c r="J92" s="155">
        <f t="shared" si="4"/>
        <v>6.897165581108692E-4</v>
      </c>
      <c r="K92" s="155">
        <f t="shared" si="4"/>
        <v>7.4514947483781551E-4</v>
      </c>
      <c r="L92" s="155">
        <f t="shared" si="4"/>
        <v>7.863587016775466E-4</v>
      </c>
      <c r="M92" s="155">
        <f t="shared" si="4"/>
        <v>8.1950267983653304E-4</v>
      </c>
      <c r="N92" s="155">
        <f t="shared" si="4"/>
        <v>8.4571447843929514E-4</v>
      </c>
      <c r="O92" s="155">
        <f t="shared" si="4"/>
        <v>8.6366586232098784E-4</v>
      </c>
      <c r="P92" s="155">
        <f t="shared" si="4"/>
        <v>8.8198702491069556E-4</v>
      </c>
      <c r="Q92" s="155">
        <f t="shared" si="4"/>
        <v>8.967658537232336E-4</v>
      </c>
      <c r="R92" s="155">
        <f t="shared" si="4"/>
        <v>9.0423436049856423E-4</v>
      </c>
      <c r="S92" s="155">
        <f t="shared" si="4"/>
        <v>9.1229953945862717E-4</v>
      </c>
      <c r="T92" s="155">
        <f t="shared" si="4"/>
        <v>9.1125409097621074E-4</v>
      </c>
      <c r="U92" s="155">
        <f t="shared" si="4"/>
        <v>8.7671556476850575E-4</v>
      </c>
      <c r="AN92" s="156"/>
    </row>
    <row r="93" spans="1:40" s="154" customFormat="1" ht="15.5" x14ac:dyDescent="0.3">
      <c r="A93" s="68">
        <v>88</v>
      </c>
      <c r="B93" s="133" t="s">
        <v>770</v>
      </c>
      <c r="C93" s="72">
        <v>2019</v>
      </c>
      <c r="E93" s="155">
        <f>E67*(1-75.5%)</f>
        <v>0</v>
      </c>
      <c r="F93" s="155">
        <f t="shared" ref="F93:U93" si="5">F67*(1-75.5%)</f>
        <v>0</v>
      </c>
      <c r="G93" s="155">
        <f t="shared" si="5"/>
        <v>0</v>
      </c>
      <c r="H93" s="155">
        <f t="shared" si="5"/>
        <v>4.5579783987087627E-4</v>
      </c>
      <c r="I93" s="155">
        <f t="shared" si="5"/>
        <v>2.3134556334213278E-3</v>
      </c>
      <c r="J93" s="155">
        <f t="shared" si="5"/>
        <v>4.8732324331083651E-3</v>
      </c>
      <c r="K93" s="155">
        <f t="shared" si="5"/>
        <v>7.4548719517209278E-3</v>
      </c>
      <c r="L93" s="155">
        <f t="shared" si="5"/>
        <v>1.0712073432450991E-2</v>
      </c>
      <c r="M93" s="155">
        <f t="shared" si="5"/>
        <v>1.4644527487683148E-2</v>
      </c>
      <c r="N93" s="155">
        <f t="shared" si="5"/>
        <v>1.9365180011914042E-2</v>
      </c>
      <c r="O93" s="155">
        <f t="shared" si="5"/>
        <v>2.4480363783135679E-2</v>
      </c>
      <c r="P93" s="155">
        <f t="shared" si="5"/>
        <v>2.9290491324562788E-2</v>
      </c>
      <c r="Q93" s="155">
        <f t="shared" si="5"/>
        <v>3.3509766799626146E-2</v>
      </c>
      <c r="R93" s="155">
        <f t="shared" si="5"/>
        <v>3.7365065159776237E-2</v>
      </c>
      <c r="S93" s="155">
        <f t="shared" si="5"/>
        <v>4.0577454756398595E-2</v>
      </c>
      <c r="T93" s="155">
        <f t="shared" si="5"/>
        <v>4.2412612065881893E-2</v>
      </c>
      <c r="U93" s="155">
        <f t="shared" si="5"/>
        <v>4.1082149063983338E-2</v>
      </c>
      <c r="AN93" s="156"/>
    </row>
    <row r="94" spans="1:40" s="117" customFormat="1" ht="15.5" x14ac:dyDescent="0.3">
      <c r="A94" s="68">
        <v>89</v>
      </c>
      <c r="B94" s="133" t="s">
        <v>778</v>
      </c>
      <c r="C94" s="72">
        <v>2019</v>
      </c>
      <c r="D94" s="73">
        <f t="shared" ref="D94" si="6">SUM(Y94+Z94+AA94+AB94+AC94+AD94+AE94+AF94+AG94+AH94+AI94+AJ94)</f>
        <v>0</v>
      </c>
      <c r="E94" s="74">
        <f>E34*7.2%</f>
        <v>0</v>
      </c>
      <c r="F94" s="74">
        <f t="shared" ref="F94:U94" si="7">F34*7.2%</f>
        <v>0</v>
      </c>
      <c r="G94" s="74">
        <f t="shared" si="7"/>
        <v>0</v>
      </c>
      <c r="H94" s="74">
        <f>H34*7.2%</f>
        <v>1.9536067087212746E-5</v>
      </c>
      <c r="I94" s="74">
        <f t="shared" si="7"/>
        <v>3.0194225513589603E-5</v>
      </c>
      <c r="J94" s="74">
        <f t="shared" si="7"/>
        <v>5.0356707077796057E-5</v>
      </c>
      <c r="K94" s="74">
        <f t="shared" si="7"/>
        <v>7.7332413759936494E-5</v>
      </c>
      <c r="L94" s="74">
        <f t="shared" si="7"/>
        <v>1.0718686278883873E-4</v>
      </c>
      <c r="M94" s="74">
        <f t="shared" si="7"/>
        <v>1.4083041977624736E-4</v>
      </c>
      <c r="N94" s="74">
        <f t="shared" si="7"/>
        <v>1.8075309575086584E-4</v>
      </c>
      <c r="O94" s="74">
        <f t="shared" si="7"/>
        <v>2.4273692645857057E-4</v>
      </c>
      <c r="P94" s="74">
        <f t="shared" si="7"/>
        <v>3.3600056800938267E-4</v>
      </c>
      <c r="Q94" s="74">
        <f t="shared" si="7"/>
        <v>4.6659215977272938E-4</v>
      </c>
      <c r="R94" s="74">
        <f t="shared" si="7"/>
        <v>6.8752237177213574E-4</v>
      </c>
      <c r="S94" s="74">
        <f t="shared" si="7"/>
        <v>1.0924237010666233E-3</v>
      </c>
      <c r="T94" s="74">
        <f t="shared" si="7"/>
        <v>1.7221330988077682E-3</v>
      </c>
      <c r="U94" s="74">
        <f t="shared" si="7"/>
        <v>2.8318976113031425E-3</v>
      </c>
      <c r="AM94" s="72" t="s">
        <v>774</v>
      </c>
    </row>
    <row r="95" spans="1:40" ht="15" x14ac:dyDescent="0.3">
      <c r="A95" s="68">
        <v>90</v>
      </c>
      <c r="B95" s="133" t="s">
        <v>780</v>
      </c>
      <c r="C95" s="72">
        <v>2019</v>
      </c>
      <c r="D95" s="73">
        <f t="shared" ref="D95" si="8">SUM(Y95+Z95+AA95+AB95+AC95+AD95+AE95+AF95+AG95+AH95+AI95+AJ95)</f>
        <v>0</v>
      </c>
      <c r="E95" s="74">
        <f>E40*7.2%</f>
        <v>0</v>
      </c>
      <c r="F95" s="74">
        <f t="shared" ref="F95:U95" si="9">F40*7.2%</f>
        <v>0</v>
      </c>
      <c r="G95" s="74">
        <f t="shared" si="9"/>
        <v>0</v>
      </c>
      <c r="H95" s="74">
        <f t="shared" si="9"/>
        <v>1.9100700941391794E-7</v>
      </c>
      <c r="I95" s="74">
        <f t="shared" si="9"/>
        <v>2.2097912321503517E-6</v>
      </c>
      <c r="J95" s="74">
        <f t="shared" si="9"/>
        <v>7.2927024557650569E-6</v>
      </c>
      <c r="K95" s="74">
        <f t="shared" si="9"/>
        <v>1.3722079177861489E-5</v>
      </c>
      <c r="L95" s="74">
        <f t="shared" si="9"/>
        <v>2.5798722882045265E-5</v>
      </c>
      <c r="M95" s="74">
        <f t="shared" si="9"/>
        <v>5.667903695883457E-5</v>
      </c>
      <c r="N95" s="74">
        <f t="shared" si="9"/>
        <v>1.3936393916380371E-4</v>
      </c>
      <c r="O95" s="74">
        <f t="shared" si="9"/>
        <v>2.49094653723031E-4</v>
      </c>
      <c r="P95" s="74">
        <f t="shared" si="9"/>
        <v>3.3478057329804724E-4</v>
      </c>
      <c r="Q95" s="74">
        <f t="shared" si="9"/>
        <v>5.5305253221223755E-4</v>
      </c>
      <c r="R95" s="74">
        <f t="shared" si="9"/>
        <v>1.2761136224260776E-3</v>
      </c>
      <c r="S95" s="74">
        <f t="shared" si="9"/>
        <v>2.1874908299019053E-3</v>
      </c>
      <c r="T95" s="74">
        <f t="shared" si="9"/>
        <v>2.9376306794954236E-3</v>
      </c>
      <c r="U95" s="74">
        <f t="shared" si="9"/>
        <v>5.0684113426906451E-3</v>
      </c>
    </row>
    <row r="97" spans="1:1" ht="15" x14ac:dyDescent="0.3">
      <c r="A97" s="82" t="s">
        <v>479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CBD27-762B-4D82-A318-5CE03CAF7670}">
  <dimension ref="A1:AN11"/>
  <sheetViews>
    <sheetView workbookViewId="0">
      <selection activeCell="E2" sqref="E2:U2"/>
    </sheetView>
  </sheetViews>
  <sheetFormatPr defaultRowHeight="14" x14ac:dyDescent="0.3"/>
  <cols>
    <col min="2" max="2" width="45.5" bestFit="1" customWidth="1"/>
    <col min="4" max="4" width="12.25" customWidth="1"/>
  </cols>
  <sheetData>
    <row r="1" spans="1:40" s="59" customFormat="1" ht="15" x14ac:dyDescent="0.3">
      <c r="A1" s="63" t="s">
        <v>354</v>
      </c>
      <c r="B1" s="64" t="s">
        <v>355</v>
      </c>
      <c r="C1" s="65" t="s">
        <v>356</v>
      </c>
      <c r="D1" s="66" t="s">
        <v>357</v>
      </c>
      <c r="E1" s="67" t="s">
        <v>358</v>
      </c>
      <c r="F1" s="67" t="s">
        <v>359</v>
      </c>
      <c r="G1" s="67" t="s">
        <v>360</v>
      </c>
      <c r="H1" s="67" t="s">
        <v>361</v>
      </c>
      <c r="I1" s="67" t="s">
        <v>362</v>
      </c>
      <c r="J1" s="67" t="s">
        <v>363</v>
      </c>
      <c r="K1" s="67" t="s">
        <v>364</v>
      </c>
      <c r="L1" s="67" t="s">
        <v>365</v>
      </c>
      <c r="M1" s="67" t="s">
        <v>366</v>
      </c>
      <c r="N1" s="67" t="s">
        <v>367</v>
      </c>
      <c r="O1" s="67" t="s">
        <v>368</v>
      </c>
      <c r="P1" s="67" t="s">
        <v>369</v>
      </c>
      <c r="Q1" s="67" t="s">
        <v>370</v>
      </c>
      <c r="R1" s="67" t="s">
        <v>371</v>
      </c>
      <c r="S1" s="67" t="s">
        <v>372</v>
      </c>
      <c r="T1" s="67" t="s">
        <v>373</v>
      </c>
      <c r="U1" s="67" t="s">
        <v>638</v>
      </c>
      <c r="V1" s="76" t="s">
        <v>374</v>
      </c>
      <c r="W1" s="76" t="s">
        <v>375</v>
      </c>
      <c r="X1" s="76" t="s">
        <v>376</v>
      </c>
      <c r="Y1" s="76" t="s">
        <v>377</v>
      </c>
      <c r="Z1" s="76" t="s">
        <v>378</v>
      </c>
      <c r="AA1" s="76" t="s">
        <v>379</v>
      </c>
      <c r="AB1" s="76" t="s">
        <v>380</v>
      </c>
      <c r="AC1" s="76" t="s">
        <v>381</v>
      </c>
      <c r="AD1" s="76" t="s">
        <v>382</v>
      </c>
      <c r="AE1" s="76" t="s">
        <v>383</v>
      </c>
      <c r="AF1" s="76" t="s">
        <v>384</v>
      </c>
      <c r="AG1" s="76" t="s">
        <v>385</v>
      </c>
      <c r="AH1" s="76" t="s">
        <v>386</v>
      </c>
      <c r="AI1" s="76" t="s">
        <v>387</v>
      </c>
      <c r="AJ1" s="76" t="s">
        <v>388</v>
      </c>
      <c r="AK1" s="76" t="s">
        <v>389</v>
      </c>
      <c r="AL1" s="76" t="s">
        <v>390</v>
      </c>
      <c r="AM1" s="77" t="s">
        <v>4</v>
      </c>
      <c r="AN1" s="78" t="s">
        <v>67</v>
      </c>
    </row>
    <row r="2" spans="1:40" s="59" customFormat="1" ht="15" x14ac:dyDescent="0.3">
      <c r="A2" s="68">
        <v>1</v>
      </c>
      <c r="B2" s="79" t="s">
        <v>775</v>
      </c>
      <c r="C2" s="69"/>
      <c r="D2" s="70">
        <f>SUM(V2:AL2)</f>
        <v>5593405.7454702491</v>
      </c>
      <c r="E2" s="71">
        <f>23.8%/34.9%*(1-(1-E7)*(1-E8)*(1-E9)*(1-E10)*(1-E11))</f>
        <v>1.8162782564640032E-3</v>
      </c>
      <c r="F2" s="71">
        <f t="shared" ref="F2:U2" si="0">23.8%/34.9%*(1-(1-F7)*(1-F8)*(1-F9)*(1-F10)*(1-F11))</f>
        <v>2.0552096731524003E-3</v>
      </c>
      <c r="G2" s="71">
        <f t="shared" si="0"/>
        <v>2.1938900316783704E-3</v>
      </c>
      <c r="H2" s="71">
        <f t="shared" si="0"/>
        <v>3.2342948396884767E-3</v>
      </c>
      <c r="I2" s="71">
        <f t="shared" si="0"/>
        <v>7.1305079312044047E-3</v>
      </c>
      <c r="J2" s="71">
        <f t="shared" si="0"/>
        <v>1.2609921160807966E-2</v>
      </c>
      <c r="K2" s="71">
        <f t="shared" si="0"/>
        <v>1.8197946422085609E-2</v>
      </c>
      <c r="L2" s="71">
        <f t="shared" si="0"/>
        <v>2.5318790034931336E-2</v>
      </c>
      <c r="M2" s="71">
        <f t="shared" si="0"/>
        <v>3.4075430519479061E-2</v>
      </c>
      <c r="N2" s="71">
        <f t="shared" si="0"/>
        <v>4.4963054900339389E-2</v>
      </c>
      <c r="O2" s="71">
        <f t="shared" si="0"/>
        <v>5.7068586849956526E-2</v>
      </c>
      <c r="P2" s="71">
        <f t="shared" si="0"/>
        <v>6.8672364751432055E-2</v>
      </c>
      <c r="Q2" s="71">
        <f t="shared" si="0"/>
        <v>8.0446556798404706E-2</v>
      </c>
      <c r="R2" s="71">
        <f t="shared" si="0"/>
        <v>9.5960408400567215E-2</v>
      </c>
      <c r="S2" s="71">
        <f t="shared" si="0"/>
        <v>0.11270844281924702</v>
      </c>
      <c r="T2" s="71">
        <f t="shared" si="0"/>
        <v>0.12683031455573759</v>
      </c>
      <c r="U2" s="71">
        <f t="shared" si="0"/>
        <v>0.14832312505448111</v>
      </c>
      <c r="V2" s="70">
        <f>E2*'Population size in China'!D6</f>
        <v>14605.205743837849</v>
      </c>
      <c r="W2" s="70">
        <f>F2*'Population size in China'!D7</f>
        <v>15994.010560259469</v>
      </c>
      <c r="X2" s="70">
        <f>G2*'Population size in China'!D8</f>
        <v>16832.199366123128</v>
      </c>
      <c r="Y2" s="70">
        <f>H2*'Population size in China'!D9</f>
        <v>23146.770069370534</v>
      </c>
      <c r="Z2" s="70">
        <f>I2*'Population size in China'!D10</f>
        <v>56238.681720482535</v>
      </c>
      <c r="AA2" s="70">
        <f>J2*'Population size in China'!D11</f>
        <v>132147.12379559025</v>
      </c>
      <c r="AB2" s="70">
        <f>K2*'Population size in China'!D12</f>
        <v>219240.92605510345</v>
      </c>
      <c r="AC2" s="70">
        <f>L2*'Population size in China'!D13</f>
        <v>252223.83872875254</v>
      </c>
      <c r="AD2" s="70">
        <f>M2*'Population size in China'!D14</f>
        <v>336577.88063368527</v>
      </c>
      <c r="AE2" s="70">
        <f>N2*'Population size in China'!D15</f>
        <v>551206.70161863498</v>
      </c>
      <c r="AF2" s="70">
        <f>O2*'Population size in China'!D16</f>
        <v>681347.71159002581</v>
      </c>
      <c r="AG2" s="70">
        <f>P2*'Population size in China'!D17</f>
        <v>652105.73236013716</v>
      </c>
      <c r="AH2" s="70">
        <f>Q2*'Population size in China'!D18</f>
        <v>626162.99440317263</v>
      </c>
      <c r="AI2" s="70">
        <f>R2*'Population size in China'!D19</f>
        <v>677701.93040431361</v>
      </c>
      <c r="AJ2" s="70">
        <f>S2*'Population size in China'!D20</f>
        <v>515352.12989082636</v>
      </c>
      <c r="AK2" s="70">
        <f>T2*'Population size in China'!D21</f>
        <v>367645.3092442599</v>
      </c>
      <c r="AL2" s="70">
        <f>U2*'Population size in China'!D5</f>
        <v>454876.59928567219</v>
      </c>
      <c r="AM2" s="79" t="s">
        <v>391</v>
      </c>
      <c r="AN2" s="80"/>
    </row>
    <row r="3" spans="1:40" s="59" customFormat="1" ht="15" x14ac:dyDescent="0.3">
      <c r="A3" s="68"/>
      <c r="B3" s="69" t="s">
        <v>453</v>
      </c>
      <c r="C3" s="72">
        <v>2019</v>
      </c>
      <c r="D3" s="73">
        <f t="shared" ref="D3:D9" si="1">SUM(Y3+Z3+AA3+AB3+AC3+AD3+AE3+AF3+AG3+AH3+AI3+AJ3)</f>
        <v>0</v>
      </c>
      <c r="E3" s="74">
        <v>5.99567581838097E-5</v>
      </c>
      <c r="F3" s="74">
        <v>3.9291517542171202E-4</v>
      </c>
      <c r="G3" s="74">
        <v>7.9389341936958295E-4</v>
      </c>
      <c r="H3" s="74">
        <v>1.0247809930869301E-3</v>
      </c>
      <c r="I3" s="74">
        <v>1.2068193056923801E-3</v>
      </c>
      <c r="J3" s="74">
        <v>1.3905575768364299E-3</v>
      </c>
      <c r="K3" s="74">
        <v>1.5023174895923701E-3</v>
      </c>
      <c r="L3" s="74">
        <v>1.58540060822086E-3</v>
      </c>
      <c r="M3" s="74">
        <v>1.6522231448317199E-3</v>
      </c>
      <c r="N3" s="74">
        <v>1.70506951298245E-3</v>
      </c>
      <c r="O3" s="74">
        <v>1.74126181919554E-3</v>
      </c>
      <c r="P3" s="74">
        <v>1.77819964699737E-3</v>
      </c>
      <c r="Q3" s="74">
        <v>1.8079956728290999E-3</v>
      </c>
      <c r="R3" s="74">
        <v>1.8230531461664601E-3</v>
      </c>
      <c r="S3" s="74">
        <v>1.8393135876181999E-3</v>
      </c>
      <c r="T3" s="74">
        <v>1.83720582858107E-3</v>
      </c>
      <c r="U3" s="74">
        <v>1.76757170316231E-3</v>
      </c>
      <c r="V3" s="69"/>
      <c r="W3" s="69"/>
      <c r="X3" s="69"/>
      <c r="Y3" s="69"/>
      <c r="Z3" s="69"/>
      <c r="AA3" s="69"/>
      <c r="AB3" s="69"/>
      <c r="AC3" s="69"/>
      <c r="AD3" s="69"/>
      <c r="AE3" s="69"/>
      <c r="AF3" s="69"/>
      <c r="AG3" s="69"/>
      <c r="AH3" s="69"/>
      <c r="AI3" s="69"/>
      <c r="AJ3" s="69"/>
      <c r="AK3" s="69"/>
      <c r="AL3" s="69"/>
      <c r="AM3" s="69" t="s">
        <v>393</v>
      </c>
      <c r="AN3" s="79" t="s">
        <v>394</v>
      </c>
    </row>
    <row r="4" spans="1:40" s="59" customFormat="1" ht="15" x14ac:dyDescent="0.3">
      <c r="A4" s="68"/>
      <c r="B4" s="69" t="s">
        <v>454</v>
      </c>
      <c r="C4" s="72">
        <v>2019</v>
      </c>
      <c r="D4" s="73">
        <f t="shared" si="1"/>
        <v>0</v>
      </c>
      <c r="E4" s="74">
        <v>0</v>
      </c>
      <c r="F4" s="74">
        <v>0</v>
      </c>
      <c r="G4" s="74">
        <v>0</v>
      </c>
      <c r="H4" s="74">
        <v>1.86039934641174E-3</v>
      </c>
      <c r="I4" s="74">
        <v>9.4426760547809303E-3</v>
      </c>
      <c r="J4" s="74">
        <v>1.9890744624932101E-2</v>
      </c>
      <c r="K4" s="74">
        <v>3.0428048782534401E-2</v>
      </c>
      <c r="L4" s="74">
        <v>4.3722748703881598E-2</v>
      </c>
      <c r="M4" s="74">
        <v>5.9773581582380199E-2</v>
      </c>
      <c r="N4" s="74">
        <v>7.9041551069036903E-2</v>
      </c>
      <c r="O4" s="74">
        <v>9.9919852176064E-2</v>
      </c>
      <c r="P4" s="74">
        <v>0.119553025814542</v>
      </c>
      <c r="Q4" s="74">
        <v>0.136774558365821</v>
      </c>
      <c r="R4" s="74">
        <v>0.15251047003990301</v>
      </c>
      <c r="S4" s="74">
        <v>0.165622264311831</v>
      </c>
      <c r="T4" s="74">
        <v>0.17311270230972201</v>
      </c>
      <c r="U4" s="74">
        <v>0.167682241077483</v>
      </c>
      <c r="V4" s="69"/>
      <c r="W4" s="69"/>
      <c r="X4" s="69"/>
      <c r="Y4" s="69"/>
      <c r="Z4" s="69"/>
      <c r="AA4" s="69"/>
      <c r="AB4" s="69"/>
      <c r="AC4" s="69"/>
      <c r="AD4" s="69"/>
      <c r="AE4" s="69"/>
      <c r="AF4" s="69"/>
      <c r="AG4" s="69"/>
      <c r="AH4" s="69"/>
      <c r="AI4" s="69"/>
      <c r="AJ4" s="69"/>
      <c r="AK4" s="69"/>
      <c r="AL4" s="69"/>
      <c r="AM4" s="69" t="s">
        <v>393</v>
      </c>
      <c r="AN4" s="79" t="s">
        <v>394</v>
      </c>
    </row>
    <row r="5" spans="1:40" s="59" customFormat="1" ht="15" x14ac:dyDescent="0.3">
      <c r="A5" s="68"/>
      <c r="B5" s="72" t="s">
        <v>777</v>
      </c>
      <c r="C5" s="72">
        <v>2019</v>
      </c>
      <c r="D5" s="73">
        <v>0</v>
      </c>
      <c r="E5" s="74">
        <v>0</v>
      </c>
      <c r="F5" s="74">
        <v>0</v>
      </c>
      <c r="G5" s="74">
        <v>0</v>
      </c>
      <c r="H5" s="74">
        <v>2.7133426510017697E-4</v>
      </c>
      <c r="I5" s="74">
        <v>4.1936424324430001E-4</v>
      </c>
      <c r="J5" s="74">
        <v>6.9939870941383405E-4</v>
      </c>
      <c r="K5" s="74">
        <v>1.07406130222134E-3</v>
      </c>
      <c r="L5" s="74">
        <v>1.4887064276227599E-3</v>
      </c>
      <c r="M5" s="74">
        <v>1.95597805244788E-3</v>
      </c>
      <c r="N5" s="74">
        <v>2.5104596632064698E-3</v>
      </c>
      <c r="O5" s="74">
        <v>3.3713462008134799E-3</v>
      </c>
      <c r="P5" s="74">
        <v>4.6666745556858697E-3</v>
      </c>
      <c r="Q5" s="74">
        <v>6.4804466635101296E-3</v>
      </c>
      <c r="R5" s="74">
        <v>9.5489218301685504E-3</v>
      </c>
      <c r="S5" s="74">
        <v>1.51725514037031E-2</v>
      </c>
      <c r="T5" s="74">
        <v>2.3918515261218999E-2</v>
      </c>
      <c r="U5" s="74">
        <v>3.93319112680992E-2</v>
      </c>
      <c r="V5" s="69"/>
      <c r="W5" s="69"/>
      <c r="X5" s="69"/>
      <c r="Y5" s="69"/>
      <c r="Z5" s="69"/>
      <c r="AA5" s="69"/>
      <c r="AB5" s="69"/>
      <c r="AC5" s="69"/>
      <c r="AD5" s="69"/>
      <c r="AE5" s="69"/>
      <c r="AF5" s="69"/>
      <c r="AG5" s="69"/>
      <c r="AH5" s="69"/>
      <c r="AI5" s="69"/>
      <c r="AJ5" s="69"/>
      <c r="AK5" s="69"/>
      <c r="AL5" s="69"/>
      <c r="AM5" s="69" t="s">
        <v>393</v>
      </c>
      <c r="AN5" s="79" t="s">
        <v>394</v>
      </c>
    </row>
    <row r="6" spans="1:40" s="59" customFormat="1" ht="15" x14ac:dyDescent="0.3">
      <c r="A6" s="68"/>
      <c r="B6" s="72" t="s">
        <v>779</v>
      </c>
      <c r="C6" s="72">
        <v>2019</v>
      </c>
      <c r="D6" s="73">
        <v>0</v>
      </c>
      <c r="E6" s="74">
        <v>0</v>
      </c>
      <c r="F6" s="74">
        <v>0</v>
      </c>
      <c r="G6" s="74">
        <v>0</v>
      </c>
      <c r="H6" s="74">
        <v>2.65287513074886E-6</v>
      </c>
      <c r="I6" s="74">
        <v>3.0691544890977101E-5</v>
      </c>
      <c r="J6" s="74">
        <v>1.01287534107848E-4</v>
      </c>
      <c r="K6" s="74">
        <v>1.9058443302585399E-4</v>
      </c>
      <c r="L6" s="74">
        <v>3.5831559558396198E-4</v>
      </c>
      <c r="M6" s="74">
        <v>7.8720884665048005E-4</v>
      </c>
      <c r="N6" s="74">
        <v>1.93561026616394E-3</v>
      </c>
      <c r="O6" s="74">
        <v>3.4596479683754299E-3</v>
      </c>
      <c r="P6" s="74">
        <v>4.6497301846950998E-3</v>
      </c>
      <c r="Q6" s="74">
        <v>7.6812851696144097E-3</v>
      </c>
      <c r="R6" s="74">
        <v>1.77238003114733E-2</v>
      </c>
      <c r="S6" s="74">
        <v>3.0381817081970901E-2</v>
      </c>
      <c r="T6" s="74">
        <v>4.0800426104103102E-2</v>
      </c>
      <c r="U6" s="74">
        <v>7.0394601981814506E-2</v>
      </c>
      <c r="V6" s="69"/>
      <c r="W6" s="69"/>
      <c r="X6" s="69"/>
      <c r="Y6" s="69"/>
      <c r="Z6" s="69"/>
      <c r="AA6" s="69"/>
      <c r="AB6" s="69"/>
      <c r="AC6" s="69"/>
      <c r="AD6" s="69"/>
      <c r="AE6" s="69"/>
      <c r="AF6" s="69"/>
      <c r="AG6" s="69"/>
      <c r="AH6" s="69"/>
      <c r="AI6" s="69"/>
      <c r="AJ6" s="69"/>
      <c r="AK6" s="69"/>
      <c r="AL6" s="69"/>
      <c r="AM6" s="69" t="s">
        <v>393</v>
      </c>
      <c r="AN6" s="79" t="s">
        <v>394</v>
      </c>
    </row>
    <row r="7" spans="1:40" ht="15" x14ac:dyDescent="0.3">
      <c r="A7" s="68">
        <v>2</v>
      </c>
      <c r="B7" s="69" t="s">
        <v>771</v>
      </c>
      <c r="C7" s="72">
        <v>2019</v>
      </c>
      <c r="D7" s="73">
        <f t="shared" si="1"/>
        <v>0</v>
      </c>
      <c r="E7" s="74">
        <v>2.6332273800140698E-3</v>
      </c>
      <c r="F7" s="74">
        <v>2.8162602851345198E-3</v>
      </c>
      <c r="G7" s="74">
        <v>2.81809614447384E-3</v>
      </c>
      <c r="H7" s="74">
        <v>2.5741862596950901E-3</v>
      </c>
      <c r="I7" s="74">
        <v>2.3275123219168698E-3</v>
      </c>
      <c r="J7" s="74">
        <v>2.0861802279005101E-3</v>
      </c>
      <c r="K7" s="74">
        <v>1.87325009902924E-3</v>
      </c>
      <c r="L7" s="74">
        <v>1.7501291950714701E-3</v>
      </c>
      <c r="M7" s="74">
        <v>1.69816343817152E-3</v>
      </c>
      <c r="N7" s="74">
        <v>1.6847352975379701E-3</v>
      </c>
      <c r="O7" s="74">
        <v>1.7291728683612099E-3</v>
      </c>
      <c r="P7" s="74">
        <v>1.9766987903073298E-3</v>
      </c>
      <c r="Q7" s="74">
        <v>2.4293619878436499E-3</v>
      </c>
      <c r="R7" s="74">
        <v>2.9139037855526601E-3</v>
      </c>
      <c r="S7" s="74">
        <v>3.3566189071424601E-3</v>
      </c>
      <c r="T7" s="74">
        <v>3.7280464674539402E-3</v>
      </c>
      <c r="U7" s="74">
        <v>4.2575565010477302E-3</v>
      </c>
    </row>
    <row r="8" spans="1:40" ht="15" x14ac:dyDescent="0.3">
      <c r="A8" s="68">
        <v>3</v>
      </c>
      <c r="B8" s="69" t="s">
        <v>772</v>
      </c>
      <c r="C8" s="72">
        <v>2019</v>
      </c>
      <c r="D8" s="73">
        <f t="shared" si="1"/>
        <v>0</v>
      </c>
      <c r="E8" s="74">
        <f>E3*50.4%</f>
        <v>3.021820612464009E-5</v>
      </c>
      <c r="F8" s="74">
        <f t="shared" ref="F8:U8" si="2">F3*50.4%</f>
        <v>1.9802924841254285E-4</v>
      </c>
      <c r="G8" s="74">
        <f t="shared" si="2"/>
        <v>4.0012228336226983E-4</v>
      </c>
      <c r="H8" s="74">
        <f t="shared" si="2"/>
        <v>5.1648962051581274E-4</v>
      </c>
      <c r="I8" s="74">
        <f t="shared" si="2"/>
        <v>6.0823693006895952E-4</v>
      </c>
      <c r="J8" s="74">
        <f t="shared" si="2"/>
        <v>7.0084101872556071E-4</v>
      </c>
      <c r="K8" s="74">
        <f t="shared" si="2"/>
        <v>7.5716801475455458E-4</v>
      </c>
      <c r="L8" s="74">
        <f t="shared" si="2"/>
        <v>7.9904190654331341E-4</v>
      </c>
      <c r="M8" s="74">
        <f t="shared" si="2"/>
        <v>8.327204649951869E-4</v>
      </c>
      <c r="N8" s="74">
        <f t="shared" si="2"/>
        <v>8.5935503454315481E-4</v>
      </c>
      <c r="O8" s="74">
        <f t="shared" si="2"/>
        <v>8.7759595687455214E-4</v>
      </c>
      <c r="P8" s="74">
        <f t="shared" si="2"/>
        <v>8.9621262208667445E-4</v>
      </c>
      <c r="Q8" s="74">
        <f t="shared" si="2"/>
        <v>9.112298191058663E-4</v>
      </c>
      <c r="R8" s="74">
        <f t="shared" si="2"/>
        <v>9.1881878566789582E-4</v>
      </c>
      <c r="S8" s="74">
        <f t="shared" si="2"/>
        <v>9.2701404815957278E-4</v>
      </c>
      <c r="T8" s="74">
        <f t="shared" si="2"/>
        <v>9.259517376048593E-4</v>
      </c>
      <c r="U8" s="74">
        <f t="shared" si="2"/>
        <v>8.9085613839380421E-4</v>
      </c>
    </row>
    <row r="9" spans="1:40" ht="15" x14ac:dyDescent="0.3">
      <c r="A9" s="68">
        <v>4</v>
      </c>
      <c r="B9" s="69" t="s">
        <v>773</v>
      </c>
      <c r="C9" s="72">
        <v>2019</v>
      </c>
      <c r="D9" s="73">
        <f t="shared" si="1"/>
        <v>0</v>
      </c>
      <c r="E9" s="74">
        <f>E4*75.5%</f>
        <v>0</v>
      </c>
      <c r="F9" s="74">
        <f t="shared" ref="F9:U9" si="3">F4*75.5%</f>
        <v>0</v>
      </c>
      <c r="G9" s="74">
        <f t="shared" si="3"/>
        <v>0</v>
      </c>
      <c r="H9" s="74">
        <f t="shared" si="3"/>
        <v>1.4046015065408636E-3</v>
      </c>
      <c r="I9" s="74">
        <f t="shared" si="3"/>
        <v>7.1292204213596021E-3</v>
      </c>
      <c r="J9" s="74">
        <f t="shared" si="3"/>
        <v>1.5017512191823736E-2</v>
      </c>
      <c r="K9" s="74">
        <f t="shared" si="3"/>
        <v>2.2973176830813472E-2</v>
      </c>
      <c r="L9" s="74">
        <f t="shared" si="3"/>
        <v>3.3010675271430603E-2</v>
      </c>
      <c r="M9" s="74">
        <f t="shared" si="3"/>
        <v>4.5129054094697051E-2</v>
      </c>
      <c r="N9" s="74">
        <f t="shared" si="3"/>
        <v>5.9676371057122861E-2</v>
      </c>
      <c r="O9" s="74">
        <f t="shared" si="3"/>
        <v>7.5439488392928314E-2</v>
      </c>
      <c r="P9" s="74">
        <f t="shared" si="3"/>
        <v>9.0262534489979201E-2</v>
      </c>
      <c r="Q9" s="74">
        <f t="shared" si="3"/>
        <v>0.10326479156619486</v>
      </c>
      <c r="R9" s="74">
        <f t="shared" si="3"/>
        <v>0.11514540488012677</v>
      </c>
      <c r="S9" s="74">
        <f t="shared" si="3"/>
        <v>0.1250448095554324</v>
      </c>
      <c r="T9" s="74">
        <f t="shared" si="3"/>
        <v>0.13070009024384011</v>
      </c>
      <c r="U9" s="74">
        <f t="shared" si="3"/>
        <v>0.12660009201349967</v>
      </c>
    </row>
    <row r="10" spans="1:40" ht="15" x14ac:dyDescent="0.3">
      <c r="A10" s="68">
        <v>5</v>
      </c>
      <c r="B10" s="69" t="s">
        <v>781</v>
      </c>
      <c r="C10" s="72">
        <v>2019</v>
      </c>
      <c r="D10" s="73">
        <f t="shared" ref="D10:D11" si="4">SUM(Y10+Z10+AA10+AB10+AC10+AD10+AE10+AF10+AG10+AH10+AI10+AJ10)</f>
        <v>0</v>
      </c>
      <c r="E10" s="74">
        <f>E5*(1-7.2%)</f>
        <v>0</v>
      </c>
      <c r="F10" s="74">
        <f t="shared" ref="F10:T10" si="5">F5*(1-7.2%)</f>
        <v>0</v>
      </c>
      <c r="G10" s="74">
        <f t="shared" si="5"/>
        <v>0</v>
      </c>
      <c r="H10" s="74">
        <f t="shared" si="5"/>
        <v>2.5179819801296422E-4</v>
      </c>
      <c r="I10" s="74">
        <f t="shared" si="5"/>
        <v>3.8917001773071039E-4</v>
      </c>
      <c r="J10" s="74">
        <f t="shared" si="5"/>
        <v>6.49042002336038E-4</v>
      </c>
      <c r="K10" s="74">
        <f t="shared" si="5"/>
        <v>9.9672888846140352E-4</v>
      </c>
      <c r="L10" s="74">
        <f t="shared" si="5"/>
        <v>1.3815195648339211E-3</v>
      </c>
      <c r="M10" s="74">
        <f t="shared" si="5"/>
        <v>1.8151476326716326E-3</v>
      </c>
      <c r="N10" s="74">
        <f t="shared" si="5"/>
        <v>2.3297065674556037E-3</v>
      </c>
      <c r="O10" s="74">
        <f t="shared" si="5"/>
        <v>3.1286092743549091E-3</v>
      </c>
      <c r="P10" s="74">
        <f t="shared" si="5"/>
        <v>4.3306739876764868E-3</v>
      </c>
      <c r="Q10" s="74">
        <f t="shared" si="5"/>
        <v>6.0138545037373998E-3</v>
      </c>
      <c r="R10" s="74">
        <f t="shared" si="5"/>
        <v>8.8613994583964135E-3</v>
      </c>
      <c r="S10" s="74">
        <f t="shared" si="5"/>
        <v>1.4080127702636476E-2</v>
      </c>
      <c r="T10" s="74">
        <f t="shared" si="5"/>
        <v>2.2196382162411231E-2</v>
      </c>
      <c r="U10" s="74">
        <f>U5*(1-7.2%)</f>
        <v>3.6500013656796053E-2</v>
      </c>
    </row>
    <row r="11" spans="1:40" ht="15" x14ac:dyDescent="0.3">
      <c r="A11" s="68">
        <v>6</v>
      </c>
      <c r="B11" s="69" t="s">
        <v>782</v>
      </c>
      <c r="C11" s="72">
        <v>2019</v>
      </c>
      <c r="D11" s="73">
        <f t="shared" si="4"/>
        <v>0</v>
      </c>
      <c r="E11" s="74">
        <f>E6*(1-7.2%)</f>
        <v>0</v>
      </c>
      <c r="F11" s="74">
        <f t="shared" ref="F11:T11" si="6">F6*(1-7.2%)</f>
        <v>0</v>
      </c>
      <c r="G11" s="74">
        <f t="shared" si="6"/>
        <v>0</v>
      </c>
      <c r="H11" s="74">
        <f t="shared" si="6"/>
        <v>2.4618681213349418E-6</v>
      </c>
      <c r="I11" s="74">
        <f t="shared" si="6"/>
        <v>2.8481753658826747E-5</v>
      </c>
      <c r="J11" s="74">
        <f t="shared" si="6"/>
        <v>9.3994831652082942E-5</v>
      </c>
      <c r="K11" s="74">
        <f t="shared" si="6"/>
        <v>1.7686235384799248E-4</v>
      </c>
      <c r="L11" s="74">
        <f t="shared" si="6"/>
        <v>3.3251687270191669E-4</v>
      </c>
      <c r="M11" s="74">
        <f t="shared" si="6"/>
        <v>7.3052980969164538E-4</v>
      </c>
      <c r="N11" s="74">
        <f t="shared" si="6"/>
        <v>1.7962463270001362E-3</v>
      </c>
      <c r="O11" s="74">
        <f t="shared" si="6"/>
        <v>3.2105533146523989E-3</v>
      </c>
      <c r="P11" s="74">
        <f t="shared" si="6"/>
        <v>4.3149496113970521E-3</v>
      </c>
      <c r="Q11" s="74">
        <f t="shared" si="6"/>
        <v>7.1282326374021718E-3</v>
      </c>
      <c r="R11" s="74">
        <f t="shared" si="6"/>
        <v>1.6447686689047222E-2</v>
      </c>
      <c r="S11" s="74">
        <f t="shared" si="6"/>
        <v>2.8194326252068993E-2</v>
      </c>
      <c r="T11" s="74">
        <f t="shared" si="6"/>
        <v>3.7862795424607673E-2</v>
      </c>
      <c r="U11" s="74">
        <f>U6*(1-7.2%)</f>
        <v>6.5326190639123857E-2</v>
      </c>
    </row>
  </sheetData>
  <phoneticPr fontId="24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F32"/>
  <sheetViews>
    <sheetView workbookViewId="0">
      <selection activeCell="E32" sqref="E2:E32"/>
    </sheetView>
  </sheetViews>
  <sheetFormatPr defaultColWidth="9" defaultRowHeight="14" x14ac:dyDescent="0.3"/>
  <cols>
    <col min="1" max="1" width="4.25" customWidth="1"/>
    <col min="2" max="2" width="13.33203125" customWidth="1"/>
    <col min="3" max="3" width="15.5" customWidth="1"/>
    <col min="4" max="5" width="9.58203125" customWidth="1"/>
  </cols>
  <sheetData>
    <row r="1" spans="1:6" s="48" customFormat="1" ht="15" x14ac:dyDescent="0.3">
      <c r="A1" s="51" t="s">
        <v>0</v>
      </c>
      <c r="B1" s="51" t="s">
        <v>1</v>
      </c>
      <c r="C1" s="51" t="s">
        <v>2</v>
      </c>
      <c r="D1" s="51" t="s">
        <v>480</v>
      </c>
      <c r="E1" s="55" t="s">
        <v>481</v>
      </c>
      <c r="F1" s="56" t="s">
        <v>4</v>
      </c>
    </row>
    <row r="2" spans="1:6" ht="15.5" x14ac:dyDescent="0.3">
      <c r="A2" s="52">
        <v>1</v>
      </c>
      <c r="B2" s="52" t="s">
        <v>5</v>
      </c>
      <c r="C2" s="52" t="s">
        <v>6</v>
      </c>
      <c r="D2" s="52">
        <v>218421</v>
      </c>
      <c r="E2" s="52">
        <v>140402</v>
      </c>
      <c r="F2" s="57" t="s">
        <v>635</v>
      </c>
    </row>
    <row r="3" spans="1:6" ht="15.5" x14ac:dyDescent="0.3">
      <c r="A3" s="52">
        <v>2</v>
      </c>
      <c r="B3" s="52" t="s">
        <v>8</v>
      </c>
      <c r="C3" s="52" t="s">
        <v>9</v>
      </c>
      <c r="D3" s="52">
        <v>103050</v>
      </c>
      <c r="E3" s="52">
        <v>91418</v>
      </c>
      <c r="F3" s="57" t="s">
        <v>635</v>
      </c>
    </row>
    <row r="4" spans="1:6" ht="15.5" x14ac:dyDescent="0.3">
      <c r="A4" s="52">
        <v>3</v>
      </c>
      <c r="B4" s="52" t="s">
        <v>10</v>
      </c>
      <c r="C4" s="52" t="s">
        <v>11</v>
      </c>
      <c r="D4" s="52">
        <v>762376</v>
      </c>
      <c r="E4" s="52">
        <v>366156</v>
      </c>
      <c r="F4" s="57" t="s">
        <v>635</v>
      </c>
    </row>
    <row r="5" spans="1:6" ht="15.5" x14ac:dyDescent="0.3">
      <c r="A5" s="52">
        <v>4</v>
      </c>
      <c r="B5" s="52" t="s">
        <v>12</v>
      </c>
      <c r="C5" s="52" t="s">
        <v>13</v>
      </c>
      <c r="D5" s="52">
        <v>359742</v>
      </c>
      <c r="E5" s="52">
        <v>164992</v>
      </c>
      <c r="F5" s="57" t="s">
        <v>635</v>
      </c>
    </row>
    <row r="6" spans="1:6" ht="15.5" x14ac:dyDescent="0.3">
      <c r="A6" s="52">
        <v>5</v>
      </c>
      <c r="B6" s="52" t="s">
        <v>14</v>
      </c>
      <c r="C6" s="52" t="s">
        <v>15</v>
      </c>
      <c r="D6" s="52">
        <v>206495</v>
      </c>
      <c r="E6" s="52">
        <v>165935</v>
      </c>
      <c r="F6" s="57" t="s">
        <v>635</v>
      </c>
    </row>
    <row r="7" spans="1:6" ht="15.5" x14ac:dyDescent="0.3">
      <c r="A7" s="52">
        <v>6</v>
      </c>
      <c r="B7" s="52" t="s">
        <v>16</v>
      </c>
      <c r="C7" s="52" t="s">
        <v>17</v>
      </c>
      <c r="D7" s="52">
        <v>281752</v>
      </c>
      <c r="E7" s="52">
        <v>230576</v>
      </c>
      <c r="F7" s="57" t="s">
        <v>635</v>
      </c>
    </row>
    <row r="8" spans="1:6" ht="15.5" x14ac:dyDescent="0.3">
      <c r="A8" s="52">
        <v>7</v>
      </c>
      <c r="B8" s="52" t="s">
        <v>18</v>
      </c>
      <c r="C8" s="52" t="s">
        <v>19</v>
      </c>
      <c r="D8" s="52">
        <v>146715</v>
      </c>
      <c r="E8" s="52">
        <v>114710</v>
      </c>
      <c r="F8" s="57" t="s">
        <v>635</v>
      </c>
    </row>
    <row r="9" spans="1:6" ht="15.5" x14ac:dyDescent="0.3">
      <c r="A9" s="52">
        <v>8</v>
      </c>
      <c r="B9" s="52" t="s">
        <v>20</v>
      </c>
      <c r="C9" s="52" t="s">
        <v>21</v>
      </c>
      <c r="D9" s="52">
        <v>154672</v>
      </c>
      <c r="E9" s="52">
        <v>121141</v>
      </c>
      <c r="F9" s="57" t="s">
        <v>635</v>
      </c>
    </row>
    <row r="10" spans="1:6" ht="15.5" x14ac:dyDescent="0.3">
      <c r="A10" s="52">
        <v>9</v>
      </c>
      <c r="B10" s="52" t="s">
        <v>22</v>
      </c>
      <c r="C10" s="52" t="s">
        <v>23</v>
      </c>
      <c r="D10" s="52">
        <v>171056</v>
      </c>
      <c r="E10" s="52">
        <v>174896</v>
      </c>
      <c r="F10" s="57" t="s">
        <v>635</v>
      </c>
    </row>
    <row r="11" spans="1:6" ht="15.5" x14ac:dyDescent="0.3">
      <c r="A11" s="52">
        <v>10</v>
      </c>
      <c r="B11" s="52" t="s">
        <v>24</v>
      </c>
      <c r="C11" s="52" t="s">
        <v>25</v>
      </c>
      <c r="D11" s="52">
        <v>680873</v>
      </c>
      <c r="E11" s="52">
        <v>725198</v>
      </c>
      <c r="F11" s="57" t="s">
        <v>635</v>
      </c>
    </row>
    <row r="12" spans="1:6" ht="15.5" x14ac:dyDescent="0.3">
      <c r="A12" s="52">
        <v>11</v>
      </c>
      <c r="B12" s="52" t="s">
        <v>26</v>
      </c>
      <c r="C12" s="52" t="s">
        <v>27</v>
      </c>
      <c r="D12" s="52">
        <v>588367</v>
      </c>
      <c r="E12" s="52">
        <v>731528</v>
      </c>
      <c r="F12" s="57" t="s">
        <v>635</v>
      </c>
    </row>
    <row r="13" spans="1:6" ht="15.5" x14ac:dyDescent="0.3">
      <c r="A13" s="52">
        <v>12</v>
      </c>
      <c r="B13" s="52" t="s">
        <v>28</v>
      </c>
      <c r="C13" s="52" t="s">
        <v>29</v>
      </c>
      <c r="D13" s="52">
        <v>621458</v>
      </c>
      <c r="E13" s="52">
        <v>269924</v>
      </c>
      <c r="F13" s="57" t="s">
        <v>635</v>
      </c>
    </row>
    <row r="14" spans="1:6" ht="15.5" x14ac:dyDescent="0.3">
      <c r="A14" s="52">
        <v>13</v>
      </c>
      <c r="B14" s="52" t="s">
        <v>30</v>
      </c>
      <c r="C14" s="52" t="s">
        <v>31</v>
      </c>
      <c r="D14" s="52">
        <v>463533</v>
      </c>
      <c r="E14" s="52">
        <v>350189</v>
      </c>
      <c r="F14" s="57" t="s">
        <v>635</v>
      </c>
    </row>
    <row r="15" spans="1:6" ht="15.5" x14ac:dyDescent="0.3">
      <c r="A15" s="52">
        <v>14</v>
      </c>
      <c r="B15" s="52" t="s">
        <v>32</v>
      </c>
      <c r="C15" s="52" t="s">
        <v>33</v>
      </c>
      <c r="D15" s="52">
        <v>475967</v>
      </c>
      <c r="E15" s="52">
        <v>305787</v>
      </c>
      <c r="F15" s="57" t="s">
        <v>635</v>
      </c>
    </row>
    <row r="16" spans="1:6" ht="15.5" x14ac:dyDescent="0.3">
      <c r="A16" s="52">
        <v>15</v>
      </c>
      <c r="B16" s="52" t="s">
        <v>34</v>
      </c>
      <c r="C16" s="52" t="s">
        <v>35</v>
      </c>
      <c r="D16" s="52">
        <v>1138710</v>
      </c>
      <c r="E16" s="52">
        <v>674184</v>
      </c>
      <c r="F16" s="57" t="s">
        <v>635</v>
      </c>
    </row>
    <row r="17" spans="1:6" ht="15.5" x14ac:dyDescent="0.3">
      <c r="A17" s="52">
        <v>16</v>
      </c>
      <c r="B17" s="52" t="s">
        <v>36</v>
      </c>
      <c r="C17" s="52" t="s">
        <v>37</v>
      </c>
      <c r="D17" s="52">
        <v>1175008</v>
      </c>
      <c r="E17" s="52">
        <v>472482</v>
      </c>
      <c r="F17" s="57" t="s">
        <v>635</v>
      </c>
    </row>
    <row r="18" spans="1:6" ht="15.5" x14ac:dyDescent="0.3">
      <c r="A18" s="52">
        <v>17</v>
      </c>
      <c r="B18" s="52" t="s">
        <v>38</v>
      </c>
      <c r="C18" s="52" t="s">
        <v>39</v>
      </c>
      <c r="D18" s="52">
        <v>535497</v>
      </c>
      <c r="E18" s="52">
        <v>345408</v>
      </c>
      <c r="F18" s="57" t="s">
        <v>635</v>
      </c>
    </row>
    <row r="19" spans="1:6" ht="15.5" x14ac:dyDescent="0.3">
      <c r="A19" s="52">
        <v>18</v>
      </c>
      <c r="B19" s="52" t="s">
        <v>40</v>
      </c>
      <c r="C19" s="52" t="s">
        <v>41</v>
      </c>
      <c r="D19" s="52">
        <v>620917</v>
      </c>
      <c r="E19" s="52">
        <v>357815</v>
      </c>
      <c r="F19" s="57" t="s">
        <v>635</v>
      </c>
    </row>
    <row r="20" spans="1:6" ht="15.5" x14ac:dyDescent="0.3">
      <c r="A20" s="52">
        <v>19</v>
      </c>
      <c r="B20" s="52" t="s">
        <v>42</v>
      </c>
      <c r="C20" s="52" t="s">
        <v>43</v>
      </c>
      <c r="D20" s="52">
        <v>1657629</v>
      </c>
      <c r="E20" s="52">
        <v>1259468</v>
      </c>
      <c r="F20" s="57" t="s">
        <v>635</v>
      </c>
    </row>
    <row r="21" spans="1:6" ht="15.5" x14ac:dyDescent="0.3">
      <c r="A21" s="52">
        <v>20</v>
      </c>
      <c r="B21" s="52" t="s">
        <v>44</v>
      </c>
      <c r="C21" s="52" t="s">
        <v>45</v>
      </c>
      <c r="D21" s="52">
        <v>649903</v>
      </c>
      <c r="E21" s="52">
        <v>456434</v>
      </c>
      <c r="F21" s="57" t="s">
        <v>635</v>
      </c>
    </row>
    <row r="22" spans="1:6" ht="15.5" x14ac:dyDescent="0.3">
      <c r="A22" s="52">
        <v>21</v>
      </c>
      <c r="B22" s="52" t="s">
        <v>46</v>
      </c>
      <c r="C22" s="52" t="s">
        <v>47</v>
      </c>
      <c r="D22" s="52">
        <v>121846</v>
      </c>
      <c r="E22" s="52">
        <v>90232</v>
      </c>
      <c r="F22" s="57" t="s">
        <v>635</v>
      </c>
    </row>
    <row r="23" spans="1:6" ht="15.5" x14ac:dyDescent="0.3">
      <c r="A23" s="52">
        <v>22</v>
      </c>
      <c r="B23" s="52" t="s">
        <v>48</v>
      </c>
      <c r="C23" s="52" t="s">
        <v>49</v>
      </c>
      <c r="D23" s="52">
        <v>284248</v>
      </c>
      <c r="E23" s="52">
        <v>262740</v>
      </c>
      <c r="F23" s="57" t="s">
        <v>635</v>
      </c>
    </row>
    <row r="24" spans="1:6" ht="15.5" x14ac:dyDescent="0.3">
      <c r="A24" s="52">
        <v>23</v>
      </c>
      <c r="B24" s="52" t="s">
        <v>50</v>
      </c>
      <c r="C24" s="52" t="s">
        <v>51</v>
      </c>
      <c r="D24" s="52">
        <v>776794</v>
      </c>
      <c r="E24" s="52">
        <v>726443</v>
      </c>
      <c r="F24" s="57" t="s">
        <v>635</v>
      </c>
    </row>
    <row r="25" spans="1:6" ht="15.5" x14ac:dyDescent="0.3">
      <c r="A25" s="52">
        <v>24</v>
      </c>
      <c r="B25" s="52" t="s">
        <v>52</v>
      </c>
      <c r="C25" s="52" t="s">
        <v>53</v>
      </c>
      <c r="D25" s="52">
        <v>575163</v>
      </c>
      <c r="E25" s="52">
        <v>156207</v>
      </c>
      <c r="F25" s="57" t="s">
        <v>635</v>
      </c>
    </row>
    <row r="26" spans="1:6" ht="15.5" x14ac:dyDescent="0.3">
      <c r="A26" s="52">
        <v>25</v>
      </c>
      <c r="B26" s="52" t="s">
        <v>54</v>
      </c>
      <c r="C26" s="52" t="s">
        <v>350</v>
      </c>
      <c r="D26" s="52">
        <v>591465</v>
      </c>
      <c r="E26" s="52">
        <v>441191</v>
      </c>
      <c r="F26" s="57" t="s">
        <v>635</v>
      </c>
    </row>
    <row r="27" spans="1:6" ht="15.5" x14ac:dyDescent="0.3">
      <c r="A27" s="52">
        <v>26</v>
      </c>
      <c r="B27" s="52" t="s">
        <v>55</v>
      </c>
      <c r="C27" s="52" t="s">
        <v>56</v>
      </c>
      <c r="D27" s="52">
        <v>52151</v>
      </c>
      <c r="E27" s="52">
        <v>2883</v>
      </c>
      <c r="F27" s="57" t="s">
        <v>635</v>
      </c>
    </row>
    <row r="28" spans="1:6" ht="15.5" x14ac:dyDescent="0.3">
      <c r="A28" s="52">
        <v>27</v>
      </c>
      <c r="B28" s="52" t="s">
        <v>57</v>
      </c>
      <c r="C28" s="52" t="s">
        <v>58</v>
      </c>
      <c r="D28" s="52">
        <v>445082</v>
      </c>
      <c r="E28" s="52">
        <v>243346</v>
      </c>
      <c r="F28" s="57" t="s">
        <v>635</v>
      </c>
    </row>
    <row r="29" spans="1:6" ht="15.5" x14ac:dyDescent="0.3">
      <c r="A29" s="52">
        <v>28</v>
      </c>
      <c r="B29" s="52" t="s">
        <v>59</v>
      </c>
      <c r="C29" s="52" t="s">
        <v>60</v>
      </c>
      <c r="D29" s="52">
        <v>307412</v>
      </c>
      <c r="E29" s="52">
        <v>139415</v>
      </c>
      <c r="F29" s="57" t="s">
        <v>635</v>
      </c>
    </row>
    <row r="30" spans="1:6" ht="15.5" x14ac:dyDescent="0.3">
      <c r="A30" s="52">
        <v>29</v>
      </c>
      <c r="B30" s="52" t="s">
        <v>61</v>
      </c>
      <c r="C30" s="52" t="s">
        <v>62</v>
      </c>
      <c r="D30" s="52">
        <v>78272</v>
      </c>
      <c r="E30" s="52">
        <v>34651</v>
      </c>
      <c r="F30" s="57" t="s">
        <v>635</v>
      </c>
    </row>
    <row r="31" spans="1:6" ht="15.5" x14ac:dyDescent="0.3">
      <c r="A31" s="52">
        <v>30</v>
      </c>
      <c r="B31" s="52" t="s">
        <v>63</v>
      </c>
      <c r="C31" s="52" t="s">
        <v>64</v>
      </c>
      <c r="D31" s="52">
        <v>100240</v>
      </c>
      <c r="E31" s="52">
        <v>68811</v>
      </c>
      <c r="F31" s="57" t="s">
        <v>635</v>
      </c>
    </row>
    <row r="32" spans="1:6" ht="15.5" x14ac:dyDescent="0.3">
      <c r="A32" s="52">
        <v>31</v>
      </c>
      <c r="B32" s="52" t="s">
        <v>65</v>
      </c>
      <c r="C32" s="52" t="s">
        <v>66</v>
      </c>
      <c r="D32" s="52">
        <v>206484</v>
      </c>
      <c r="E32" s="52">
        <v>77483</v>
      </c>
      <c r="F32" s="57" t="s">
        <v>635</v>
      </c>
    </row>
  </sheetData>
  <phoneticPr fontId="24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Z32"/>
  <sheetViews>
    <sheetView topLeftCell="C1" workbookViewId="0">
      <selection activeCell="Y2" sqref="Y2"/>
    </sheetView>
  </sheetViews>
  <sheetFormatPr defaultColWidth="9" defaultRowHeight="14" x14ac:dyDescent="0.3"/>
  <cols>
    <col min="1" max="1" width="4.25" customWidth="1"/>
    <col min="2" max="2" width="12.83203125" customWidth="1"/>
    <col min="3" max="3" width="15.5" customWidth="1"/>
    <col min="4" max="4" width="10.75" style="48" customWidth="1"/>
    <col min="5" max="10" width="9.58203125" customWidth="1"/>
    <col min="11" max="11" width="9.58203125" style="48" customWidth="1"/>
    <col min="12" max="14" width="9.58203125" customWidth="1"/>
    <col min="15" max="15" width="9.25" customWidth="1"/>
    <col min="16" max="16" width="9.58203125" style="48" customWidth="1"/>
    <col min="17" max="19" width="9.25" customWidth="1"/>
    <col min="20" max="20" width="9.58203125" style="48" customWidth="1"/>
    <col min="21" max="24" width="9.25" customWidth="1"/>
  </cols>
  <sheetData>
    <row r="1" spans="1:26" s="48" customFormat="1" ht="15" x14ac:dyDescent="0.3">
      <c r="A1" s="51" t="s">
        <v>0</v>
      </c>
      <c r="B1" s="51" t="s">
        <v>1</v>
      </c>
      <c r="C1" s="51" t="s">
        <v>2</v>
      </c>
      <c r="D1" s="51" t="s">
        <v>482</v>
      </c>
      <c r="E1" s="51" t="s">
        <v>483</v>
      </c>
      <c r="F1" s="51" t="s">
        <v>484</v>
      </c>
      <c r="G1" s="51" t="s">
        <v>485</v>
      </c>
      <c r="H1" s="51" t="s">
        <v>486</v>
      </c>
      <c r="I1" s="51" t="s">
        <v>487</v>
      </c>
      <c r="J1" s="51" t="s">
        <v>488</v>
      </c>
      <c r="K1" s="51" t="s">
        <v>489</v>
      </c>
      <c r="L1" s="51" t="s">
        <v>490</v>
      </c>
      <c r="M1" s="51" t="s">
        <v>491</v>
      </c>
      <c r="N1" s="51" t="s">
        <v>492</v>
      </c>
      <c r="O1" s="51" t="s">
        <v>493</v>
      </c>
      <c r="P1" s="51" t="s">
        <v>494</v>
      </c>
      <c r="Q1" s="51" t="s">
        <v>495</v>
      </c>
      <c r="R1" s="51" t="s">
        <v>496</v>
      </c>
      <c r="S1" s="51" t="s">
        <v>497</v>
      </c>
      <c r="T1" s="51" t="s">
        <v>498</v>
      </c>
      <c r="U1" s="51" t="s">
        <v>499</v>
      </c>
      <c r="V1" s="51" t="s">
        <v>500</v>
      </c>
      <c r="W1" s="51" t="s">
        <v>501</v>
      </c>
      <c r="X1" s="51" t="s">
        <v>502</v>
      </c>
      <c r="Y1" s="51" t="s">
        <v>4</v>
      </c>
      <c r="Z1" s="53" t="s">
        <v>67</v>
      </c>
    </row>
    <row r="2" spans="1:26" ht="15.5" x14ac:dyDescent="0.3">
      <c r="A2" s="52">
        <v>1</v>
      </c>
      <c r="B2" s="52" t="s">
        <v>5</v>
      </c>
      <c r="C2" s="52" t="s">
        <v>6</v>
      </c>
      <c r="D2" s="51">
        <v>941614</v>
      </c>
      <c r="E2" s="52">
        <v>182979</v>
      </c>
      <c r="F2" s="52">
        <v>184450</v>
      </c>
      <c r="G2" s="52">
        <v>155881</v>
      </c>
      <c r="H2" s="52">
        <v>141363</v>
      </c>
      <c r="I2" s="52">
        <v>139841</v>
      </c>
      <c r="J2" s="52">
        <v>137100</v>
      </c>
      <c r="K2" s="51">
        <v>308722</v>
      </c>
      <c r="L2" s="52">
        <v>117528</v>
      </c>
      <c r="M2" s="52">
        <v>97997</v>
      </c>
      <c r="N2" s="52">
        <v>92177</v>
      </c>
      <c r="O2" s="52">
        <v>1020</v>
      </c>
      <c r="P2" s="51">
        <v>152857</v>
      </c>
      <c r="Q2" s="52">
        <v>51879</v>
      </c>
      <c r="R2" s="52">
        <v>47264</v>
      </c>
      <c r="S2" s="52">
        <v>53714</v>
      </c>
      <c r="T2" s="51">
        <v>49356</v>
      </c>
      <c r="U2" s="52">
        <v>12634</v>
      </c>
      <c r="V2" s="52">
        <v>14284</v>
      </c>
      <c r="W2" s="52">
        <v>18841</v>
      </c>
      <c r="X2" s="52">
        <v>3597</v>
      </c>
      <c r="Y2" s="52" t="s">
        <v>503</v>
      </c>
      <c r="Z2" s="54" t="s">
        <v>504</v>
      </c>
    </row>
    <row r="3" spans="1:26" ht="15.5" x14ac:dyDescent="0.3">
      <c r="A3" s="52">
        <v>2</v>
      </c>
      <c r="B3" s="52" t="s">
        <v>8</v>
      </c>
      <c r="C3" s="52" t="s">
        <v>9</v>
      </c>
      <c r="D3" s="51">
        <v>702004</v>
      </c>
      <c r="E3" s="52">
        <v>127862</v>
      </c>
      <c r="F3" s="52">
        <v>128120</v>
      </c>
      <c r="G3" s="52">
        <v>118337</v>
      </c>
      <c r="H3" s="52">
        <v>115697</v>
      </c>
      <c r="I3" s="52">
        <v>111572</v>
      </c>
      <c r="J3" s="52">
        <v>100416</v>
      </c>
      <c r="K3" s="51">
        <v>303432</v>
      </c>
      <c r="L3" s="52">
        <v>103355</v>
      </c>
      <c r="M3" s="52">
        <v>96426</v>
      </c>
      <c r="N3" s="52">
        <v>95239</v>
      </c>
      <c r="O3" s="52">
        <v>8412</v>
      </c>
      <c r="P3" s="51">
        <v>158561</v>
      </c>
      <c r="Q3" s="52">
        <v>52268</v>
      </c>
      <c r="R3" s="52">
        <v>51297</v>
      </c>
      <c r="S3" s="52">
        <v>54996</v>
      </c>
      <c r="T3" s="51">
        <v>80942</v>
      </c>
      <c r="U3" s="52">
        <v>25211</v>
      </c>
      <c r="V3" s="52">
        <v>26998</v>
      </c>
      <c r="W3" s="52">
        <v>28358</v>
      </c>
      <c r="X3" s="52">
        <v>375</v>
      </c>
      <c r="Y3" s="52" t="s">
        <v>503</v>
      </c>
      <c r="Z3" s="54" t="s">
        <v>504</v>
      </c>
    </row>
    <row r="4" spans="1:26" ht="15.5" x14ac:dyDescent="0.3">
      <c r="A4" s="52">
        <v>3</v>
      </c>
      <c r="B4" s="52" t="s">
        <v>10</v>
      </c>
      <c r="C4" s="52" t="s">
        <v>11</v>
      </c>
      <c r="D4" s="51">
        <v>6791054</v>
      </c>
      <c r="E4" s="52">
        <v>1189808</v>
      </c>
      <c r="F4" s="52">
        <v>1218189</v>
      </c>
      <c r="G4" s="52">
        <v>1149756</v>
      </c>
      <c r="H4" s="52">
        <v>1121252</v>
      </c>
      <c r="I4" s="52">
        <v>1106465</v>
      </c>
      <c r="J4" s="52">
        <v>1005584</v>
      </c>
      <c r="K4" s="51">
        <v>2973099</v>
      </c>
      <c r="L4" s="52">
        <v>992370</v>
      </c>
      <c r="M4" s="52">
        <v>1013518</v>
      </c>
      <c r="N4" s="52">
        <v>967211</v>
      </c>
      <c r="O4" s="52">
        <v>0</v>
      </c>
      <c r="P4" s="51">
        <v>1411999</v>
      </c>
      <c r="Q4" s="52">
        <v>506739</v>
      </c>
      <c r="R4" s="52">
        <v>449082</v>
      </c>
      <c r="S4" s="52">
        <v>456178</v>
      </c>
      <c r="T4" s="51">
        <v>774629</v>
      </c>
      <c r="U4" s="52">
        <v>315647</v>
      </c>
      <c r="V4" s="52">
        <v>236776</v>
      </c>
      <c r="W4" s="52">
        <v>220945</v>
      </c>
      <c r="X4" s="52">
        <v>1261</v>
      </c>
      <c r="Y4" s="52" t="s">
        <v>503</v>
      </c>
      <c r="Z4" s="54" t="s">
        <v>504</v>
      </c>
    </row>
    <row r="5" spans="1:26" ht="15.5" x14ac:dyDescent="0.3">
      <c r="A5" s="52">
        <v>4</v>
      </c>
      <c r="B5" s="52" t="s">
        <v>12</v>
      </c>
      <c r="C5" s="52" t="s">
        <v>13</v>
      </c>
      <c r="D5" s="51">
        <v>2293318</v>
      </c>
      <c r="E5" s="52">
        <v>398727</v>
      </c>
      <c r="F5" s="52">
        <v>402603</v>
      </c>
      <c r="G5" s="52">
        <v>382025</v>
      </c>
      <c r="H5" s="52">
        <v>385658</v>
      </c>
      <c r="I5" s="52">
        <v>376379</v>
      </c>
      <c r="J5" s="52">
        <v>347926</v>
      </c>
      <c r="K5" s="51">
        <v>1141923</v>
      </c>
      <c r="L5" s="52">
        <v>377881</v>
      </c>
      <c r="M5" s="52">
        <v>393370</v>
      </c>
      <c r="N5" s="52">
        <v>370672</v>
      </c>
      <c r="O5" s="52">
        <v>0</v>
      </c>
      <c r="P5" s="51">
        <v>660092</v>
      </c>
      <c r="Q5" s="52">
        <v>224686</v>
      </c>
      <c r="R5" s="52">
        <v>207968</v>
      </c>
      <c r="S5" s="52">
        <v>227438</v>
      </c>
      <c r="T5" s="51">
        <v>296674</v>
      </c>
      <c r="U5" s="52">
        <v>106989</v>
      </c>
      <c r="V5" s="52">
        <v>91261</v>
      </c>
      <c r="W5" s="52">
        <v>96394</v>
      </c>
      <c r="X5" s="52">
        <v>2030</v>
      </c>
      <c r="Y5" s="52" t="s">
        <v>503</v>
      </c>
      <c r="Z5" s="54" t="s">
        <v>504</v>
      </c>
    </row>
    <row r="6" spans="1:26" ht="15.5" x14ac:dyDescent="0.3">
      <c r="A6" s="52">
        <v>5</v>
      </c>
      <c r="B6" s="52" t="s">
        <v>14</v>
      </c>
      <c r="C6" s="52" t="s">
        <v>15</v>
      </c>
      <c r="D6" s="51">
        <v>1363093</v>
      </c>
      <c r="E6" s="52">
        <v>245765</v>
      </c>
      <c r="F6" s="52">
        <v>235701</v>
      </c>
      <c r="G6" s="52">
        <v>215655</v>
      </c>
      <c r="H6" s="52">
        <v>226400</v>
      </c>
      <c r="I6" s="52">
        <v>221033</v>
      </c>
      <c r="J6" s="52">
        <v>218539</v>
      </c>
      <c r="K6" s="51">
        <v>663303</v>
      </c>
      <c r="L6" s="52">
        <v>222665</v>
      </c>
      <c r="M6" s="52">
        <v>216691</v>
      </c>
      <c r="N6" s="52">
        <v>222329</v>
      </c>
      <c r="O6" s="52">
        <v>1618</v>
      </c>
      <c r="P6" s="51">
        <v>406205</v>
      </c>
      <c r="Q6" s="52">
        <v>130364</v>
      </c>
      <c r="R6" s="52">
        <v>132955</v>
      </c>
      <c r="S6" s="52">
        <v>142886</v>
      </c>
      <c r="T6" s="51">
        <v>168536</v>
      </c>
      <c r="U6" s="52">
        <v>57603</v>
      </c>
      <c r="V6" s="52">
        <v>53026</v>
      </c>
      <c r="W6" s="52">
        <v>57361</v>
      </c>
      <c r="X6" s="52">
        <v>546</v>
      </c>
      <c r="Y6" s="52" t="s">
        <v>503</v>
      </c>
      <c r="Z6" s="54" t="s">
        <v>504</v>
      </c>
    </row>
    <row r="7" spans="1:26" ht="15.5" x14ac:dyDescent="0.3">
      <c r="A7" s="52">
        <v>6</v>
      </c>
      <c r="B7" s="52" t="s">
        <v>16</v>
      </c>
      <c r="C7" s="52" t="s">
        <v>17</v>
      </c>
      <c r="D7" s="51">
        <v>1950513</v>
      </c>
      <c r="E7" s="52">
        <v>339702</v>
      </c>
      <c r="F7" s="52">
        <v>343123</v>
      </c>
      <c r="G7" s="52">
        <v>301859</v>
      </c>
      <c r="H7" s="52">
        <v>312893</v>
      </c>
      <c r="I7" s="52">
        <v>323586</v>
      </c>
      <c r="J7" s="52">
        <v>329350</v>
      </c>
      <c r="K7" s="51">
        <v>1014597</v>
      </c>
      <c r="L7" s="52">
        <v>345128</v>
      </c>
      <c r="M7" s="52">
        <v>329650</v>
      </c>
      <c r="N7" s="52">
        <v>339819</v>
      </c>
      <c r="O7" s="52">
        <v>0</v>
      </c>
      <c r="P7" s="51">
        <v>601543</v>
      </c>
      <c r="Q7" s="52">
        <v>203093</v>
      </c>
      <c r="R7" s="52">
        <v>188960</v>
      </c>
      <c r="S7" s="52">
        <v>209490</v>
      </c>
      <c r="T7" s="51">
        <v>265089</v>
      </c>
      <c r="U7" s="52">
        <v>86159</v>
      </c>
      <c r="V7" s="52">
        <v>76369</v>
      </c>
      <c r="W7" s="52">
        <v>96273</v>
      </c>
      <c r="X7" s="52">
        <v>6288</v>
      </c>
      <c r="Y7" s="52" t="s">
        <v>503</v>
      </c>
      <c r="Z7" s="54" t="s">
        <v>504</v>
      </c>
    </row>
    <row r="8" spans="1:26" ht="15.5" x14ac:dyDescent="0.3">
      <c r="A8" s="52">
        <v>7</v>
      </c>
      <c r="B8" s="52" t="s">
        <v>18</v>
      </c>
      <c r="C8" s="52" t="s">
        <v>19</v>
      </c>
      <c r="D8" s="51">
        <v>1185695</v>
      </c>
      <c r="E8" s="52">
        <v>196696</v>
      </c>
      <c r="F8" s="52">
        <v>201819</v>
      </c>
      <c r="G8" s="52">
        <v>189451</v>
      </c>
      <c r="H8" s="52">
        <v>204056</v>
      </c>
      <c r="I8" s="52">
        <v>204102</v>
      </c>
      <c r="J8" s="52">
        <v>189571</v>
      </c>
      <c r="K8" s="51">
        <v>654524</v>
      </c>
      <c r="L8" s="52">
        <v>210067</v>
      </c>
      <c r="M8" s="52">
        <v>223062</v>
      </c>
      <c r="N8" s="52">
        <v>221395</v>
      </c>
      <c r="O8" s="52">
        <v>0</v>
      </c>
      <c r="P8" s="51">
        <v>418443</v>
      </c>
      <c r="Q8" s="52">
        <v>149525</v>
      </c>
      <c r="R8" s="52">
        <v>128503</v>
      </c>
      <c r="S8" s="52">
        <v>140415</v>
      </c>
      <c r="T8" s="51">
        <v>117863</v>
      </c>
      <c r="U8" s="52">
        <v>43755</v>
      </c>
      <c r="V8" s="52">
        <v>34177</v>
      </c>
      <c r="W8" s="52">
        <v>39735</v>
      </c>
      <c r="X8" s="52">
        <v>196</v>
      </c>
      <c r="Y8" s="52" t="s">
        <v>503</v>
      </c>
      <c r="Z8" s="54" t="s">
        <v>504</v>
      </c>
    </row>
    <row r="9" spans="1:26" ht="15.5" x14ac:dyDescent="0.3">
      <c r="A9" s="52">
        <v>8</v>
      </c>
      <c r="B9" s="52" t="s">
        <v>20</v>
      </c>
      <c r="C9" s="52" t="s">
        <v>21</v>
      </c>
      <c r="D9" s="51">
        <v>1278727</v>
      </c>
      <c r="E9" s="52">
        <v>214565</v>
      </c>
      <c r="F9" s="52">
        <v>222543</v>
      </c>
      <c r="G9" s="52">
        <v>220585</v>
      </c>
      <c r="H9" s="52">
        <v>244017</v>
      </c>
      <c r="I9" s="52">
        <v>244724</v>
      </c>
      <c r="J9" s="52">
        <v>132293</v>
      </c>
      <c r="K9" s="51">
        <v>913966</v>
      </c>
      <c r="L9" s="52">
        <v>250158</v>
      </c>
      <c r="M9" s="52">
        <v>273691</v>
      </c>
      <c r="N9" s="52">
        <v>278001</v>
      </c>
      <c r="O9" s="52">
        <v>112116</v>
      </c>
      <c r="P9" s="51">
        <v>551656</v>
      </c>
      <c r="Q9" s="52">
        <v>190255</v>
      </c>
      <c r="R9" s="52">
        <v>172378</v>
      </c>
      <c r="S9" s="52">
        <v>189023</v>
      </c>
      <c r="T9" s="51">
        <v>167688</v>
      </c>
      <c r="U9" s="52">
        <v>55176</v>
      </c>
      <c r="V9" s="52">
        <v>48755</v>
      </c>
      <c r="W9" s="52">
        <v>59861</v>
      </c>
      <c r="X9" s="52">
        <v>3896</v>
      </c>
      <c r="Y9" s="52" t="s">
        <v>503</v>
      </c>
      <c r="Z9" s="54" t="s">
        <v>504</v>
      </c>
    </row>
    <row r="10" spans="1:26" ht="15.5" x14ac:dyDescent="0.3">
      <c r="A10" s="52">
        <v>9</v>
      </c>
      <c r="B10" s="52" t="s">
        <v>22</v>
      </c>
      <c r="C10" s="52" t="s">
        <v>23</v>
      </c>
      <c r="D10" s="51">
        <v>826347</v>
      </c>
      <c r="E10" s="52">
        <v>184487</v>
      </c>
      <c r="F10" s="52">
        <v>182721</v>
      </c>
      <c r="G10" s="52">
        <v>161870</v>
      </c>
      <c r="H10" s="52">
        <v>153893</v>
      </c>
      <c r="I10" s="52">
        <v>143376</v>
      </c>
      <c r="J10" s="52">
        <v>0</v>
      </c>
      <c r="K10" s="51">
        <v>450954</v>
      </c>
      <c r="L10" s="52">
        <v>133063</v>
      </c>
      <c r="M10" s="52">
        <v>121237</v>
      </c>
      <c r="N10" s="52">
        <v>99635</v>
      </c>
      <c r="O10" s="52">
        <v>97019</v>
      </c>
      <c r="P10" s="51">
        <v>159445</v>
      </c>
      <c r="Q10" s="52">
        <v>54791</v>
      </c>
      <c r="R10" s="52">
        <v>52302</v>
      </c>
      <c r="S10" s="52">
        <v>52352</v>
      </c>
      <c r="T10" s="51">
        <v>99979</v>
      </c>
      <c r="U10" s="52">
        <v>34466</v>
      </c>
      <c r="V10" s="52">
        <v>32136</v>
      </c>
      <c r="W10" s="52">
        <v>30960</v>
      </c>
      <c r="X10" s="52">
        <v>2417</v>
      </c>
      <c r="Y10" s="52" t="s">
        <v>503</v>
      </c>
      <c r="Z10" s="54" t="s">
        <v>504</v>
      </c>
    </row>
    <row r="11" spans="1:26" ht="15.5" x14ac:dyDescent="0.3">
      <c r="A11" s="52">
        <v>10</v>
      </c>
      <c r="B11" s="52" t="s">
        <v>24</v>
      </c>
      <c r="C11" s="52" t="s">
        <v>25</v>
      </c>
      <c r="D11" s="51">
        <v>5726376</v>
      </c>
      <c r="E11" s="52">
        <v>1001249</v>
      </c>
      <c r="F11" s="52">
        <v>1023252</v>
      </c>
      <c r="G11" s="52">
        <v>956114</v>
      </c>
      <c r="H11" s="52">
        <v>936978</v>
      </c>
      <c r="I11" s="52">
        <v>921784</v>
      </c>
      <c r="J11" s="52">
        <v>886999</v>
      </c>
      <c r="K11" s="51">
        <v>2424561</v>
      </c>
      <c r="L11" s="52">
        <v>862163</v>
      </c>
      <c r="M11" s="52">
        <v>804797</v>
      </c>
      <c r="N11" s="52">
        <v>757188</v>
      </c>
      <c r="O11" s="52">
        <v>413</v>
      </c>
      <c r="P11" s="51">
        <v>1050290</v>
      </c>
      <c r="Q11" s="52">
        <v>387881</v>
      </c>
      <c r="R11" s="52">
        <v>350374</v>
      </c>
      <c r="S11" s="52">
        <v>312035</v>
      </c>
      <c r="T11" s="51">
        <v>621530</v>
      </c>
      <c r="U11" s="52">
        <v>212838</v>
      </c>
      <c r="V11" s="52">
        <v>197355</v>
      </c>
      <c r="W11" s="52">
        <v>207816</v>
      </c>
      <c r="X11" s="52">
        <v>3521</v>
      </c>
      <c r="Y11" s="52" t="s">
        <v>503</v>
      </c>
      <c r="Z11" s="54" t="s">
        <v>504</v>
      </c>
    </row>
    <row r="12" spans="1:26" ht="15.5" x14ac:dyDescent="0.3">
      <c r="A12" s="52">
        <v>11</v>
      </c>
      <c r="B12" s="52" t="s">
        <v>26</v>
      </c>
      <c r="C12" s="52" t="s">
        <v>27</v>
      </c>
      <c r="D12" s="51">
        <v>3671067</v>
      </c>
      <c r="E12" s="52">
        <v>655675</v>
      </c>
      <c r="F12" s="52">
        <v>661871</v>
      </c>
      <c r="G12" s="52">
        <v>610807</v>
      </c>
      <c r="H12" s="52">
        <v>589763</v>
      </c>
      <c r="I12" s="52">
        <v>584021</v>
      </c>
      <c r="J12" s="52">
        <v>568930</v>
      </c>
      <c r="K12" s="51">
        <v>1636986</v>
      </c>
      <c r="L12" s="52">
        <v>550411</v>
      </c>
      <c r="M12" s="52">
        <v>541160</v>
      </c>
      <c r="N12" s="52">
        <v>543464</v>
      </c>
      <c r="O12" s="52">
        <v>1951</v>
      </c>
      <c r="P12" s="51">
        <v>784233</v>
      </c>
      <c r="Q12" s="52">
        <v>273109</v>
      </c>
      <c r="R12" s="52">
        <v>254747</v>
      </c>
      <c r="S12" s="52">
        <v>256377</v>
      </c>
      <c r="T12" s="51">
        <v>542066</v>
      </c>
      <c r="U12" s="52">
        <v>199535</v>
      </c>
      <c r="V12" s="52">
        <v>171972</v>
      </c>
      <c r="W12" s="52">
        <v>165750</v>
      </c>
      <c r="X12" s="52">
        <v>4809</v>
      </c>
      <c r="Y12" s="52" t="s">
        <v>503</v>
      </c>
      <c r="Z12" s="54" t="s">
        <v>504</v>
      </c>
    </row>
    <row r="13" spans="1:26" ht="15.5" x14ac:dyDescent="0.3">
      <c r="A13" s="52">
        <v>12</v>
      </c>
      <c r="B13" s="52" t="s">
        <v>28</v>
      </c>
      <c r="C13" s="52" t="s">
        <v>29</v>
      </c>
      <c r="D13" s="51">
        <v>4621048</v>
      </c>
      <c r="E13" s="52">
        <v>795873</v>
      </c>
      <c r="F13" s="52">
        <v>814527</v>
      </c>
      <c r="G13" s="52">
        <v>773724</v>
      </c>
      <c r="H13" s="52">
        <v>744448</v>
      </c>
      <c r="I13" s="52">
        <v>752283</v>
      </c>
      <c r="J13" s="52">
        <v>740193</v>
      </c>
      <c r="K13" s="51">
        <v>2188323</v>
      </c>
      <c r="L13" s="52">
        <v>768721</v>
      </c>
      <c r="M13" s="52">
        <v>708289</v>
      </c>
      <c r="N13" s="52">
        <v>711313</v>
      </c>
      <c r="O13" s="52">
        <v>0</v>
      </c>
      <c r="P13" s="51">
        <v>1088028</v>
      </c>
      <c r="Q13" s="52">
        <v>378867</v>
      </c>
      <c r="R13" s="52">
        <v>357500</v>
      </c>
      <c r="S13" s="52">
        <v>351661</v>
      </c>
      <c r="T13" s="51">
        <v>750713</v>
      </c>
      <c r="U13" s="52">
        <v>302041</v>
      </c>
      <c r="V13" s="52">
        <v>235401</v>
      </c>
      <c r="W13" s="52">
        <v>211752</v>
      </c>
      <c r="X13" s="52">
        <v>1519</v>
      </c>
      <c r="Y13" s="52" t="s">
        <v>503</v>
      </c>
      <c r="Z13" s="54" t="s">
        <v>504</v>
      </c>
    </row>
    <row r="14" spans="1:26" ht="15.5" x14ac:dyDescent="0.3">
      <c r="A14" s="52">
        <v>13</v>
      </c>
      <c r="B14" s="52" t="s">
        <v>30</v>
      </c>
      <c r="C14" s="52" t="s">
        <v>31</v>
      </c>
      <c r="D14" s="51">
        <v>3343976</v>
      </c>
      <c r="E14" s="52">
        <v>622209</v>
      </c>
      <c r="F14" s="52">
        <v>609161</v>
      </c>
      <c r="G14" s="52">
        <v>533498</v>
      </c>
      <c r="H14" s="52">
        <v>527650</v>
      </c>
      <c r="I14" s="52">
        <v>530446</v>
      </c>
      <c r="J14" s="52">
        <v>521012</v>
      </c>
      <c r="K14" s="51">
        <v>1364564</v>
      </c>
      <c r="L14" s="52">
        <v>483296</v>
      </c>
      <c r="M14" s="52">
        <v>451788</v>
      </c>
      <c r="N14" s="52">
        <v>429480</v>
      </c>
      <c r="O14" s="52">
        <v>0</v>
      </c>
      <c r="P14" s="51">
        <v>639259</v>
      </c>
      <c r="Q14" s="52">
        <v>221952</v>
      </c>
      <c r="R14" s="52">
        <v>210107</v>
      </c>
      <c r="S14" s="52">
        <v>207200</v>
      </c>
      <c r="T14" s="51">
        <v>334826</v>
      </c>
      <c r="U14" s="52">
        <v>130157</v>
      </c>
      <c r="V14" s="52">
        <v>108132</v>
      </c>
      <c r="W14" s="52">
        <v>96484</v>
      </c>
      <c r="X14" s="52">
        <v>53</v>
      </c>
      <c r="Y14" s="52" t="s">
        <v>503</v>
      </c>
      <c r="Z14" s="54" t="s">
        <v>504</v>
      </c>
    </row>
    <row r="15" spans="1:26" ht="15.5" x14ac:dyDescent="0.3">
      <c r="A15" s="52">
        <v>14</v>
      </c>
      <c r="B15" s="52" t="s">
        <v>32</v>
      </c>
      <c r="C15" s="52" t="s">
        <v>33</v>
      </c>
      <c r="D15" s="51">
        <v>4114416</v>
      </c>
      <c r="E15" s="52">
        <v>659994</v>
      </c>
      <c r="F15" s="52">
        <v>704197</v>
      </c>
      <c r="G15" s="52">
        <v>680556</v>
      </c>
      <c r="H15" s="52">
        <v>685890</v>
      </c>
      <c r="I15" s="52">
        <v>701788</v>
      </c>
      <c r="J15" s="52">
        <v>681991</v>
      </c>
      <c r="K15" s="51">
        <v>2200671</v>
      </c>
      <c r="L15" s="52">
        <v>769665</v>
      </c>
      <c r="M15" s="52">
        <v>742033</v>
      </c>
      <c r="N15" s="52">
        <v>688973</v>
      </c>
      <c r="O15" s="52">
        <v>0</v>
      </c>
      <c r="P15" s="51">
        <v>1055368</v>
      </c>
      <c r="Q15" s="52">
        <v>377460</v>
      </c>
      <c r="R15" s="52">
        <v>342943</v>
      </c>
      <c r="S15" s="52">
        <v>334965</v>
      </c>
      <c r="T15" s="51">
        <v>385493</v>
      </c>
      <c r="U15" s="52">
        <v>151193</v>
      </c>
      <c r="V15" s="52">
        <v>121728</v>
      </c>
      <c r="W15" s="52">
        <v>111281</v>
      </c>
      <c r="X15" s="52">
        <v>1291</v>
      </c>
      <c r="Y15" s="52" t="s">
        <v>503</v>
      </c>
      <c r="Z15" s="54" t="s">
        <v>504</v>
      </c>
    </row>
    <row r="16" spans="1:26" ht="15.5" x14ac:dyDescent="0.3">
      <c r="A16" s="52">
        <v>15</v>
      </c>
      <c r="B16" s="52" t="s">
        <v>34</v>
      </c>
      <c r="C16" s="52" t="s">
        <v>35</v>
      </c>
      <c r="D16" s="51">
        <v>7385622</v>
      </c>
      <c r="E16" s="52">
        <v>1278553</v>
      </c>
      <c r="F16" s="52">
        <v>1301624</v>
      </c>
      <c r="G16" s="52">
        <v>1276041</v>
      </c>
      <c r="H16" s="52">
        <v>1245974</v>
      </c>
      <c r="I16" s="52">
        <v>1254570</v>
      </c>
      <c r="J16" s="52">
        <v>1028860</v>
      </c>
      <c r="K16" s="51">
        <v>3609195</v>
      </c>
      <c r="L16" s="52">
        <v>1173114</v>
      </c>
      <c r="M16" s="52">
        <v>1102090</v>
      </c>
      <c r="N16" s="52">
        <v>1098324</v>
      </c>
      <c r="O16" s="52">
        <v>235667</v>
      </c>
      <c r="P16" s="51">
        <v>1672070</v>
      </c>
      <c r="Q16" s="52">
        <v>587881</v>
      </c>
      <c r="R16" s="52">
        <v>541885</v>
      </c>
      <c r="S16" s="52">
        <v>542304</v>
      </c>
      <c r="T16" s="51">
        <v>730464</v>
      </c>
      <c r="U16" s="52">
        <v>267223</v>
      </c>
      <c r="V16" s="52">
        <v>229588</v>
      </c>
      <c r="W16" s="52">
        <v>232067</v>
      </c>
      <c r="X16" s="52">
        <v>1586</v>
      </c>
      <c r="Y16" s="52" t="s">
        <v>503</v>
      </c>
      <c r="Z16" s="54" t="s">
        <v>504</v>
      </c>
    </row>
    <row r="17" spans="1:26" ht="15.5" x14ac:dyDescent="0.3">
      <c r="A17" s="52">
        <v>16</v>
      </c>
      <c r="B17" s="52" t="s">
        <v>36</v>
      </c>
      <c r="C17" s="52" t="s">
        <v>37</v>
      </c>
      <c r="D17" s="51">
        <v>10124818</v>
      </c>
      <c r="E17" s="52">
        <v>1737614</v>
      </c>
      <c r="F17" s="52">
        <v>1742698</v>
      </c>
      <c r="G17" s="52">
        <v>1725172</v>
      </c>
      <c r="H17" s="52">
        <v>1715409</v>
      </c>
      <c r="I17" s="52">
        <v>1681715</v>
      </c>
      <c r="J17" s="52">
        <v>1522210</v>
      </c>
      <c r="K17" s="51">
        <v>4684765</v>
      </c>
      <c r="L17" s="52">
        <v>1578696</v>
      </c>
      <c r="M17" s="52">
        <v>1606193</v>
      </c>
      <c r="N17" s="52">
        <v>1484612</v>
      </c>
      <c r="O17" s="52">
        <v>15264</v>
      </c>
      <c r="P17" s="51">
        <v>2158790</v>
      </c>
      <c r="Q17" s="52">
        <v>749822</v>
      </c>
      <c r="R17" s="52">
        <v>718465</v>
      </c>
      <c r="S17" s="52">
        <v>690503</v>
      </c>
      <c r="T17" s="51">
        <v>1110637</v>
      </c>
      <c r="U17" s="52">
        <v>420863</v>
      </c>
      <c r="V17" s="52">
        <v>359113</v>
      </c>
      <c r="W17" s="52">
        <v>327322</v>
      </c>
      <c r="X17" s="52">
        <v>3339</v>
      </c>
      <c r="Y17" s="52" t="s">
        <v>503</v>
      </c>
      <c r="Z17" s="54" t="s">
        <v>504</v>
      </c>
    </row>
    <row r="18" spans="1:26" ht="15.5" x14ac:dyDescent="0.3">
      <c r="A18" s="52">
        <v>17</v>
      </c>
      <c r="B18" s="52" t="s">
        <v>38</v>
      </c>
      <c r="C18" s="52" t="s">
        <v>39</v>
      </c>
      <c r="D18" s="51">
        <v>3764794</v>
      </c>
      <c r="E18" s="52">
        <v>657991</v>
      </c>
      <c r="F18" s="52">
        <v>667493</v>
      </c>
      <c r="G18" s="52">
        <v>626317</v>
      </c>
      <c r="H18" s="52">
        <v>616808</v>
      </c>
      <c r="I18" s="52">
        <v>618576</v>
      </c>
      <c r="J18" s="52">
        <v>577609</v>
      </c>
      <c r="K18" s="51">
        <v>1653660</v>
      </c>
      <c r="L18" s="52">
        <v>565340</v>
      </c>
      <c r="M18" s="52">
        <v>560560</v>
      </c>
      <c r="N18" s="52">
        <v>527007</v>
      </c>
      <c r="O18" s="52">
        <v>753</v>
      </c>
      <c r="P18" s="51">
        <v>852203</v>
      </c>
      <c r="Q18" s="52">
        <v>301461</v>
      </c>
      <c r="R18" s="52">
        <v>276468</v>
      </c>
      <c r="S18" s="52">
        <v>274274</v>
      </c>
      <c r="T18" s="51">
        <v>391910</v>
      </c>
      <c r="U18" s="52">
        <v>145004</v>
      </c>
      <c r="V18" s="52">
        <v>125614</v>
      </c>
      <c r="W18" s="52">
        <v>118843</v>
      </c>
      <c r="X18" s="52">
        <v>2449</v>
      </c>
      <c r="Y18" s="52" t="s">
        <v>503</v>
      </c>
      <c r="Z18" s="54" t="s">
        <v>504</v>
      </c>
    </row>
    <row r="19" spans="1:26" ht="15.5" x14ac:dyDescent="0.3">
      <c r="A19" s="52">
        <v>18</v>
      </c>
      <c r="B19" s="52" t="s">
        <v>40</v>
      </c>
      <c r="C19" s="52" t="s">
        <v>41</v>
      </c>
      <c r="D19" s="51">
        <v>5287730</v>
      </c>
      <c r="E19" s="52">
        <v>895437</v>
      </c>
      <c r="F19" s="52">
        <v>925421</v>
      </c>
      <c r="G19" s="52">
        <v>881548</v>
      </c>
      <c r="H19" s="52">
        <v>892974</v>
      </c>
      <c r="I19" s="52">
        <v>879795</v>
      </c>
      <c r="J19" s="52">
        <v>812555</v>
      </c>
      <c r="K19" s="51">
        <v>2482512</v>
      </c>
      <c r="L19" s="52">
        <v>851250</v>
      </c>
      <c r="M19" s="52">
        <v>844757</v>
      </c>
      <c r="N19" s="52">
        <v>786505</v>
      </c>
      <c r="O19" s="52">
        <v>0</v>
      </c>
      <c r="P19" s="51">
        <v>1221359</v>
      </c>
      <c r="Q19" s="52">
        <v>437345</v>
      </c>
      <c r="R19" s="52">
        <v>398401</v>
      </c>
      <c r="S19" s="52">
        <v>385613</v>
      </c>
      <c r="T19" s="51">
        <v>669992</v>
      </c>
      <c r="U19" s="52">
        <v>253735</v>
      </c>
      <c r="V19" s="52">
        <v>213939</v>
      </c>
      <c r="W19" s="52">
        <v>198350</v>
      </c>
      <c r="X19" s="52">
        <v>3968</v>
      </c>
      <c r="Y19" s="52" t="s">
        <v>503</v>
      </c>
      <c r="Z19" s="54" t="s">
        <v>504</v>
      </c>
    </row>
    <row r="20" spans="1:26" ht="15.5" x14ac:dyDescent="0.3">
      <c r="A20" s="52">
        <v>19</v>
      </c>
      <c r="B20" s="52" t="s">
        <v>42</v>
      </c>
      <c r="C20" s="52" t="s">
        <v>43</v>
      </c>
      <c r="D20" s="51">
        <v>10334303</v>
      </c>
      <c r="E20" s="52">
        <v>1943524</v>
      </c>
      <c r="F20" s="52">
        <v>1880445</v>
      </c>
      <c r="G20" s="52">
        <v>1732964</v>
      </c>
      <c r="H20" s="52">
        <v>1692611</v>
      </c>
      <c r="I20" s="52">
        <v>1614477</v>
      </c>
      <c r="J20" s="52">
        <v>1470282</v>
      </c>
      <c r="K20" s="51">
        <v>3890283</v>
      </c>
      <c r="L20" s="52">
        <v>1380263</v>
      </c>
      <c r="M20" s="52">
        <v>1299934</v>
      </c>
      <c r="N20" s="52">
        <v>1210086</v>
      </c>
      <c r="O20" s="52">
        <v>0</v>
      </c>
      <c r="P20" s="51">
        <v>1837399</v>
      </c>
      <c r="Q20" s="52">
        <v>639955</v>
      </c>
      <c r="R20" s="52">
        <v>597021</v>
      </c>
      <c r="S20" s="52">
        <v>600423</v>
      </c>
      <c r="T20" s="51">
        <v>859668</v>
      </c>
      <c r="U20" s="52">
        <v>314750</v>
      </c>
      <c r="V20" s="52">
        <v>278830</v>
      </c>
      <c r="W20" s="52">
        <v>265271</v>
      </c>
      <c r="X20" s="52">
        <v>817</v>
      </c>
      <c r="Y20" s="52" t="s">
        <v>503</v>
      </c>
      <c r="Z20" s="54" t="s">
        <v>504</v>
      </c>
    </row>
    <row r="21" spans="1:26" ht="15.5" x14ac:dyDescent="0.3">
      <c r="A21" s="52">
        <v>20</v>
      </c>
      <c r="B21" s="52" t="s">
        <v>44</v>
      </c>
      <c r="C21" s="52" t="s">
        <v>45</v>
      </c>
      <c r="D21" s="51">
        <v>4950349</v>
      </c>
      <c r="E21" s="52">
        <v>932950</v>
      </c>
      <c r="F21" s="52">
        <v>857306</v>
      </c>
      <c r="G21" s="52">
        <v>833981</v>
      </c>
      <c r="H21" s="52">
        <v>810633</v>
      </c>
      <c r="I21" s="52">
        <v>768363</v>
      </c>
      <c r="J21" s="52">
        <v>747116</v>
      </c>
      <c r="K21" s="51">
        <v>2204864</v>
      </c>
      <c r="L21" s="52">
        <v>760125</v>
      </c>
      <c r="M21" s="52">
        <v>736481</v>
      </c>
      <c r="N21" s="52">
        <v>708258</v>
      </c>
      <c r="O21" s="52">
        <v>0</v>
      </c>
      <c r="P21" s="51">
        <v>1091029</v>
      </c>
      <c r="Q21" s="52">
        <v>394307</v>
      </c>
      <c r="R21" s="52">
        <v>357515</v>
      </c>
      <c r="S21" s="52">
        <v>339207</v>
      </c>
      <c r="T21" s="51">
        <v>680286</v>
      </c>
      <c r="U21" s="52">
        <v>259391</v>
      </c>
      <c r="V21" s="52">
        <v>218249</v>
      </c>
      <c r="W21" s="52">
        <v>201498</v>
      </c>
      <c r="X21" s="52">
        <v>1148</v>
      </c>
      <c r="Y21" s="52" t="s">
        <v>503</v>
      </c>
      <c r="Z21" s="54" t="s">
        <v>504</v>
      </c>
    </row>
    <row r="22" spans="1:26" ht="15.5" x14ac:dyDescent="0.3">
      <c r="A22" s="52">
        <v>21</v>
      </c>
      <c r="B22" s="52" t="s">
        <v>46</v>
      </c>
      <c r="C22" s="52" t="s">
        <v>47</v>
      </c>
      <c r="D22" s="51">
        <v>853075</v>
      </c>
      <c r="E22" s="52">
        <v>152354</v>
      </c>
      <c r="F22" s="52">
        <v>151374</v>
      </c>
      <c r="G22" s="52">
        <v>141760</v>
      </c>
      <c r="H22" s="52">
        <v>138095</v>
      </c>
      <c r="I22" s="52">
        <v>136952</v>
      </c>
      <c r="J22" s="52">
        <v>132540</v>
      </c>
      <c r="K22" s="51">
        <v>369015</v>
      </c>
      <c r="L22" s="52">
        <v>126326</v>
      </c>
      <c r="M22" s="52">
        <v>125955</v>
      </c>
      <c r="N22" s="52">
        <v>116734</v>
      </c>
      <c r="O22" s="52">
        <v>0</v>
      </c>
      <c r="P22" s="51">
        <v>172528</v>
      </c>
      <c r="Q22" s="52">
        <v>60614</v>
      </c>
      <c r="R22" s="52">
        <v>56403</v>
      </c>
      <c r="S22" s="52">
        <v>55511</v>
      </c>
      <c r="T22" s="51">
        <v>117313</v>
      </c>
      <c r="U22" s="52">
        <v>42824</v>
      </c>
      <c r="V22" s="52">
        <v>37437</v>
      </c>
      <c r="W22" s="52">
        <v>35811</v>
      </c>
      <c r="X22" s="52">
        <v>1241</v>
      </c>
      <c r="Y22" s="52" t="s">
        <v>503</v>
      </c>
      <c r="Z22" s="54" t="s">
        <v>504</v>
      </c>
    </row>
    <row r="23" spans="1:26" ht="15.5" x14ac:dyDescent="0.3">
      <c r="A23" s="52">
        <v>22</v>
      </c>
      <c r="B23" s="52" t="s">
        <v>48</v>
      </c>
      <c r="C23" s="52" t="s">
        <v>49</v>
      </c>
      <c r="D23" s="51">
        <v>2062948</v>
      </c>
      <c r="E23" s="52">
        <v>340508</v>
      </c>
      <c r="F23" s="52">
        <v>341899</v>
      </c>
      <c r="G23" s="52">
        <v>328542</v>
      </c>
      <c r="H23" s="52">
        <v>338980</v>
      </c>
      <c r="I23" s="52">
        <v>341805</v>
      </c>
      <c r="J23" s="52">
        <v>371214</v>
      </c>
      <c r="K23" s="51">
        <v>1115764</v>
      </c>
      <c r="L23" s="52">
        <v>396439</v>
      </c>
      <c r="M23" s="52">
        <v>370608</v>
      </c>
      <c r="N23" s="52">
        <v>348717</v>
      </c>
      <c r="O23" s="52">
        <v>0</v>
      </c>
      <c r="P23" s="51">
        <v>616561</v>
      </c>
      <c r="Q23" s="52">
        <v>209996</v>
      </c>
      <c r="R23" s="52">
        <v>197917</v>
      </c>
      <c r="S23" s="52">
        <v>208648</v>
      </c>
      <c r="T23" s="51">
        <v>317203</v>
      </c>
      <c r="U23" s="52">
        <v>123648</v>
      </c>
      <c r="V23" s="52">
        <v>99910</v>
      </c>
      <c r="W23" s="52">
        <v>92961</v>
      </c>
      <c r="X23" s="52">
        <v>684</v>
      </c>
      <c r="Y23" s="52" t="s">
        <v>503</v>
      </c>
      <c r="Z23" s="54" t="s">
        <v>504</v>
      </c>
    </row>
    <row r="24" spans="1:26" ht="15.5" x14ac:dyDescent="0.3">
      <c r="A24" s="52">
        <v>23</v>
      </c>
      <c r="B24" s="52" t="s">
        <v>50</v>
      </c>
      <c r="C24" s="52" t="s">
        <v>51</v>
      </c>
      <c r="D24" s="51">
        <v>5557731</v>
      </c>
      <c r="E24" s="52">
        <v>933467</v>
      </c>
      <c r="F24" s="52">
        <v>946206</v>
      </c>
      <c r="G24" s="52">
        <v>909411</v>
      </c>
      <c r="H24" s="52">
        <v>921602</v>
      </c>
      <c r="I24" s="52">
        <v>924924</v>
      </c>
      <c r="J24" s="52">
        <v>922121</v>
      </c>
      <c r="K24" s="51">
        <v>2737192</v>
      </c>
      <c r="L24" s="52">
        <v>943769</v>
      </c>
      <c r="M24" s="52">
        <v>925667</v>
      </c>
      <c r="N24" s="52">
        <v>867756</v>
      </c>
      <c r="O24" s="52">
        <v>0</v>
      </c>
      <c r="P24" s="51">
        <v>1398064</v>
      </c>
      <c r="Q24" s="52">
        <v>484331</v>
      </c>
      <c r="R24" s="52">
        <v>455851</v>
      </c>
      <c r="S24" s="52">
        <v>457882</v>
      </c>
      <c r="T24" s="51">
        <v>796091</v>
      </c>
      <c r="U24" s="52">
        <v>323971</v>
      </c>
      <c r="V24" s="52">
        <v>237531</v>
      </c>
      <c r="W24" s="52">
        <v>233303</v>
      </c>
      <c r="X24" s="52">
        <v>1286</v>
      </c>
      <c r="Y24" s="52" t="s">
        <v>503</v>
      </c>
      <c r="Z24" s="54" t="s">
        <v>504</v>
      </c>
    </row>
    <row r="25" spans="1:26" ht="15.5" x14ac:dyDescent="0.3">
      <c r="A25" s="52">
        <v>24</v>
      </c>
      <c r="B25" s="52" t="s">
        <v>52</v>
      </c>
      <c r="C25" s="52" t="s">
        <v>53</v>
      </c>
      <c r="D25" s="51">
        <v>3882991</v>
      </c>
      <c r="E25" s="52">
        <v>687630</v>
      </c>
      <c r="F25" s="52">
        <v>676610</v>
      </c>
      <c r="G25" s="52">
        <v>657004</v>
      </c>
      <c r="H25" s="52">
        <v>652671</v>
      </c>
      <c r="I25" s="52">
        <v>628070</v>
      </c>
      <c r="J25" s="52">
        <v>581006</v>
      </c>
      <c r="K25" s="51">
        <v>1792803</v>
      </c>
      <c r="L25" s="52">
        <v>561856</v>
      </c>
      <c r="M25" s="52">
        <v>620783</v>
      </c>
      <c r="N25" s="52">
        <v>610164</v>
      </c>
      <c r="O25" s="52">
        <v>0</v>
      </c>
      <c r="P25" s="51">
        <v>992072</v>
      </c>
      <c r="Q25" s="52">
        <v>325044</v>
      </c>
      <c r="R25" s="52">
        <v>325976</v>
      </c>
      <c r="S25" s="52">
        <v>341052</v>
      </c>
      <c r="T25" s="51">
        <v>438121</v>
      </c>
      <c r="U25" s="52">
        <v>154920</v>
      </c>
      <c r="V25" s="52">
        <v>142578</v>
      </c>
      <c r="W25" s="52">
        <v>140623</v>
      </c>
      <c r="X25" s="52">
        <v>0</v>
      </c>
      <c r="Y25" s="52" t="s">
        <v>503</v>
      </c>
      <c r="Z25" s="54" t="s">
        <v>504</v>
      </c>
    </row>
    <row r="26" spans="1:26" ht="15.5" x14ac:dyDescent="0.3">
      <c r="A26" s="52">
        <v>25</v>
      </c>
      <c r="B26" s="52" t="s">
        <v>54</v>
      </c>
      <c r="C26" s="52" t="s">
        <v>350</v>
      </c>
      <c r="D26" s="51">
        <v>3851042</v>
      </c>
      <c r="E26" s="52">
        <v>669891</v>
      </c>
      <c r="F26" s="52">
        <v>665121</v>
      </c>
      <c r="G26" s="52">
        <v>633846</v>
      </c>
      <c r="H26" s="52">
        <v>642597</v>
      </c>
      <c r="I26" s="52">
        <v>631997</v>
      </c>
      <c r="J26" s="52">
        <v>607590</v>
      </c>
      <c r="K26" s="51">
        <v>1845363</v>
      </c>
      <c r="L26" s="52">
        <v>607386</v>
      </c>
      <c r="M26" s="52">
        <v>612605</v>
      </c>
      <c r="N26" s="52">
        <v>625372</v>
      </c>
      <c r="O26" s="52">
        <v>0</v>
      </c>
      <c r="P26" s="51">
        <v>909138</v>
      </c>
      <c r="Q26" s="52">
        <v>330706</v>
      </c>
      <c r="R26" s="52">
        <v>294676</v>
      </c>
      <c r="S26" s="52">
        <v>283756</v>
      </c>
      <c r="T26" s="51">
        <v>513232</v>
      </c>
      <c r="U26" s="52">
        <v>194853</v>
      </c>
      <c r="V26" s="52">
        <v>163960</v>
      </c>
      <c r="W26" s="52">
        <v>154134</v>
      </c>
      <c r="X26" s="52">
        <v>285</v>
      </c>
      <c r="Y26" s="52" t="s">
        <v>503</v>
      </c>
      <c r="Z26" s="54" t="s">
        <v>504</v>
      </c>
    </row>
    <row r="27" spans="1:26" ht="15.5" x14ac:dyDescent="0.3">
      <c r="A27" s="52">
        <v>26</v>
      </c>
      <c r="B27" s="52" t="s">
        <v>55</v>
      </c>
      <c r="C27" s="52" t="s">
        <v>56</v>
      </c>
      <c r="D27" s="51">
        <v>340952</v>
      </c>
      <c r="E27" s="52">
        <v>61762</v>
      </c>
      <c r="F27" s="52">
        <v>60639</v>
      </c>
      <c r="G27" s="52">
        <v>59023</v>
      </c>
      <c r="H27" s="52">
        <v>56249</v>
      </c>
      <c r="I27" s="52">
        <v>52275</v>
      </c>
      <c r="J27" s="52">
        <v>51004</v>
      </c>
      <c r="K27" s="51">
        <v>139808</v>
      </c>
      <c r="L27" s="52">
        <v>48681</v>
      </c>
      <c r="M27" s="52">
        <v>47347</v>
      </c>
      <c r="N27" s="52">
        <v>43780</v>
      </c>
      <c r="O27" s="52">
        <v>0</v>
      </c>
      <c r="P27" s="51">
        <v>65500</v>
      </c>
      <c r="Q27" s="52">
        <v>23278</v>
      </c>
      <c r="R27" s="52">
        <v>22114</v>
      </c>
      <c r="S27" s="52">
        <v>20108</v>
      </c>
      <c r="T27" s="51">
        <v>25402</v>
      </c>
      <c r="U27" s="52">
        <v>10537</v>
      </c>
      <c r="V27" s="52">
        <v>8624</v>
      </c>
      <c r="W27" s="52">
        <v>6137</v>
      </c>
      <c r="X27" s="52">
        <v>104</v>
      </c>
      <c r="Y27" s="52" t="s">
        <v>503</v>
      </c>
      <c r="Z27" s="54" t="s">
        <v>504</v>
      </c>
    </row>
    <row r="28" spans="1:26" ht="15.5" x14ac:dyDescent="0.3">
      <c r="A28" s="52">
        <v>27</v>
      </c>
      <c r="B28" s="52" t="s">
        <v>57</v>
      </c>
      <c r="C28" s="52" t="s">
        <v>58</v>
      </c>
      <c r="D28" s="51">
        <v>2775874</v>
      </c>
      <c r="E28" s="52">
        <v>511087</v>
      </c>
      <c r="F28" s="52">
        <v>513375</v>
      </c>
      <c r="G28" s="52">
        <v>480248</v>
      </c>
      <c r="H28" s="52">
        <v>458147</v>
      </c>
      <c r="I28" s="52">
        <v>414447</v>
      </c>
      <c r="J28" s="52">
        <v>398570</v>
      </c>
      <c r="K28" s="51">
        <v>1123519</v>
      </c>
      <c r="L28" s="52">
        <v>392362</v>
      </c>
      <c r="M28" s="52">
        <v>376605</v>
      </c>
      <c r="N28" s="52">
        <v>354552</v>
      </c>
      <c r="O28" s="52">
        <v>0</v>
      </c>
      <c r="P28" s="51">
        <v>683891</v>
      </c>
      <c r="Q28" s="52">
        <v>212763</v>
      </c>
      <c r="R28" s="52">
        <v>229518</v>
      </c>
      <c r="S28" s="52">
        <v>241610</v>
      </c>
      <c r="T28" s="51">
        <v>257529</v>
      </c>
      <c r="U28" s="52">
        <v>109211</v>
      </c>
      <c r="V28" s="52">
        <v>75407</v>
      </c>
      <c r="W28" s="52">
        <v>72534</v>
      </c>
      <c r="X28" s="52">
        <v>377</v>
      </c>
      <c r="Y28" s="52" t="s">
        <v>503</v>
      </c>
      <c r="Z28" s="54" t="s">
        <v>504</v>
      </c>
    </row>
    <row r="29" spans="1:26" ht="15.5" x14ac:dyDescent="0.3">
      <c r="A29" s="52">
        <v>28</v>
      </c>
      <c r="B29" s="52" t="s">
        <v>59</v>
      </c>
      <c r="C29" s="52" t="s">
        <v>60</v>
      </c>
      <c r="D29" s="51">
        <v>1941406</v>
      </c>
      <c r="E29" s="52">
        <v>352397</v>
      </c>
      <c r="F29" s="52">
        <v>344275</v>
      </c>
      <c r="G29" s="52">
        <v>334477</v>
      </c>
      <c r="H29" s="52">
        <v>322715</v>
      </c>
      <c r="I29" s="52">
        <v>307656</v>
      </c>
      <c r="J29" s="52">
        <v>279886</v>
      </c>
      <c r="K29" s="51">
        <v>881781</v>
      </c>
      <c r="L29" s="52">
        <v>299865</v>
      </c>
      <c r="M29" s="52">
        <v>295777</v>
      </c>
      <c r="N29" s="52">
        <v>286139</v>
      </c>
      <c r="O29" s="52">
        <v>0</v>
      </c>
      <c r="P29" s="51">
        <v>526270</v>
      </c>
      <c r="Q29" s="52">
        <v>172022</v>
      </c>
      <c r="R29" s="52">
        <v>171777</v>
      </c>
      <c r="S29" s="52">
        <v>182471</v>
      </c>
      <c r="T29" s="51">
        <v>186733</v>
      </c>
      <c r="U29" s="52">
        <v>76059</v>
      </c>
      <c r="V29" s="52">
        <v>60614</v>
      </c>
      <c r="W29" s="52">
        <v>49730</v>
      </c>
      <c r="X29" s="52">
        <v>330</v>
      </c>
      <c r="Y29" s="52" t="s">
        <v>503</v>
      </c>
      <c r="Z29" s="54" t="s">
        <v>504</v>
      </c>
    </row>
    <row r="30" spans="1:26" ht="15.5" x14ac:dyDescent="0.3">
      <c r="A30" s="52">
        <v>29</v>
      </c>
      <c r="B30" s="52" t="s">
        <v>61</v>
      </c>
      <c r="C30" s="52" t="s">
        <v>62</v>
      </c>
      <c r="D30" s="51">
        <v>498501</v>
      </c>
      <c r="E30" s="52">
        <v>90630</v>
      </c>
      <c r="F30" s="52">
        <v>90653</v>
      </c>
      <c r="G30" s="52">
        <v>85734</v>
      </c>
      <c r="H30" s="52">
        <v>80782</v>
      </c>
      <c r="I30" s="52">
        <v>76048</v>
      </c>
      <c r="J30" s="52">
        <v>74654</v>
      </c>
      <c r="K30" s="51">
        <v>225270</v>
      </c>
      <c r="L30" s="52">
        <v>74004</v>
      </c>
      <c r="M30" s="52">
        <v>75814</v>
      </c>
      <c r="N30" s="52">
        <v>75452</v>
      </c>
      <c r="O30" s="52">
        <v>0</v>
      </c>
      <c r="P30" s="51">
        <v>126349</v>
      </c>
      <c r="Q30" s="52">
        <v>42424</v>
      </c>
      <c r="R30" s="52">
        <v>41843</v>
      </c>
      <c r="S30" s="52">
        <v>42082</v>
      </c>
      <c r="T30" s="51">
        <v>81621</v>
      </c>
      <c r="U30" s="52">
        <v>31927</v>
      </c>
      <c r="V30" s="52">
        <v>25103</v>
      </c>
      <c r="W30" s="52">
        <v>22679</v>
      </c>
      <c r="X30" s="52">
        <v>1912</v>
      </c>
      <c r="Y30" s="52" t="s">
        <v>503</v>
      </c>
      <c r="Z30" s="54" t="s">
        <v>504</v>
      </c>
    </row>
    <row r="31" spans="1:26" ht="15.5" x14ac:dyDescent="0.3">
      <c r="A31" s="52">
        <v>30</v>
      </c>
      <c r="B31" s="52" t="s">
        <v>63</v>
      </c>
      <c r="C31" s="52" t="s">
        <v>64</v>
      </c>
      <c r="D31" s="51">
        <v>584149</v>
      </c>
      <c r="E31" s="52">
        <v>101925</v>
      </c>
      <c r="F31" s="52">
        <v>100414</v>
      </c>
      <c r="G31" s="52">
        <v>97198</v>
      </c>
      <c r="H31" s="52">
        <v>96761</v>
      </c>
      <c r="I31" s="52">
        <v>94084</v>
      </c>
      <c r="J31" s="52">
        <v>93767</v>
      </c>
      <c r="K31" s="51">
        <v>298799</v>
      </c>
      <c r="L31" s="52">
        <v>100340</v>
      </c>
      <c r="M31" s="52">
        <v>100855</v>
      </c>
      <c r="N31" s="52">
        <v>97604</v>
      </c>
      <c r="O31" s="52">
        <v>0</v>
      </c>
      <c r="P31" s="51">
        <v>153403</v>
      </c>
      <c r="Q31" s="52">
        <v>53655</v>
      </c>
      <c r="R31" s="52">
        <v>50601</v>
      </c>
      <c r="S31" s="52">
        <v>49147</v>
      </c>
      <c r="T31" s="51">
        <v>74640</v>
      </c>
      <c r="U31" s="52">
        <v>27933</v>
      </c>
      <c r="V31" s="52">
        <v>24202</v>
      </c>
      <c r="W31" s="52">
        <v>22019</v>
      </c>
      <c r="X31" s="52">
        <v>486</v>
      </c>
      <c r="Y31" s="52" t="s">
        <v>503</v>
      </c>
      <c r="Z31" s="54" t="s">
        <v>504</v>
      </c>
    </row>
    <row r="32" spans="1:26" ht="15.5" x14ac:dyDescent="0.3">
      <c r="A32" s="52">
        <v>31</v>
      </c>
      <c r="B32" s="52" t="s">
        <v>65</v>
      </c>
      <c r="C32" s="52" t="s">
        <v>66</v>
      </c>
      <c r="D32" s="51">
        <v>2606825</v>
      </c>
      <c r="E32" s="52">
        <v>530064</v>
      </c>
      <c r="F32" s="52">
        <v>468530</v>
      </c>
      <c r="G32" s="52">
        <v>433289</v>
      </c>
      <c r="H32" s="52">
        <v>405616</v>
      </c>
      <c r="I32" s="52">
        <v>396712</v>
      </c>
      <c r="J32" s="52">
        <v>372614</v>
      </c>
      <c r="K32" s="51">
        <v>977144</v>
      </c>
      <c r="L32" s="52">
        <v>347953</v>
      </c>
      <c r="M32" s="52">
        <v>321536</v>
      </c>
      <c r="N32" s="52">
        <v>307655</v>
      </c>
      <c r="O32" s="52">
        <v>0</v>
      </c>
      <c r="P32" s="51">
        <v>528445</v>
      </c>
      <c r="Q32" s="52">
        <v>170126</v>
      </c>
      <c r="R32" s="52">
        <v>163643</v>
      </c>
      <c r="S32" s="52">
        <v>194676</v>
      </c>
      <c r="T32" s="51">
        <v>255437</v>
      </c>
      <c r="U32" s="52">
        <v>87327</v>
      </c>
      <c r="V32" s="52">
        <v>92782</v>
      </c>
      <c r="W32" s="52">
        <v>72663</v>
      </c>
      <c r="X32" s="52">
        <v>2665</v>
      </c>
      <c r="Y32" s="52" t="s">
        <v>503</v>
      </c>
      <c r="Z32" s="54" t="s">
        <v>504</v>
      </c>
    </row>
  </sheetData>
  <phoneticPr fontId="24" type="noConversion"/>
  <hyperlinks>
    <hyperlink ref="Z2" r:id="rId1" xr:uid="{00000000-0004-0000-0B00-000000000000}"/>
    <hyperlink ref="Z3" r:id="rId2" xr:uid="{00000000-0004-0000-0B00-000001000000}"/>
    <hyperlink ref="Z4" r:id="rId3" xr:uid="{00000000-0004-0000-0B00-000002000000}"/>
    <hyperlink ref="Z5" r:id="rId4" xr:uid="{00000000-0004-0000-0B00-000003000000}"/>
    <hyperlink ref="Z6" r:id="rId5" xr:uid="{00000000-0004-0000-0B00-000004000000}"/>
    <hyperlink ref="Z7" r:id="rId6" xr:uid="{00000000-0004-0000-0B00-000005000000}"/>
    <hyperlink ref="Z8" r:id="rId7" xr:uid="{00000000-0004-0000-0B00-000006000000}"/>
    <hyperlink ref="Z9" r:id="rId8" xr:uid="{00000000-0004-0000-0B00-000007000000}"/>
    <hyperlink ref="Z10" r:id="rId9" xr:uid="{00000000-0004-0000-0B00-000008000000}"/>
    <hyperlink ref="Z11" r:id="rId10" xr:uid="{00000000-0004-0000-0B00-000009000000}"/>
    <hyperlink ref="Z12" r:id="rId11" xr:uid="{00000000-0004-0000-0B00-00000A000000}"/>
    <hyperlink ref="Z13" r:id="rId12" xr:uid="{00000000-0004-0000-0B00-00000B000000}"/>
    <hyperlink ref="Z14" r:id="rId13" xr:uid="{00000000-0004-0000-0B00-00000C000000}"/>
    <hyperlink ref="Z15" r:id="rId14" xr:uid="{00000000-0004-0000-0B00-00000D000000}"/>
    <hyperlink ref="Z16" r:id="rId15" xr:uid="{00000000-0004-0000-0B00-00000E000000}"/>
    <hyperlink ref="Z17" r:id="rId16" xr:uid="{00000000-0004-0000-0B00-00000F000000}"/>
    <hyperlink ref="Z18" r:id="rId17" xr:uid="{00000000-0004-0000-0B00-000010000000}"/>
    <hyperlink ref="Z19" r:id="rId18" xr:uid="{00000000-0004-0000-0B00-000011000000}"/>
    <hyperlink ref="Z20" r:id="rId19" xr:uid="{00000000-0004-0000-0B00-000012000000}"/>
    <hyperlink ref="Z21" r:id="rId20" xr:uid="{00000000-0004-0000-0B00-000013000000}"/>
    <hyperlink ref="Z22" r:id="rId21" xr:uid="{00000000-0004-0000-0B00-000014000000}"/>
    <hyperlink ref="Z23" r:id="rId22" xr:uid="{00000000-0004-0000-0B00-000015000000}"/>
    <hyperlink ref="Z24" r:id="rId23" xr:uid="{00000000-0004-0000-0B00-000016000000}"/>
    <hyperlink ref="Z25" r:id="rId24" xr:uid="{00000000-0004-0000-0B00-000017000000}"/>
    <hyperlink ref="Z26" r:id="rId25" xr:uid="{00000000-0004-0000-0B00-000018000000}"/>
    <hyperlink ref="Z27" r:id="rId26" xr:uid="{00000000-0004-0000-0B00-000019000000}"/>
    <hyperlink ref="Z28" r:id="rId27" xr:uid="{00000000-0004-0000-0B00-00001A000000}"/>
    <hyperlink ref="Z29" r:id="rId28" xr:uid="{00000000-0004-0000-0B00-00001B000000}"/>
    <hyperlink ref="Z30" r:id="rId29" xr:uid="{00000000-0004-0000-0B00-00001C000000}"/>
    <hyperlink ref="Z31" r:id="rId30" xr:uid="{00000000-0004-0000-0B00-00001D000000}"/>
    <hyperlink ref="Z32" r:id="rId31" xr:uid="{00000000-0004-0000-0B00-00001E000000}"/>
  </hyperlink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F35"/>
  <sheetViews>
    <sheetView workbookViewId="0">
      <selection activeCell="F2" sqref="F2"/>
    </sheetView>
  </sheetViews>
  <sheetFormatPr defaultColWidth="9" defaultRowHeight="14" x14ac:dyDescent="0.3"/>
  <cols>
    <col min="1" max="1" width="5.25" customWidth="1"/>
    <col min="2" max="2" width="10.83203125" customWidth="1"/>
    <col min="3" max="3" width="13.75" customWidth="1"/>
    <col min="4" max="4" width="34" customWidth="1"/>
    <col min="5" max="5" width="29.83203125" customWidth="1"/>
  </cols>
  <sheetData>
    <row r="1" spans="1:6" s="48" customFormat="1" ht="15" x14ac:dyDescent="0.3">
      <c r="A1" s="49" t="s">
        <v>0</v>
      </c>
      <c r="B1" s="49" t="s">
        <v>1</v>
      </c>
      <c r="C1" s="49" t="s">
        <v>2</v>
      </c>
      <c r="D1" s="49" t="s">
        <v>646</v>
      </c>
      <c r="E1" s="50" t="s">
        <v>4</v>
      </c>
      <c r="F1" s="50" t="s">
        <v>639</v>
      </c>
    </row>
    <row r="2" spans="1:6" x14ac:dyDescent="0.3">
      <c r="A2" s="5">
        <v>1</v>
      </c>
      <c r="B2" s="5" t="s">
        <v>290</v>
      </c>
      <c r="C2" s="5" t="s">
        <v>6</v>
      </c>
      <c r="D2" s="5">
        <v>2154</v>
      </c>
      <c r="E2" s="5" t="s">
        <v>640</v>
      </c>
      <c r="F2" t="s">
        <v>641</v>
      </c>
    </row>
    <row r="3" spans="1:6" x14ac:dyDescent="0.3">
      <c r="A3" s="5">
        <v>2</v>
      </c>
      <c r="B3" s="5" t="s">
        <v>293</v>
      </c>
      <c r="C3" s="5" t="s">
        <v>9</v>
      </c>
      <c r="D3" s="5">
        <v>1562</v>
      </c>
      <c r="E3" s="5" t="s">
        <v>640</v>
      </c>
      <c r="F3" t="s">
        <v>641</v>
      </c>
    </row>
    <row r="4" spans="1:6" x14ac:dyDescent="0.3">
      <c r="A4" s="5">
        <v>3</v>
      </c>
      <c r="B4" s="5" t="s">
        <v>296</v>
      </c>
      <c r="C4" s="5" t="s">
        <v>11</v>
      </c>
      <c r="D4" s="5">
        <v>7592</v>
      </c>
      <c r="E4" s="5" t="s">
        <v>640</v>
      </c>
      <c r="F4" t="s">
        <v>641</v>
      </c>
    </row>
    <row r="5" spans="1:6" x14ac:dyDescent="0.3">
      <c r="A5" s="5">
        <v>4</v>
      </c>
      <c r="B5" s="5" t="s">
        <v>298</v>
      </c>
      <c r="C5" s="5" t="s">
        <v>13</v>
      </c>
      <c r="D5" s="5">
        <v>3729</v>
      </c>
      <c r="E5" s="5" t="s">
        <v>640</v>
      </c>
      <c r="F5" t="s">
        <v>641</v>
      </c>
    </row>
    <row r="6" spans="1:6" x14ac:dyDescent="0.3">
      <c r="A6" s="5">
        <v>5</v>
      </c>
      <c r="B6" s="5" t="s">
        <v>301</v>
      </c>
      <c r="C6" s="5" t="s">
        <v>15</v>
      </c>
      <c r="D6" s="5">
        <v>2540</v>
      </c>
      <c r="E6" s="5" t="s">
        <v>640</v>
      </c>
      <c r="F6" t="s">
        <v>641</v>
      </c>
    </row>
    <row r="7" spans="1:6" x14ac:dyDescent="0.3">
      <c r="A7" s="5">
        <v>6</v>
      </c>
      <c r="B7" s="5" t="s">
        <v>302</v>
      </c>
      <c r="C7" s="5" t="s">
        <v>17</v>
      </c>
      <c r="D7" s="5">
        <v>4352</v>
      </c>
      <c r="E7" s="5" t="s">
        <v>640</v>
      </c>
      <c r="F7" t="s">
        <v>641</v>
      </c>
    </row>
    <row r="8" spans="1:6" x14ac:dyDescent="0.3">
      <c r="A8" s="5">
        <v>7</v>
      </c>
      <c r="B8" s="5" t="s">
        <v>303</v>
      </c>
      <c r="C8" s="5" t="s">
        <v>19</v>
      </c>
      <c r="D8" s="5">
        <v>2691</v>
      </c>
      <c r="E8" s="5" t="s">
        <v>640</v>
      </c>
      <c r="F8" t="s">
        <v>641</v>
      </c>
    </row>
    <row r="9" spans="1:6" x14ac:dyDescent="0.3">
      <c r="A9" s="5">
        <v>8</v>
      </c>
      <c r="B9" s="5" t="s">
        <v>304</v>
      </c>
      <c r="C9" s="5" t="s">
        <v>21</v>
      </c>
      <c r="D9" s="5">
        <v>3751</v>
      </c>
      <c r="E9" s="5" t="s">
        <v>640</v>
      </c>
      <c r="F9" t="s">
        <v>641</v>
      </c>
    </row>
    <row r="10" spans="1:6" x14ac:dyDescent="0.3">
      <c r="A10" s="5">
        <v>9</v>
      </c>
      <c r="B10" s="5" t="s">
        <v>305</v>
      </c>
      <c r="C10" s="5" t="s">
        <v>23</v>
      </c>
      <c r="D10" s="5">
        <v>2428</v>
      </c>
      <c r="E10" s="5" t="s">
        <v>640</v>
      </c>
      <c r="F10" t="s">
        <v>641</v>
      </c>
    </row>
    <row r="11" spans="1:6" x14ac:dyDescent="0.3">
      <c r="A11" s="5">
        <v>10</v>
      </c>
      <c r="B11" s="5" t="s">
        <v>306</v>
      </c>
      <c r="C11" s="5" t="s">
        <v>25</v>
      </c>
      <c r="D11" s="5">
        <v>8070</v>
      </c>
      <c r="E11" s="5" t="s">
        <v>640</v>
      </c>
      <c r="F11" t="s">
        <v>641</v>
      </c>
    </row>
    <row r="12" spans="1:6" x14ac:dyDescent="0.3">
      <c r="A12" s="5">
        <v>11</v>
      </c>
      <c r="B12" s="5" t="s">
        <v>307</v>
      </c>
      <c r="C12" s="5" t="s">
        <v>27</v>
      </c>
      <c r="D12" s="5">
        <v>5850</v>
      </c>
      <c r="E12" s="5" t="s">
        <v>640</v>
      </c>
      <c r="F12" t="s">
        <v>641</v>
      </c>
    </row>
    <row r="13" spans="1:6" x14ac:dyDescent="0.3">
      <c r="A13" s="5">
        <v>12</v>
      </c>
      <c r="B13" s="5" t="s">
        <v>308</v>
      </c>
      <c r="C13" s="5" t="s">
        <v>29</v>
      </c>
      <c r="D13" s="5">
        <v>6366</v>
      </c>
      <c r="E13" s="5" t="s">
        <v>640</v>
      </c>
      <c r="F13" t="s">
        <v>641</v>
      </c>
    </row>
    <row r="14" spans="1:6" x14ac:dyDescent="0.3">
      <c r="A14" s="5">
        <v>13</v>
      </c>
      <c r="B14" s="5" t="s">
        <v>309</v>
      </c>
      <c r="C14" s="5" t="s">
        <v>31</v>
      </c>
      <c r="D14" s="5">
        <v>3973</v>
      </c>
      <c r="E14" s="5" t="s">
        <v>640</v>
      </c>
      <c r="F14" t="s">
        <v>641</v>
      </c>
    </row>
    <row r="15" spans="1:6" x14ac:dyDescent="0.3">
      <c r="A15" s="5">
        <v>14</v>
      </c>
      <c r="B15" s="5" t="s">
        <v>310</v>
      </c>
      <c r="C15" s="5" t="s">
        <v>33</v>
      </c>
      <c r="D15" s="5">
        <v>4666</v>
      </c>
      <c r="E15" s="5" t="s">
        <v>640</v>
      </c>
      <c r="F15" t="s">
        <v>641</v>
      </c>
    </row>
    <row r="16" spans="1:6" x14ac:dyDescent="0.3">
      <c r="A16" s="5">
        <v>15</v>
      </c>
      <c r="B16" s="5" t="s">
        <v>311</v>
      </c>
      <c r="C16" s="5" t="s">
        <v>35</v>
      </c>
      <c r="D16" s="5">
        <v>10070</v>
      </c>
      <c r="E16" s="5" t="s">
        <v>640</v>
      </c>
      <c r="F16" t="s">
        <v>641</v>
      </c>
    </row>
    <row r="17" spans="1:6" x14ac:dyDescent="0.3">
      <c r="A17" s="5">
        <v>16</v>
      </c>
      <c r="B17" s="5" t="s">
        <v>312</v>
      </c>
      <c r="C17" s="5" t="s">
        <v>37</v>
      </c>
      <c r="D17" s="5">
        <v>9640</v>
      </c>
      <c r="E17" s="5" t="s">
        <v>640</v>
      </c>
      <c r="F17" t="s">
        <v>641</v>
      </c>
    </row>
    <row r="18" spans="1:6" x14ac:dyDescent="0.3">
      <c r="A18" s="5">
        <v>17</v>
      </c>
      <c r="B18" s="5" t="s">
        <v>313</v>
      </c>
      <c r="C18" s="5" t="s">
        <v>39</v>
      </c>
      <c r="D18" s="5">
        <v>5927</v>
      </c>
      <c r="E18" s="5" t="s">
        <v>640</v>
      </c>
      <c r="F18" t="s">
        <v>641</v>
      </c>
    </row>
    <row r="19" spans="1:6" x14ac:dyDescent="0.3">
      <c r="A19" s="5">
        <v>18</v>
      </c>
      <c r="B19" s="5" t="s">
        <v>314</v>
      </c>
      <c r="C19" s="5" t="s">
        <v>41</v>
      </c>
      <c r="D19" s="5">
        <v>6918</v>
      </c>
      <c r="E19" s="5" t="s">
        <v>640</v>
      </c>
      <c r="F19" t="s">
        <v>641</v>
      </c>
    </row>
    <row r="20" spans="1:6" x14ac:dyDescent="0.3">
      <c r="A20" s="5">
        <v>19</v>
      </c>
      <c r="B20" s="5" t="s">
        <v>315</v>
      </c>
      <c r="C20" s="5" t="s">
        <v>43</v>
      </c>
      <c r="D20" s="5">
        <v>11521</v>
      </c>
      <c r="E20" s="5" t="s">
        <v>640</v>
      </c>
      <c r="F20" t="s">
        <v>641</v>
      </c>
    </row>
    <row r="21" spans="1:6" x14ac:dyDescent="0.3">
      <c r="A21" s="5">
        <v>20</v>
      </c>
      <c r="B21" s="5" t="s">
        <v>316</v>
      </c>
      <c r="C21" s="5" t="s">
        <v>45</v>
      </c>
      <c r="D21" s="5">
        <v>4960</v>
      </c>
      <c r="E21" s="5" t="s">
        <v>640</v>
      </c>
      <c r="F21" t="s">
        <v>641</v>
      </c>
    </row>
    <row r="22" spans="1:6" x14ac:dyDescent="0.3">
      <c r="A22" s="5">
        <v>21</v>
      </c>
      <c r="B22" s="5" t="s">
        <v>317</v>
      </c>
      <c r="C22" s="5" t="s">
        <v>47</v>
      </c>
      <c r="D22" s="5">
        <v>945</v>
      </c>
      <c r="E22" s="5" t="s">
        <v>640</v>
      </c>
      <c r="F22" t="s">
        <v>641</v>
      </c>
    </row>
    <row r="23" spans="1:6" x14ac:dyDescent="0.3">
      <c r="A23" s="5">
        <v>22</v>
      </c>
      <c r="B23" s="5" t="s">
        <v>318</v>
      </c>
      <c r="C23" s="5" t="s">
        <v>49</v>
      </c>
      <c r="D23" s="5">
        <v>3124</v>
      </c>
      <c r="E23" s="5" t="s">
        <v>640</v>
      </c>
      <c r="F23" t="s">
        <v>641</v>
      </c>
    </row>
    <row r="24" spans="1:6" x14ac:dyDescent="0.3">
      <c r="A24" s="5">
        <v>23</v>
      </c>
      <c r="B24" s="5" t="s">
        <v>319</v>
      </c>
      <c r="C24" s="5" t="s">
        <v>51</v>
      </c>
      <c r="D24" s="5">
        <v>8375</v>
      </c>
      <c r="E24" s="5" t="s">
        <v>640</v>
      </c>
      <c r="F24" t="s">
        <v>641</v>
      </c>
    </row>
    <row r="25" spans="1:6" x14ac:dyDescent="0.3">
      <c r="A25" s="5">
        <v>24</v>
      </c>
      <c r="B25" s="5" t="s">
        <v>320</v>
      </c>
      <c r="C25" s="5" t="s">
        <v>53</v>
      </c>
      <c r="D25" s="5">
        <v>3623</v>
      </c>
      <c r="E25" s="5" t="s">
        <v>640</v>
      </c>
      <c r="F25" t="s">
        <v>641</v>
      </c>
    </row>
    <row r="26" spans="1:6" x14ac:dyDescent="0.3">
      <c r="A26" s="5">
        <v>25</v>
      </c>
      <c r="B26" s="5" t="s">
        <v>321</v>
      </c>
      <c r="C26" s="5" t="s">
        <v>350</v>
      </c>
      <c r="D26" s="5">
        <v>4858</v>
      </c>
      <c r="E26" s="5" t="s">
        <v>640</v>
      </c>
      <c r="F26" t="s">
        <v>641</v>
      </c>
    </row>
    <row r="27" spans="1:6" x14ac:dyDescent="0.3">
      <c r="A27" s="5">
        <v>26</v>
      </c>
      <c r="B27" s="5" t="s">
        <v>322</v>
      </c>
      <c r="C27" s="5" t="s">
        <v>56</v>
      </c>
      <c r="D27" s="5">
        <v>351</v>
      </c>
      <c r="E27" s="5" t="s">
        <v>640</v>
      </c>
      <c r="F27" t="s">
        <v>641</v>
      </c>
    </row>
    <row r="28" spans="1:6" x14ac:dyDescent="0.3">
      <c r="A28" s="5">
        <v>27</v>
      </c>
      <c r="B28" s="5" t="s">
        <v>323</v>
      </c>
      <c r="C28" s="5" t="s">
        <v>58</v>
      </c>
      <c r="D28" s="5">
        <v>3876</v>
      </c>
      <c r="E28" s="5" t="s">
        <v>640</v>
      </c>
      <c r="F28" t="s">
        <v>641</v>
      </c>
    </row>
    <row r="29" spans="1:6" x14ac:dyDescent="0.3">
      <c r="A29" s="5">
        <v>28</v>
      </c>
      <c r="B29" s="5" t="s">
        <v>324</v>
      </c>
      <c r="C29" s="5" t="s">
        <v>60</v>
      </c>
      <c r="D29" s="5">
        <v>2647</v>
      </c>
      <c r="E29" s="5" t="s">
        <v>640</v>
      </c>
      <c r="F29" t="s">
        <v>641</v>
      </c>
    </row>
    <row r="30" spans="1:6" x14ac:dyDescent="0.3">
      <c r="A30" s="5">
        <v>29</v>
      </c>
      <c r="B30" s="5" t="s">
        <v>325</v>
      </c>
      <c r="C30" s="5" t="s">
        <v>62</v>
      </c>
      <c r="D30" s="5">
        <v>608</v>
      </c>
      <c r="E30" s="5" t="s">
        <v>640</v>
      </c>
      <c r="F30" t="s">
        <v>641</v>
      </c>
    </row>
    <row r="31" spans="1:6" x14ac:dyDescent="0.3">
      <c r="A31" s="5">
        <v>30</v>
      </c>
      <c r="B31" s="5" t="s">
        <v>326</v>
      </c>
      <c r="C31" s="5" t="s">
        <v>64</v>
      </c>
      <c r="D31" s="5">
        <v>695</v>
      </c>
      <c r="E31" s="5" t="s">
        <v>640</v>
      </c>
      <c r="F31" t="s">
        <v>641</v>
      </c>
    </row>
    <row r="32" spans="1:6" x14ac:dyDescent="0.3">
      <c r="A32" s="5">
        <v>31</v>
      </c>
      <c r="B32" s="5" t="s">
        <v>327</v>
      </c>
      <c r="C32" s="5" t="s">
        <v>66</v>
      </c>
      <c r="D32" s="5">
        <v>2523</v>
      </c>
      <c r="E32" s="5" t="s">
        <v>640</v>
      </c>
      <c r="F32" t="s">
        <v>641</v>
      </c>
    </row>
    <row r="34" spans="1:2" x14ac:dyDescent="0.3">
      <c r="A34" t="s">
        <v>505</v>
      </c>
      <c r="B34" t="s">
        <v>506</v>
      </c>
    </row>
    <row r="35" spans="1:2" x14ac:dyDescent="0.3">
      <c r="B35" t="s">
        <v>507</v>
      </c>
    </row>
  </sheetData>
  <phoneticPr fontId="24" type="noConversion"/>
  <pageMargins left="0.7" right="0.7" top="0.75" bottom="0.75" header="0.3" footer="0.3"/>
  <pageSetup paperSize="9" orientation="portrait" horizontalDpi="300" verticalDpi="300" r:id="rId1"/>
  <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G26"/>
  <sheetViews>
    <sheetView workbookViewId="0">
      <selection activeCell="A8" sqref="A8:XFD8"/>
    </sheetView>
  </sheetViews>
  <sheetFormatPr defaultColWidth="9" defaultRowHeight="14" x14ac:dyDescent="0.3"/>
  <cols>
    <col min="1" max="1" width="12.08203125" style="10" customWidth="1"/>
    <col min="2" max="2" width="6.25" style="10" customWidth="1"/>
    <col min="3" max="3" width="23.75" style="10" customWidth="1"/>
    <col min="4" max="4" width="17.58203125" style="10" customWidth="1"/>
    <col min="5" max="5" width="21.25" style="10" customWidth="1"/>
    <col min="6" max="6" width="12.83203125" style="38" customWidth="1"/>
    <col min="7" max="7" width="14.58203125" style="10" customWidth="1"/>
    <col min="8" max="16384" width="9" style="10"/>
  </cols>
  <sheetData>
    <row r="1" spans="1:7" ht="15" x14ac:dyDescent="0.3">
      <c r="A1" s="39" t="s">
        <v>508</v>
      </c>
      <c r="B1" s="40" t="s">
        <v>356</v>
      </c>
      <c r="C1" s="36" t="s">
        <v>651</v>
      </c>
      <c r="D1" s="39" t="s">
        <v>509</v>
      </c>
      <c r="E1" s="36" t="s">
        <v>510</v>
      </c>
      <c r="F1" s="41" t="s">
        <v>4</v>
      </c>
    </row>
    <row r="2" spans="1:7" ht="15" x14ac:dyDescent="0.3">
      <c r="A2" s="42" t="s">
        <v>511</v>
      </c>
      <c r="B2" s="42">
        <v>2019</v>
      </c>
      <c r="C2" s="43">
        <f>SUM(C6:C25)</f>
        <v>1091875</v>
      </c>
      <c r="D2" s="43">
        <f>SUM(D6:D25)</f>
        <v>139983974.3589744</v>
      </c>
      <c r="E2" s="42">
        <f>SUM(E6:E25)</f>
        <v>13998.397435897437</v>
      </c>
      <c r="F2" s="5" t="s">
        <v>652</v>
      </c>
    </row>
    <row r="3" spans="1:7" ht="15" x14ac:dyDescent="0.3">
      <c r="A3" s="42" t="s">
        <v>512</v>
      </c>
      <c r="B3" s="42">
        <v>2019</v>
      </c>
      <c r="C3" s="43">
        <f>SUM(C6:C17)</f>
        <v>893881</v>
      </c>
      <c r="D3" s="43">
        <f>SUM(D6:D17)</f>
        <v>114600128.20512821</v>
      </c>
      <c r="E3" s="42">
        <f>D3/10000</f>
        <v>11460.01282051282</v>
      </c>
      <c r="F3" s="5" t="s">
        <v>652</v>
      </c>
    </row>
    <row r="4" spans="1:7" ht="15" x14ac:dyDescent="0.3">
      <c r="A4" s="42" t="s">
        <v>513</v>
      </c>
      <c r="B4" s="42">
        <v>2019</v>
      </c>
      <c r="C4" s="43">
        <f>SUM(C18:C25)</f>
        <v>197994</v>
      </c>
      <c r="D4" s="43">
        <f>SUM(D18:D25)</f>
        <v>25383846.15384616</v>
      </c>
      <c r="E4" s="42">
        <f t="shared" ref="E4:E25" si="0">D4/10000</f>
        <v>2538.3846153846162</v>
      </c>
      <c r="F4" s="5" t="s">
        <v>652</v>
      </c>
    </row>
    <row r="5" spans="1:7" ht="15" x14ac:dyDescent="0.3">
      <c r="A5" s="42" t="s">
        <v>514</v>
      </c>
      <c r="B5" s="42">
        <v>2019</v>
      </c>
      <c r="C5" s="43">
        <f>SUM(C22:C25)</f>
        <v>23921</v>
      </c>
      <c r="D5" s="43">
        <f>SUM(D22:D25)</f>
        <v>3066794.871794872</v>
      </c>
      <c r="E5" s="42">
        <f t="shared" si="0"/>
        <v>306.67948717948718</v>
      </c>
      <c r="F5" s="5" t="s">
        <v>652</v>
      </c>
    </row>
    <row r="6" spans="1:7" ht="15" x14ac:dyDescent="0.3">
      <c r="A6" s="44" t="s">
        <v>515</v>
      </c>
      <c r="B6" s="42">
        <v>2019</v>
      </c>
      <c r="C6" s="42">
        <v>62722</v>
      </c>
      <c r="D6" s="45">
        <f t="shared" ref="D6:D25" si="1">C6/0.0078</f>
        <v>8041282.051282052</v>
      </c>
      <c r="E6" s="42">
        <f t="shared" si="0"/>
        <v>804.1282051282052</v>
      </c>
      <c r="F6" s="5" t="s">
        <v>652</v>
      </c>
      <c r="G6" s="46"/>
    </row>
    <row r="7" spans="1:7" ht="15" x14ac:dyDescent="0.3">
      <c r="A7" s="44" t="s">
        <v>516</v>
      </c>
      <c r="B7" s="42">
        <v>2019</v>
      </c>
      <c r="C7" s="42">
        <v>60701</v>
      </c>
      <c r="D7" s="45">
        <f t="shared" si="1"/>
        <v>7782179.4871794879</v>
      </c>
      <c r="E7" s="42">
        <f t="shared" si="0"/>
        <v>778.21794871794884</v>
      </c>
      <c r="F7" s="5" t="s">
        <v>652</v>
      </c>
      <c r="G7" s="46"/>
    </row>
    <row r="8" spans="1:7" ht="15" x14ac:dyDescent="0.3">
      <c r="A8" s="44" t="s">
        <v>517</v>
      </c>
      <c r="B8" s="42">
        <v>2019</v>
      </c>
      <c r="C8" s="42">
        <v>59844</v>
      </c>
      <c r="D8" s="45">
        <f t="shared" si="1"/>
        <v>7672307.692307693</v>
      </c>
      <c r="E8" s="42">
        <f t="shared" si="0"/>
        <v>767.23076923076928</v>
      </c>
      <c r="F8" s="5" t="s">
        <v>652</v>
      </c>
      <c r="G8" s="46"/>
    </row>
    <row r="9" spans="1:7" ht="15" x14ac:dyDescent="0.3">
      <c r="A9" s="44" t="s">
        <v>518</v>
      </c>
      <c r="B9" s="42">
        <v>2019</v>
      </c>
      <c r="C9" s="42">
        <v>55822</v>
      </c>
      <c r="D9" s="45">
        <f t="shared" si="1"/>
        <v>7156666.666666667</v>
      </c>
      <c r="E9" s="42">
        <f t="shared" si="0"/>
        <v>715.66666666666674</v>
      </c>
      <c r="F9" s="5" t="s">
        <v>652</v>
      </c>
      <c r="G9" s="46"/>
    </row>
    <row r="10" spans="1:7" ht="15" x14ac:dyDescent="0.3">
      <c r="A10" s="44" t="s">
        <v>213</v>
      </c>
      <c r="B10" s="42">
        <v>2019</v>
      </c>
      <c r="C10" s="42">
        <v>61519</v>
      </c>
      <c r="D10" s="45">
        <f t="shared" si="1"/>
        <v>7887051.282051282</v>
      </c>
      <c r="E10" s="42">
        <f t="shared" si="0"/>
        <v>788.70512820512818</v>
      </c>
      <c r="F10" s="5" t="s">
        <v>652</v>
      </c>
      <c r="G10" s="46"/>
    </row>
    <row r="11" spans="1:7" ht="15" x14ac:dyDescent="0.3">
      <c r="A11" s="44" t="s">
        <v>214</v>
      </c>
      <c r="B11" s="42">
        <v>2019</v>
      </c>
      <c r="C11" s="42">
        <v>81741</v>
      </c>
      <c r="D11" s="45">
        <f t="shared" si="1"/>
        <v>10479615.384615386</v>
      </c>
      <c r="E11" s="42">
        <f t="shared" si="0"/>
        <v>1047.9615384615386</v>
      </c>
      <c r="F11" s="5" t="s">
        <v>652</v>
      </c>
      <c r="G11" s="46"/>
    </row>
    <row r="12" spans="1:7" ht="15" x14ac:dyDescent="0.3">
      <c r="A12" s="44" t="s">
        <v>215</v>
      </c>
      <c r="B12" s="42">
        <v>2019</v>
      </c>
      <c r="C12" s="42">
        <v>93971</v>
      </c>
      <c r="D12" s="45">
        <f t="shared" si="1"/>
        <v>12047564.102564104</v>
      </c>
      <c r="E12" s="42">
        <f t="shared" si="0"/>
        <v>1204.7564102564104</v>
      </c>
      <c r="F12" s="5" t="s">
        <v>652</v>
      </c>
      <c r="G12" s="46"/>
    </row>
    <row r="13" spans="1:7" ht="15" x14ac:dyDescent="0.3">
      <c r="A13" s="44" t="s">
        <v>216</v>
      </c>
      <c r="B13" s="42">
        <v>2019</v>
      </c>
      <c r="C13" s="42">
        <v>77703</v>
      </c>
      <c r="D13" s="45">
        <f t="shared" si="1"/>
        <v>9961923.0769230779</v>
      </c>
      <c r="E13" s="42">
        <f t="shared" si="0"/>
        <v>996.19230769230774</v>
      </c>
      <c r="F13" s="5" t="s">
        <v>652</v>
      </c>
      <c r="G13" s="46"/>
    </row>
    <row r="14" spans="1:7" ht="15" x14ac:dyDescent="0.3">
      <c r="A14" s="44" t="s">
        <v>217</v>
      </c>
      <c r="B14" s="42">
        <v>2019</v>
      </c>
      <c r="C14" s="42">
        <v>77044</v>
      </c>
      <c r="D14" s="45">
        <f t="shared" si="1"/>
        <v>9877435.897435898</v>
      </c>
      <c r="E14" s="42">
        <f t="shared" si="0"/>
        <v>987.74358974358984</v>
      </c>
      <c r="F14" s="5" t="s">
        <v>652</v>
      </c>
      <c r="G14" s="46"/>
    </row>
    <row r="15" spans="1:7" ht="15" x14ac:dyDescent="0.3">
      <c r="A15" s="44" t="s">
        <v>218</v>
      </c>
      <c r="B15" s="42">
        <v>2019</v>
      </c>
      <c r="C15" s="42">
        <v>95621</v>
      </c>
      <c r="D15" s="45">
        <f t="shared" si="1"/>
        <v>12259102.564102564</v>
      </c>
      <c r="E15" s="42">
        <f t="shared" si="0"/>
        <v>1225.9102564102564</v>
      </c>
      <c r="F15" s="5" t="s">
        <v>652</v>
      </c>
      <c r="G15" s="46"/>
    </row>
    <row r="16" spans="1:7" ht="15" x14ac:dyDescent="0.3">
      <c r="A16" s="44" t="s">
        <v>219</v>
      </c>
      <c r="B16" s="42">
        <v>2019</v>
      </c>
      <c r="C16" s="42">
        <v>93125</v>
      </c>
      <c r="D16" s="45">
        <f t="shared" si="1"/>
        <v>11939102.564102564</v>
      </c>
      <c r="E16" s="42">
        <f t="shared" si="0"/>
        <v>1193.9102564102564</v>
      </c>
      <c r="F16" s="5" t="s">
        <v>652</v>
      </c>
      <c r="G16" s="46"/>
    </row>
    <row r="17" spans="1:7" ht="15" x14ac:dyDescent="0.3">
      <c r="A17" s="44" t="s">
        <v>220</v>
      </c>
      <c r="B17" s="42">
        <v>2019</v>
      </c>
      <c r="C17" s="42">
        <v>74068</v>
      </c>
      <c r="D17" s="45">
        <f t="shared" si="1"/>
        <v>9495897.435897436</v>
      </c>
      <c r="E17" s="42">
        <f t="shared" si="0"/>
        <v>949.58974358974365</v>
      </c>
      <c r="F17" s="5" t="s">
        <v>652</v>
      </c>
      <c r="G17" s="46"/>
    </row>
    <row r="18" spans="1:7" ht="15" x14ac:dyDescent="0.3">
      <c r="A18" s="44" t="s">
        <v>221</v>
      </c>
      <c r="B18" s="42">
        <v>2019</v>
      </c>
      <c r="C18" s="42">
        <v>60712</v>
      </c>
      <c r="D18" s="45">
        <f t="shared" si="1"/>
        <v>7783589.743589744</v>
      </c>
      <c r="E18" s="42">
        <f t="shared" si="0"/>
        <v>778.35897435897436</v>
      </c>
      <c r="F18" s="5" t="s">
        <v>652</v>
      </c>
      <c r="G18" s="46"/>
    </row>
    <row r="19" spans="1:7" ht="15" x14ac:dyDescent="0.3">
      <c r="A19" s="44" t="s">
        <v>222</v>
      </c>
      <c r="B19" s="42">
        <v>2019</v>
      </c>
      <c r="C19" s="42">
        <v>55086</v>
      </c>
      <c r="D19" s="45">
        <f t="shared" si="1"/>
        <v>7062307.692307693</v>
      </c>
      <c r="E19" s="42">
        <f t="shared" si="0"/>
        <v>706.23076923076928</v>
      </c>
      <c r="F19" s="5" t="s">
        <v>652</v>
      </c>
      <c r="G19" s="46"/>
    </row>
    <row r="20" spans="1:7" ht="15" x14ac:dyDescent="0.3">
      <c r="A20" s="44" t="s">
        <v>223</v>
      </c>
      <c r="B20" s="42">
        <v>2019</v>
      </c>
      <c r="C20" s="42">
        <v>35665</v>
      </c>
      <c r="D20" s="45">
        <f t="shared" si="1"/>
        <v>4572435.897435898</v>
      </c>
      <c r="E20" s="42">
        <f t="shared" si="0"/>
        <v>457.24358974358978</v>
      </c>
      <c r="F20" s="5" t="s">
        <v>652</v>
      </c>
      <c r="G20" s="46"/>
    </row>
    <row r="21" spans="1:7" ht="15" x14ac:dyDescent="0.3">
      <c r="A21" s="44" t="s">
        <v>519</v>
      </c>
      <c r="B21" s="42">
        <v>2019</v>
      </c>
      <c r="C21" s="42">
        <v>22610</v>
      </c>
      <c r="D21" s="45">
        <f t="shared" si="1"/>
        <v>2898717.948717949</v>
      </c>
      <c r="E21" s="42">
        <f t="shared" si="0"/>
        <v>289.87179487179492</v>
      </c>
      <c r="F21" s="5" t="s">
        <v>652</v>
      </c>
      <c r="G21" s="46"/>
    </row>
    <row r="22" spans="1:7" ht="15" x14ac:dyDescent="0.3">
      <c r="A22" s="44" t="s">
        <v>520</v>
      </c>
      <c r="B22" s="42">
        <v>2019</v>
      </c>
      <c r="C22" s="42">
        <v>14322</v>
      </c>
      <c r="D22" s="45">
        <f t="shared" si="1"/>
        <v>1836153.8461538462</v>
      </c>
      <c r="E22" s="42">
        <f t="shared" si="0"/>
        <v>183.61538461538461</v>
      </c>
      <c r="F22" s="5" t="s">
        <v>652</v>
      </c>
      <c r="G22" s="46"/>
    </row>
    <row r="23" spans="1:7" ht="15" x14ac:dyDescent="0.3">
      <c r="A23" s="44" t="s">
        <v>521</v>
      </c>
      <c r="B23" s="42">
        <v>2019</v>
      </c>
      <c r="C23" s="42">
        <v>7036</v>
      </c>
      <c r="D23" s="45">
        <f t="shared" si="1"/>
        <v>902051.28205128212</v>
      </c>
      <c r="E23" s="42">
        <f t="shared" si="0"/>
        <v>90.205128205128219</v>
      </c>
      <c r="F23" s="5" t="s">
        <v>652</v>
      </c>
      <c r="G23" s="46"/>
    </row>
    <row r="24" spans="1:7" ht="15" x14ac:dyDescent="0.3">
      <c r="A24" s="10" t="s">
        <v>522</v>
      </c>
      <c r="B24" s="42">
        <v>2019</v>
      </c>
      <c r="C24" s="10">
        <v>2113</v>
      </c>
      <c r="D24" s="45">
        <f t="shared" si="1"/>
        <v>270897.43589743593</v>
      </c>
      <c r="E24" s="42">
        <f t="shared" si="0"/>
        <v>27.089743589743595</v>
      </c>
      <c r="F24" s="5" t="s">
        <v>652</v>
      </c>
      <c r="G24" s="46"/>
    </row>
    <row r="25" spans="1:7" ht="15" x14ac:dyDescent="0.3">
      <c r="A25" s="10" t="s">
        <v>523</v>
      </c>
      <c r="B25" s="42">
        <v>2019</v>
      </c>
      <c r="C25" s="45">
        <v>450</v>
      </c>
      <c r="D25" s="45">
        <f t="shared" si="1"/>
        <v>57692.307692307695</v>
      </c>
      <c r="E25" s="42">
        <f t="shared" si="0"/>
        <v>5.7692307692307692</v>
      </c>
      <c r="F25" s="5" t="s">
        <v>652</v>
      </c>
      <c r="G25" s="46"/>
    </row>
    <row r="26" spans="1:7" ht="15" x14ac:dyDescent="0.3">
      <c r="A26" s="47"/>
      <c r="G26" s="46"/>
    </row>
  </sheetData>
  <phoneticPr fontId="24" type="noConversion"/>
  <pageMargins left="0.7" right="0.7" top="0.75" bottom="0.75" header="0.3" footer="0.3"/>
  <pageSetup paperSize="9" orientation="portrait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DA4B72-9F86-477A-9593-3A66C22D3D38}">
  <dimension ref="A1:D99"/>
  <sheetViews>
    <sheetView workbookViewId="0">
      <selection activeCell="C3" sqref="C3"/>
    </sheetView>
  </sheetViews>
  <sheetFormatPr defaultColWidth="9" defaultRowHeight="14" x14ac:dyDescent="0.3"/>
  <cols>
    <col min="1" max="1" width="6.83203125" style="130" bestFit="1" customWidth="1"/>
    <col min="2" max="2" width="12.33203125" style="130" bestFit="1" customWidth="1"/>
    <col min="3" max="3" width="12.33203125" style="130" customWidth="1"/>
    <col min="4" max="16384" width="9" style="130"/>
  </cols>
  <sheetData>
    <row r="1" spans="1:4" ht="15" x14ac:dyDescent="0.3">
      <c r="A1" s="36" t="s">
        <v>616</v>
      </c>
      <c r="B1" s="36" t="s">
        <v>615</v>
      </c>
      <c r="C1" s="36" t="s">
        <v>617</v>
      </c>
      <c r="D1" s="36" t="s">
        <v>614</v>
      </c>
    </row>
    <row r="2" spans="1:4" ht="15" x14ac:dyDescent="0.3">
      <c r="A2" s="37" t="s">
        <v>618</v>
      </c>
      <c r="B2" s="36">
        <f>SUM(B23:B24)</f>
        <v>22570</v>
      </c>
      <c r="C2" s="131">
        <f>B2/SUM(B20:B24)</f>
        <v>0.40772454657128404</v>
      </c>
      <c r="D2" s="36"/>
    </row>
    <row r="3" spans="1:4" ht="15" x14ac:dyDescent="0.3">
      <c r="A3" s="37" t="s">
        <v>714</v>
      </c>
      <c r="B3" s="36">
        <f>SUM(B23:B24)</f>
        <v>22570</v>
      </c>
      <c r="C3" s="131">
        <f>B3/SUM(B21:B24)</f>
        <v>0.50228107266050959</v>
      </c>
      <c r="D3" s="36"/>
    </row>
    <row r="4" spans="1:4" ht="15" x14ac:dyDescent="0.3">
      <c r="A4" s="37">
        <v>0</v>
      </c>
      <c r="B4" s="37">
        <v>11425</v>
      </c>
      <c r="C4" s="37"/>
      <c r="D4" s="37" t="s">
        <v>717</v>
      </c>
    </row>
    <row r="5" spans="1:4" ht="15" x14ac:dyDescent="0.3">
      <c r="A5" s="37">
        <v>1</v>
      </c>
      <c r="B5" s="37">
        <v>11846</v>
      </c>
      <c r="C5" s="37"/>
      <c r="D5" s="37" t="s">
        <v>717</v>
      </c>
    </row>
    <row r="6" spans="1:4" ht="15" x14ac:dyDescent="0.3">
      <c r="A6" s="37">
        <v>2</v>
      </c>
      <c r="B6" s="37">
        <v>13393</v>
      </c>
      <c r="C6" s="37"/>
      <c r="D6" s="37" t="s">
        <v>717</v>
      </c>
    </row>
    <row r="7" spans="1:4" ht="15" x14ac:dyDescent="0.3">
      <c r="A7" s="37">
        <v>3</v>
      </c>
      <c r="B7" s="37">
        <v>13566</v>
      </c>
      <c r="C7" s="37"/>
      <c r="D7" s="37" t="s">
        <v>717</v>
      </c>
    </row>
    <row r="8" spans="1:4" ht="15" x14ac:dyDescent="0.3">
      <c r="A8" s="37">
        <v>4</v>
      </c>
      <c r="B8" s="37">
        <v>12492</v>
      </c>
      <c r="C8" s="37"/>
      <c r="D8" s="37" t="s">
        <v>717</v>
      </c>
    </row>
    <row r="9" spans="1:4" ht="15" x14ac:dyDescent="0.3">
      <c r="A9" s="37">
        <v>5</v>
      </c>
      <c r="B9" s="37">
        <v>12736</v>
      </c>
      <c r="C9" s="37"/>
      <c r="D9" s="37" t="s">
        <v>717</v>
      </c>
    </row>
    <row r="10" spans="1:4" ht="15" x14ac:dyDescent="0.3">
      <c r="A10" s="37">
        <v>6</v>
      </c>
      <c r="B10" s="37">
        <v>12418</v>
      </c>
      <c r="C10" s="37"/>
      <c r="D10" s="37" t="s">
        <v>717</v>
      </c>
    </row>
    <row r="11" spans="1:4" ht="15" x14ac:dyDescent="0.3">
      <c r="A11" s="37">
        <v>7</v>
      </c>
      <c r="B11" s="37">
        <v>12445</v>
      </c>
      <c r="C11" s="37"/>
      <c r="D11" s="37" t="s">
        <v>717</v>
      </c>
    </row>
    <row r="12" spans="1:4" ht="15" x14ac:dyDescent="0.3">
      <c r="A12" s="37">
        <v>8</v>
      </c>
      <c r="B12" s="37">
        <v>12279</v>
      </c>
      <c r="C12" s="37"/>
      <c r="D12" s="37" t="s">
        <v>717</v>
      </c>
    </row>
    <row r="13" spans="1:4" ht="15" x14ac:dyDescent="0.3">
      <c r="A13" s="37">
        <v>9</v>
      </c>
      <c r="B13" s="37">
        <v>10824</v>
      </c>
      <c r="C13" s="37"/>
      <c r="D13" s="37" t="s">
        <v>717</v>
      </c>
    </row>
    <row r="14" spans="1:4" ht="15" x14ac:dyDescent="0.3">
      <c r="A14" s="37">
        <v>10</v>
      </c>
      <c r="B14" s="37">
        <v>12246</v>
      </c>
      <c r="C14" s="37"/>
      <c r="D14" s="37" t="s">
        <v>717</v>
      </c>
    </row>
    <row r="15" spans="1:4" ht="15" x14ac:dyDescent="0.3">
      <c r="A15" s="37">
        <v>11</v>
      </c>
      <c r="B15" s="37">
        <v>12220</v>
      </c>
      <c r="C15" s="37"/>
      <c r="D15" s="37" t="s">
        <v>717</v>
      </c>
    </row>
    <row r="16" spans="1:4" ht="15" x14ac:dyDescent="0.3">
      <c r="A16" s="37">
        <v>12</v>
      </c>
      <c r="B16" s="37">
        <v>11934</v>
      </c>
      <c r="C16" s="37"/>
      <c r="D16" s="37" t="s">
        <v>717</v>
      </c>
    </row>
    <row r="17" spans="1:4" ht="15" x14ac:dyDescent="0.3">
      <c r="A17" s="37">
        <v>13</v>
      </c>
      <c r="B17" s="37">
        <v>11914</v>
      </c>
      <c r="C17" s="37"/>
      <c r="D17" s="37" t="s">
        <v>717</v>
      </c>
    </row>
    <row r="18" spans="1:4" ht="15" x14ac:dyDescent="0.3">
      <c r="A18" s="37">
        <v>14</v>
      </c>
      <c r="B18" s="37">
        <v>11531</v>
      </c>
      <c r="C18" s="37"/>
      <c r="D18" s="37" t="s">
        <v>717</v>
      </c>
    </row>
    <row r="19" spans="1:4" ht="15" x14ac:dyDescent="0.3">
      <c r="A19" s="37">
        <v>15</v>
      </c>
      <c r="B19" s="37">
        <v>11586</v>
      </c>
      <c r="C19" s="37"/>
      <c r="D19" s="37" t="s">
        <v>717</v>
      </c>
    </row>
    <row r="20" spans="1:4" ht="15" x14ac:dyDescent="0.3">
      <c r="A20" s="37">
        <v>16</v>
      </c>
      <c r="B20" s="37">
        <v>10421</v>
      </c>
      <c r="C20" s="37"/>
      <c r="D20" s="37" t="s">
        <v>717</v>
      </c>
    </row>
    <row r="21" spans="1:4" ht="15" x14ac:dyDescent="0.3">
      <c r="A21" s="37">
        <v>17</v>
      </c>
      <c r="B21" s="37">
        <v>11229</v>
      </c>
      <c r="C21" s="37"/>
      <c r="D21" s="37" t="s">
        <v>717</v>
      </c>
    </row>
    <row r="22" spans="1:4" ht="15" x14ac:dyDescent="0.3">
      <c r="A22" s="37">
        <v>18</v>
      </c>
      <c r="B22" s="37">
        <v>11136</v>
      </c>
      <c r="C22" s="37"/>
      <c r="D22" s="37" t="s">
        <v>717</v>
      </c>
    </row>
    <row r="23" spans="1:4" ht="15" x14ac:dyDescent="0.3">
      <c r="A23" s="37">
        <v>19</v>
      </c>
      <c r="B23" s="37">
        <v>11449</v>
      </c>
      <c r="C23" s="37"/>
      <c r="D23" s="37" t="s">
        <v>717</v>
      </c>
    </row>
    <row r="24" spans="1:4" ht="15" x14ac:dyDescent="0.3">
      <c r="A24" s="37">
        <v>20</v>
      </c>
      <c r="B24" s="37">
        <v>11121</v>
      </c>
      <c r="C24" s="37"/>
      <c r="D24" s="37" t="s">
        <v>717</v>
      </c>
    </row>
    <row r="25" spans="1:4" ht="15" x14ac:dyDescent="0.3">
      <c r="A25" s="37">
        <v>21</v>
      </c>
      <c r="B25" s="37">
        <v>12030</v>
      </c>
      <c r="C25" s="37"/>
      <c r="D25" s="37" t="s">
        <v>717</v>
      </c>
    </row>
    <row r="26" spans="1:4" ht="15" x14ac:dyDescent="0.3">
      <c r="A26" s="37">
        <v>22</v>
      </c>
      <c r="B26" s="37">
        <v>11891</v>
      </c>
      <c r="C26" s="37"/>
      <c r="D26" s="37" t="s">
        <v>717</v>
      </c>
    </row>
    <row r="27" spans="1:4" ht="15" x14ac:dyDescent="0.3">
      <c r="A27" s="37">
        <v>23</v>
      </c>
      <c r="B27" s="37">
        <v>12411</v>
      </c>
      <c r="C27" s="37"/>
      <c r="D27" s="37" t="s">
        <v>717</v>
      </c>
    </row>
    <row r="28" spans="1:4" ht="15" x14ac:dyDescent="0.3">
      <c r="A28" s="37">
        <v>24</v>
      </c>
      <c r="B28" s="37">
        <v>14065</v>
      </c>
      <c r="C28" s="37"/>
      <c r="D28" s="37" t="s">
        <v>717</v>
      </c>
    </row>
    <row r="29" spans="1:4" ht="15" x14ac:dyDescent="0.3">
      <c r="A29" s="37">
        <v>25</v>
      </c>
      <c r="B29" s="37">
        <v>14258</v>
      </c>
      <c r="C29" s="37"/>
      <c r="D29" s="37" t="s">
        <v>717</v>
      </c>
    </row>
    <row r="30" spans="1:4" ht="15" x14ac:dyDescent="0.3">
      <c r="A30" s="37">
        <v>26</v>
      </c>
      <c r="B30" s="37">
        <v>14941</v>
      </c>
      <c r="C30" s="37"/>
      <c r="D30" s="37" t="s">
        <v>717</v>
      </c>
    </row>
    <row r="31" spans="1:4" ht="15" x14ac:dyDescent="0.3">
      <c r="A31" s="37">
        <v>27</v>
      </c>
      <c r="B31" s="37">
        <v>15439</v>
      </c>
      <c r="C31" s="37"/>
      <c r="D31" s="37" t="s">
        <v>717</v>
      </c>
    </row>
    <row r="32" spans="1:4" ht="15" x14ac:dyDescent="0.3">
      <c r="A32" s="37">
        <v>28</v>
      </c>
      <c r="B32" s="37">
        <v>16603</v>
      </c>
      <c r="C32" s="37"/>
      <c r="D32" s="37" t="s">
        <v>717</v>
      </c>
    </row>
    <row r="33" spans="1:4" ht="15" x14ac:dyDescent="0.3">
      <c r="A33" s="37">
        <v>29</v>
      </c>
      <c r="B33" s="37">
        <v>20500</v>
      </c>
      <c r="C33" s="37"/>
      <c r="D33" s="37" t="s">
        <v>717</v>
      </c>
    </row>
    <row r="34" spans="1:4" ht="15" x14ac:dyDescent="0.3">
      <c r="A34" s="37">
        <v>30</v>
      </c>
      <c r="B34" s="37">
        <v>20843</v>
      </c>
      <c r="C34" s="37"/>
      <c r="D34" s="37" t="s">
        <v>717</v>
      </c>
    </row>
    <row r="35" spans="1:4" ht="15" x14ac:dyDescent="0.3">
      <c r="A35" s="37">
        <v>31</v>
      </c>
      <c r="B35" s="37">
        <v>19201</v>
      </c>
      <c r="C35" s="37"/>
      <c r="D35" s="37" t="s">
        <v>717</v>
      </c>
    </row>
    <row r="36" spans="1:4" ht="15" x14ac:dyDescent="0.3">
      <c r="A36" s="37">
        <v>32</v>
      </c>
      <c r="B36" s="37">
        <v>20139</v>
      </c>
      <c r="C36" s="37"/>
      <c r="D36" s="37" t="s">
        <v>717</v>
      </c>
    </row>
    <row r="37" spans="1:4" ht="15" x14ac:dyDescent="0.3">
      <c r="A37" s="37">
        <v>33</v>
      </c>
      <c r="B37" s="37">
        <v>18207</v>
      </c>
      <c r="C37" s="37"/>
      <c r="D37" s="37" t="s">
        <v>717</v>
      </c>
    </row>
    <row r="38" spans="1:4" ht="15" x14ac:dyDescent="0.3">
      <c r="A38" s="37">
        <v>34</v>
      </c>
      <c r="B38" s="37">
        <v>15581</v>
      </c>
      <c r="C38" s="37"/>
      <c r="D38" s="37" t="s">
        <v>717</v>
      </c>
    </row>
    <row r="39" spans="1:4" ht="15" x14ac:dyDescent="0.3">
      <c r="A39" s="37">
        <v>35</v>
      </c>
      <c r="B39" s="37">
        <v>15397</v>
      </c>
      <c r="C39" s="37"/>
      <c r="D39" s="37" t="s">
        <v>717</v>
      </c>
    </row>
    <row r="40" spans="1:4" ht="15" x14ac:dyDescent="0.3">
      <c r="A40" s="37">
        <v>36</v>
      </c>
      <c r="B40" s="37">
        <v>15202</v>
      </c>
      <c r="C40" s="37"/>
      <c r="D40" s="37" t="s">
        <v>717</v>
      </c>
    </row>
    <row r="41" spans="1:4" ht="15" x14ac:dyDescent="0.3">
      <c r="A41" s="37">
        <v>37</v>
      </c>
      <c r="B41" s="37">
        <v>17402</v>
      </c>
      <c r="C41" s="37"/>
      <c r="D41" s="37" t="s">
        <v>717</v>
      </c>
    </row>
    <row r="42" spans="1:4" ht="15" x14ac:dyDescent="0.3">
      <c r="A42" s="37">
        <v>38</v>
      </c>
      <c r="B42" s="37">
        <v>15439</v>
      </c>
      <c r="C42" s="37"/>
      <c r="D42" s="37" t="s">
        <v>717</v>
      </c>
    </row>
    <row r="43" spans="1:4" ht="15" x14ac:dyDescent="0.3">
      <c r="A43" s="37">
        <v>39</v>
      </c>
      <c r="B43" s="37">
        <v>14263</v>
      </c>
      <c r="C43" s="37"/>
      <c r="D43" s="37" t="s">
        <v>717</v>
      </c>
    </row>
    <row r="44" spans="1:4" ht="15" x14ac:dyDescent="0.3">
      <c r="A44" s="37">
        <v>40</v>
      </c>
      <c r="B44" s="37">
        <v>15439</v>
      </c>
      <c r="C44" s="37"/>
      <c r="D44" s="37" t="s">
        <v>717</v>
      </c>
    </row>
    <row r="45" spans="1:4" ht="15" x14ac:dyDescent="0.3">
      <c r="A45" s="37">
        <v>41</v>
      </c>
      <c r="B45" s="37">
        <v>15113</v>
      </c>
      <c r="C45" s="37"/>
      <c r="D45" s="37" t="s">
        <v>717</v>
      </c>
    </row>
    <row r="46" spans="1:4" ht="15" x14ac:dyDescent="0.3">
      <c r="A46" s="37">
        <v>42</v>
      </c>
      <c r="B46" s="37">
        <v>14089</v>
      </c>
      <c r="C46" s="37"/>
      <c r="D46" s="37" t="s">
        <v>717</v>
      </c>
    </row>
    <row r="47" spans="1:4" ht="15" x14ac:dyDescent="0.3">
      <c r="A47" s="37">
        <v>43</v>
      </c>
      <c r="B47" s="37">
        <v>16019</v>
      </c>
      <c r="C47" s="37"/>
      <c r="D47" s="37" t="s">
        <v>717</v>
      </c>
    </row>
    <row r="48" spans="1:4" ht="15" x14ac:dyDescent="0.3">
      <c r="A48" s="37">
        <v>44</v>
      </c>
      <c r="B48" s="37">
        <v>16384</v>
      </c>
      <c r="C48" s="37"/>
      <c r="D48" s="37" t="s">
        <v>717</v>
      </c>
    </row>
    <row r="49" spans="1:4" ht="15" x14ac:dyDescent="0.3">
      <c r="A49" s="37">
        <v>45</v>
      </c>
      <c r="B49" s="37">
        <v>17691</v>
      </c>
      <c r="C49" s="37"/>
      <c r="D49" s="37" t="s">
        <v>717</v>
      </c>
    </row>
    <row r="50" spans="1:4" ht="15" x14ac:dyDescent="0.3">
      <c r="A50" s="37">
        <v>46</v>
      </c>
      <c r="B50" s="37">
        <v>18498</v>
      </c>
      <c r="C50" s="37"/>
      <c r="D50" s="37" t="s">
        <v>717</v>
      </c>
    </row>
    <row r="51" spans="1:4" ht="15" x14ac:dyDescent="0.3">
      <c r="A51" s="37">
        <v>47</v>
      </c>
      <c r="B51" s="37">
        <v>19041</v>
      </c>
      <c r="C51" s="37"/>
      <c r="D51" s="37" t="s">
        <v>717</v>
      </c>
    </row>
    <row r="52" spans="1:4" ht="15" x14ac:dyDescent="0.3">
      <c r="A52" s="37">
        <v>48</v>
      </c>
      <c r="B52" s="37">
        <v>19375</v>
      </c>
      <c r="C52" s="37"/>
      <c r="D52" s="37" t="s">
        <v>717</v>
      </c>
    </row>
    <row r="53" spans="1:4" ht="15" x14ac:dyDescent="0.3">
      <c r="A53" s="37">
        <v>49</v>
      </c>
      <c r="B53" s="37">
        <v>21015</v>
      </c>
      <c r="C53" s="37"/>
      <c r="D53" s="37" t="s">
        <v>717</v>
      </c>
    </row>
    <row r="54" spans="1:4" ht="15" x14ac:dyDescent="0.3">
      <c r="A54" s="37">
        <v>50</v>
      </c>
      <c r="B54" s="37">
        <v>19109</v>
      </c>
      <c r="C54" s="37"/>
      <c r="D54" s="37" t="s">
        <v>717</v>
      </c>
    </row>
    <row r="55" spans="1:4" ht="15" x14ac:dyDescent="0.3">
      <c r="A55" s="37">
        <v>51</v>
      </c>
      <c r="B55" s="37">
        <v>20897</v>
      </c>
      <c r="C55" s="37"/>
      <c r="D55" s="37" t="s">
        <v>717</v>
      </c>
    </row>
    <row r="56" spans="1:4" ht="15" x14ac:dyDescent="0.3">
      <c r="A56" s="37">
        <v>52</v>
      </c>
      <c r="B56" s="37">
        <v>16680</v>
      </c>
      <c r="C56" s="37"/>
      <c r="D56" s="37" t="s">
        <v>717</v>
      </c>
    </row>
    <row r="57" spans="1:4" ht="15" x14ac:dyDescent="0.3">
      <c r="A57" s="37">
        <v>53</v>
      </c>
      <c r="B57" s="37">
        <v>18268</v>
      </c>
      <c r="C57" s="37"/>
      <c r="D57" s="37" t="s">
        <v>717</v>
      </c>
    </row>
    <row r="58" spans="1:4" ht="15" x14ac:dyDescent="0.3">
      <c r="A58" s="37">
        <v>54</v>
      </c>
      <c r="B58" s="37">
        <v>18171</v>
      </c>
      <c r="C58" s="37"/>
      <c r="D58" s="37" t="s">
        <v>717</v>
      </c>
    </row>
    <row r="59" spans="1:4" ht="15" x14ac:dyDescent="0.3">
      <c r="A59" s="37">
        <v>55</v>
      </c>
      <c r="B59" s="37">
        <v>17650</v>
      </c>
      <c r="C59" s="37"/>
      <c r="D59" s="37" t="s">
        <v>717</v>
      </c>
    </row>
    <row r="60" spans="1:4" ht="15" x14ac:dyDescent="0.3">
      <c r="A60" s="37">
        <v>56</v>
      </c>
      <c r="B60" s="37">
        <v>20317</v>
      </c>
      <c r="C60" s="37"/>
      <c r="D60" s="37" t="s">
        <v>717</v>
      </c>
    </row>
    <row r="61" spans="1:4" ht="15" x14ac:dyDescent="0.3">
      <c r="A61" s="37">
        <v>57</v>
      </c>
      <c r="B61" s="37">
        <v>16746</v>
      </c>
      <c r="C61" s="37"/>
      <c r="D61" s="37" t="s">
        <v>717</v>
      </c>
    </row>
    <row r="62" spans="1:4" ht="15" x14ac:dyDescent="0.3">
      <c r="A62" s="37">
        <v>58</v>
      </c>
      <c r="B62" s="37">
        <v>8816</v>
      </c>
      <c r="C62" s="37"/>
      <c r="D62" s="37" t="s">
        <v>717</v>
      </c>
    </row>
    <row r="63" spans="1:4" ht="15" x14ac:dyDescent="0.3">
      <c r="A63" s="37">
        <v>59</v>
      </c>
      <c r="B63" s="37">
        <v>10539</v>
      </c>
      <c r="C63" s="37"/>
      <c r="D63" s="37" t="s">
        <v>717</v>
      </c>
    </row>
    <row r="64" spans="1:4" ht="15" x14ac:dyDescent="0.3">
      <c r="A64" s="37">
        <v>60</v>
      </c>
      <c r="B64" s="37">
        <v>9555</v>
      </c>
      <c r="C64" s="37"/>
      <c r="D64" s="37" t="s">
        <v>717</v>
      </c>
    </row>
    <row r="65" spans="1:4" ht="15" x14ac:dyDescent="0.3">
      <c r="A65" s="37">
        <v>61</v>
      </c>
      <c r="B65" s="37">
        <v>12307</v>
      </c>
      <c r="C65" s="37"/>
      <c r="D65" s="37" t="s">
        <v>717</v>
      </c>
    </row>
    <row r="66" spans="1:4" ht="15" x14ac:dyDescent="0.3">
      <c r="A66" s="37">
        <v>62</v>
      </c>
      <c r="B66" s="37">
        <v>13535</v>
      </c>
      <c r="C66" s="37"/>
      <c r="D66" s="37" t="s">
        <v>717</v>
      </c>
    </row>
    <row r="67" spans="1:4" ht="15" x14ac:dyDescent="0.3">
      <c r="A67" s="37">
        <v>63</v>
      </c>
      <c r="B67" s="37">
        <v>12504</v>
      </c>
      <c r="C67" s="37"/>
      <c r="D67" s="37" t="s">
        <v>717</v>
      </c>
    </row>
    <row r="68" spans="1:4" ht="15" x14ac:dyDescent="0.3">
      <c r="A68" s="37">
        <v>64</v>
      </c>
      <c r="B68" s="37">
        <v>12812</v>
      </c>
      <c r="C68" s="37"/>
      <c r="D68" s="37" t="s">
        <v>717</v>
      </c>
    </row>
    <row r="69" spans="1:4" ht="15" x14ac:dyDescent="0.3">
      <c r="A69" s="37">
        <v>65</v>
      </c>
      <c r="B69" s="37">
        <v>12802</v>
      </c>
      <c r="C69" s="37"/>
      <c r="D69" s="37" t="s">
        <v>717</v>
      </c>
    </row>
    <row r="70" spans="1:4" ht="15" x14ac:dyDescent="0.3">
      <c r="A70" s="37">
        <v>66</v>
      </c>
      <c r="B70" s="37">
        <v>11819</v>
      </c>
      <c r="C70" s="37"/>
      <c r="D70" s="37" t="s">
        <v>717</v>
      </c>
    </row>
    <row r="71" spans="1:4" ht="15" x14ac:dyDescent="0.3">
      <c r="A71" s="37">
        <v>67</v>
      </c>
      <c r="B71" s="37">
        <v>11456</v>
      </c>
      <c r="C71" s="37"/>
      <c r="D71" s="37" t="s">
        <v>717</v>
      </c>
    </row>
    <row r="72" spans="1:4" ht="15" x14ac:dyDescent="0.3">
      <c r="A72" s="37">
        <v>68</v>
      </c>
      <c r="B72" s="37">
        <v>9596</v>
      </c>
      <c r="C72" s="37"/>
      <c r="D72" s="37" t="s">
        <v>717</v>
      </c>
    </row>
    <row r="73" spans="1:4" ht="15" x14ac:dyDescent="0.3">
      <c r="A73" s="37">
        <v>69</v>
      </c>
      <c r="B73" s="37">
        <v>9413</v>
      </c>
      <c r="C73" s="37"/>
      <c r="D73" s="37" t="s">
        <v>717</v>
      </c>
    </row>
    <row r="74" spans="1:4" ht="15" x14ac:dyDescent="0.3">
      <c r="A74" s="37">
        <v>70</v>
      </c>
      <c r="B74" s="37">
        <v>8873</v>
      </c>
      <c r="C74" s="37"/>
      <c r="D74" s="37" t="s">
        <v>717</v>
      </c>
    </row>
    <row r="75" spans="1:4" ht="15" x14ac:dyDescent="0.3">
      <c r="A75" s="37">
        <v>71</v>
      </c>
      <c r="B75" s="37">
        <v>7562</v>
      </c>
      <c r="C75" s="37"/>
      <c r="D75" s="37" t="s">
        <v>717</v>
      </c>
    </row>
    <row r="76" spans="1:4" ht="15" x14ac:dyDescent="0.3">
      <c r="A76" s="37">
        <v>72</v>
      </c>
      <c r="B76" s="37">
        <v>7105</v>
      </c>
      <c r="C76" s="37"/>
      <c r="D76" s="37" t="s">
        <v>717</v>
      </c>
    </row>
    <row r="77" spans="1:4" ht="15" x14ac:dyDescent="0.3">
      <c r="A77" s="37">
        <v>73</v>
      </c>
      <c r="B77" s="37">
        <v>6415</v>
      </c>
      <c r="C77" s="37"/>
      <c r="D77" s="37" t="s">
        <v>717</v>
      </c>
    </row>
    <row r="78" spans="1:4" ht="15" x14ac:dyDescent="0.3">
      <c r="A78" s="37">
        <v>74</v>
      </c>
      <c r="B78" s="37">
        <v>5711</v>
      </c>
      <c r="C78" s="37"/>
      <c r="D78" s="37" t="s">
        <v>717</v>
      </c>
    </row>
    <row r="79" spans="1:4" ht="15" x14ac:dyDescent="0.3">
      <c r="A79" s="37">
        <v>75</v>
      </c>
      <c r="B79" s="37">
        <v>5326</v>
      </c>
      <c r="C79" s="37"/>
      <c r="D79" s="37" t="s">
        <v>717</v>
      </c>
    </row>
    <row r="80" spans="1:4" ht="15" x14ac:dyDescent="0.3">
      <c r="A80" s="37">
        <v>76</v>
      </c>
      <c r="B80" s="37">
        <v>4697</v>
      </c>
      <c r="C80" s="37"/>
      <c r="D80" s="37" t="s">
        <v>717</v>
      </c>
    </row>
    <row r="81" spans="1:4" ht="15" x14ac:dyDescent="0.3">
      <c r="A81" s="37">
        <v>77</v>
      </c>
      <c r="B81" s="37">
        <v>4427</v>
      </c>
      <c r="C81" s="37"/>
      <c r="D81" s="37" t="s">
        <v>717</v>
      </c>
    </row>
    <row r="82" spans="1:4" ht="15" x14ac:dyDescent="0.3">
      <c r="A82" s="37">
        <v>78</v>
      </c>
      <c r="B82" s="37">
        <v>4287</v>
      </c>
      <c r="C82" s="37"/>
      <c r="D82" s="37" t="s">
        <v>717</v>
      </c>
    </row>
    <row r="83" spans="1:4" ht="15" x14ac:dyDescent="0.3">
      <c r="A83" s="37">
        <v>79</v>
      </c>
      <c r="B83" s="37">
        <v>3873</v>
      </c>
      <c r="C83" s="37"/>
      <c r="D83" s="37" t="s">
        <v>717</v>
      </c>
    </row>
    <row r="84" spans="1:4" ht="15" x14ac:dyDescent="0.3">
      <c r="A84" s="37">
        <v>80</v>
      </c>
      <c r="B84" s="37">
        <v>3268</v>
      </c>
      <c r="C84" s="37"/>
      <c r="D84" s="37" t="s">
        <v>717</v>
      </c>
    </row>
    <row r="85" spans="1:4" ht="15" x14ac:dyDescent="0.3">
      <c r="A85" s="37">
        <v>81</v>
      </c>
      <c r="B85" s="37">
        <v>3319</v>
      </c>
      <c r="C85" s="37"/>
      <c r="D85" s="37" t="s">
        <v>717</v>
      </c>
    </row>
    <row r="86" spans="1:4" ht="15" x14ac:dyDescent="0.3">
      <c r="A86" s="37">
        <v>82</v>
      </c>
      <c r="B86" s="37">
        <v>2871</v>
      </c>
      <c r="C86" s="37"/>
      <c r="D86" s="37" t="s">
        <v>717</v>
      </c>
    </row>
    <row r="87" spans="1:4" ht="15" x14ac:dyDescent="0.3">
      <c r="A87" s="37">
        <v>83</v>
      </c>
      <c r="B87" s="37">
        <v>2623</v>
      </c>
      <c r="C87" s="37"/>
      <c r="D87" s="37" t="s">
        <v>717</v>
      </c>
    </row>
    <row r="88" spans="1:4" ht="15" x14ac:dyDescent="0.3">
      <c r="A88" s="37">
        <v>84</v>
      </c>
      <c r="B88" s="37">
        <v>2241</v>
      </c>
      <c r="C88" s="37"/>
      <c r="D88" s="37" t="s">
        <v>717</v>
      </c>
    </row>
    <row r="89" spans="1:4" ht="15" x14ac:dyDescent="0.3">
      <c r="A89" s="37">
        <v>85</v>
      </c>
      <c r="B89" s="37">
        <v>1992</v>
      </c>
      <c r="C89" s="37"/>
      <c r="D89" s="37" t="s">
        <v>717</v>
      </c>
    </row>
    <row r="90" spans="1:4" ht="15" x14ac:dyDescent="0.3">
      <c r="A90" s="37">
        <v>86</v>
      </c>
      <c r="B90" s="37">
        <v>1789</v>
      </c>
      <c r="C90" s="37"/>
      <c r="D90" s="37" t="s">
        <v>717</v>
      </c>
    </row>
    <row r="91" spans="1:4" ht="15" x14ac:dyDescent="0.3">
      <c r="A91" s="37">
        <v>87</v>
      </c>
      <c r="B91" s="37">
        <v>1336</v>
      </c>
      <c r="C91" s="37"/>
      <c r="D91" s="37" t="s">
        <v>717</v>
      </c>
    </row>
    <row r="92" spans="1:4" ht="15" x14ac:dyDescent="0.3">
      <c r="A92" s="37">
        <v>88</v>
      </c>
      <c r="B92" s="37">
        <v>1013</v>
      </c>
      <c r="C92" s="37"/>
      <c r="D92" s="37" t="s">
        <v>717</v>
      </c>
    </row>
    <row r="93" spans="1:4" ht="15" x14ac:dyDescent="0.3">
      <c r="A93" s="37">
        <v>89</v>
      </c>
      <c r="B93" s="37">
        <v>906</v>
      </c>
      <c r="C93" s="37"/>
      <c r="D93" s="37" t="s">
        <v>717</v>
      </c>
    </row>
    <row r="94" spans="1:4" ht="15" x14ac:dyDescent="0.3">
      <c r="A94" s="37">
        <v>90</v>
      </c>
      <c r="B94" s="37">
        <v>636</v>
      </c>
      <c r="C94" s="37"/>
      <c r="D94" s="37" t="s">
        <v>717</v>
      </c>
    </row>
    <row r="95" spans="1:4" ht="15" x14ac:dyDescent="0.3">
      <c r="A95" s="37">
        <v>91</v>
      </c>
      <c r="B95" s="37">
        <v>587</v>
      </c>
      <c r="C95" s="37"/>
      <c r="D95" s="37" t="s">
        <v>717</v>
      </c>
    </row>
    <row r="96" spans="1:4" ht="15" x14ac:dyDescent="0.3">
      <c r="A96" s="37">
        <v>92</v>
      </c>
      <c r="B96" s="37">
        <v>394</v>
      </c>
      <c r="C96" s="37"/>
      <c r="D96" s="37" t="s">
        <v>717</v>
      </c>
    </row>
    <row r="97" spans="1:4" ht="15" x14ac:dyDescent="0.3">
      <c r="A97" s="37">
        <v>93</v>
      </c>
      <c r="B97" s="37">
        <v>287</v>
      </c>
      <c r="C97" s="37"/>
      <c r="D97" s="37" t="s">
        <v>717</v>
      </c>
    </row>
    <row r="98" spans="1:4" ht="15" x14ac:dyDescent="0.3">
      <c r="A98" s="37">
        <v>94</v>
      </c>
      <c r="B98" s="37">
        <v>208</v>
      </c>
      <c r="C98" s="37"/>
      <c r="D98" s="37" t="s">
        <v>717</v>
      </c>
    </row>
    <row r="99" spans="1:4" ht="15" x14ac:dyDescent="0.3">
      <c r="A99" s="37" t="s">
        <v>613</v>
      </c>
      <c r="B99" s="37">
        <v>450</v>
      </c>
      <c r="C99" s="37"/>
      <c r="D99" s="37" t="s">
        <v>717</v>
      </c>
    </row>
  </sheetData>
  <phoneticPr fontId="2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33"/>
  <sheetViews>
    <sheetView workbookViewId="0">
      <selection activeCell="I2" sqref="I2"/>
    </sheetView>
  </sheetViews>
  <sheetFormatPr defaultColWidth="9" defaultRowHeight="14" x14ac:dyDescent="0.3"/>
  <cols>
    <col min="4" max="4" width="7.5" customWidth="1"/>
    <col min="5" max="5" width="11.25" customWidth="1"/>
    <col min="6" max="6" width="10.83203125" customWidth="1"/>
    <col min="7" max="9" width="10.58203125" customWidth="1"/>
    <col min="10" max="10" width="12.5" customWidth="1"/>
  </cols>
  <sheetData>
    <row r="1" spans="1:11" s="110" customFormat="1" ht="30" x14ac:dyDescent="0.3">
      <c r="A1" s="107" t="s">
        <v>0</v>
      </c>
      <c r="B1" s="107" t="s">
        <v>1</v>
      </c>
      <c r="C1" s="107" t="s">
        <v>571</v>
      </c>
      <c r="D1" s="107" t="s">
        <v>567</v>
      </c>
      <c r="E1" s="107" t="s">
        <v>568</v>
      </c>
      <c r="F1" s="107" t="s">
        <v>569</v>
      </c>
      <c r="G1" s="107" t="s">
        <v>570</v>
      </c>
      <c r="H1" s="107" t="s">
        <v>712</v>
      </c>
      <c r="I1" s="107" t="s">
        <v>713</v>
      </c>
      <c r="J1" s="108" t="s">
        <v>4</v>
      </c>
      <c r="K1" s="109" t="s">
        <v>67</v>
      </c>
    </row>
    <row r="2" spans="1:11" ht="15" x14ac:dyDescent="0.3">
      <c r="A2" s="53">
        <v>0</v>
      </c>
      <c r="B2" s="53" t="s">
        <v>573</v>
      </c>
      <c r="C2" s="53"/>
      <c r="D2" s="3" t="s">
        <v>572</v>
      </c>
      <c r="E2" s="111">
        <v>132802</v>
      </c>
      <c r="F2" s="129">
        <f>SUM(F3:F33)</f>
        <v>1485312.7900000003</v>
      </c>
      <c r="G2" s="112">
        <v>2000000</v>
      </c>
      <c r="H2" s="112">
        <v>660000</v>
      </c>
      <c r="I2" s="112">
        <f>G2+H2</f>
        <v>2660000</v>
      </c>
      <c r="J2" s="3" t="s">
        <v>574</v>
      </c>
      <c r="K2" s="101"/>
    </row>
    <row r="3" spans="1:11" ht="15.5" x14ac:dyDescent="0.3">
      <c r="A3" s="102">
        <v>1</v>
      </c>
      <c r="B3" s="102" t="s">
        <v>575</v>
      </c>
      <c r="C3" s="102" t="s">
        <v>6</v>
      </c>
      <c r="D3" s="3">
        <v>30</v>
      </c>
      <c r="E3" s="111">
        <v>1695</v>
      </c>
      <c r="F3" s="112">
        <f>D3*E3</f>
        <v>50850</v>
      </c>
      <c r="G3" s="112">
        <f>F3*G$2/F$2</f>
        <v>68470.426353764837</v>
      </c>
      <c r="H3" s="112">
        <f>G3*H$2/G$2</f>
        <v>22595.240696742396</v>
      </c>
      <c r="I3" s="112">
        <f t="shared" ref="I3:I33" si="0">G3+H3</f>
        <v>91065.66705050724</v>
      </c>
      <c r="J3" s="3" t="s">
        <v>574</v>
      </c>
      <c r="K3" s="3"/>
    </row>
    <row r="4" spans="1:11" ht="15.5" x14ac:dyDescent="0.3">
      <c r="A4" s="102">
        <v>2</v>
      </c>
      <c r="B4" s="102" t="s">
        <v>576</v>
      </c>
      <c r="C4" s="102" t="s">
        <v>9</v>
      </c>
      <c r="D4" s="3">
        <v>27.5</v>
      </c>
      <c r="E4" s="111">
        <v>1176</v>
      </c>
      <c r="F4" s="112">
        <f t="shared" ref="F4:F33" si="1">D4*E4</f>
        <v>32340</v>
      </c>
      <c r="G4" s="112">
        <f>F4*G$2/F$2</f>
        <v>43546.383250358995</v>
      </c>
      <c r="H4" s="112">
        <f t="shared" ref="H4:H33" si="2">G4*H$2/G$2</f>
        <v>14370.306472618468</v>
      </c>
      <c r="I4" s="112">
        <f t="shared" si="0"/>
        <v>57916.689722977462</v>
      </c>
      <c r="J4" s="3" t="s">
        <v>577</v>
      </c>
      <c r="K4" s="3"/>
    </row>
    <row r="5" spans="1:11" ht="15.5" x14ac:dyDescent="0.3">
      <c r="A5" s="102">
        <v>3</v>
      </c>
      <c r="B5" s="102" t="s">
        <v>578</v>
      </c>
      <c r="C5" s="102" t="s">
        <v>11</v>
      </c>
      <c r="D5" s="3">
        <v>9.0399999999999991</v>
      </c>
      <c r="E5" s="111">
        <v>6989</v>
      </c>
      <c r="F5" s="112">
        <f t="shared" si="1"/>
        <v>63180.56</v>
      </c>
      <c r="G5" s="112">
        <f t="shared" ref="G5:G33" si="3">F5*G$2/F$2</f>
        <v>85073.74396203777</v>
      </c>
      <c r="H5" s="112">
        <f t="shared" si="2"/>
        <v>28074.335507472464</v>
      </c>
      <c r="I5" s="112">
        <f t="shared" si="0"/>
        <v>113148.07946951024</v>
      </c>
      <c r="J5" s="3" t="s">
        <v>577</v>
      </c>
      <c r="K5" s="3"/>
    </row>
    <row r="6" spans="1:11" ht="15.5" x14ac:dyDescent="0.3">
      <c r="A6" s="102">
        <v>4</v>
      </c>
      <c r="B6" s="102" t="s">
        <v>579</v>
      </c>
      <c r="C6" s="102" t="s">
        <v>13</v>
      </c>
      <c r="D6" s="3">
        <v>13.46</v>
      </c>
      <c r="E6" s="111">
        <v>3411</v>
      </c>
      <c r="F6" s="112">
        <f>D6*E6</f>
        <v>45912.060000000005</v>
      </c>
      <c r="G6" s="112">
        <f t="shared" si="3"/>
        <v>61821.402615135361</v>
      </c>
      <c r="H6" s="112">
        <f t="shared" si="2"/>
        <v>20401.06286299467</v>
      </c>
      <c r="I6" s="112">
        <f t="shared" si="0"/>
        <v>82222.465478130034</v>
      </c>
      <c r="J6" s="3" t="s">
        <v>577</v>
      </c>
      <c r="K6" s="3"/>
    </row>
    <row r="7" spans="1:11" ht="15.5" x14ac:dyDescent="0.3">
      <c r="A7" s="102">
        <v>5</v>
      </c>
      <c r="B7" s="102" t="s">
        <v>580</v>
      </c>
      <c r="C7" s="102" t="s">
        <v>15</v>
      </c>
      <c r="D7" s="3">
        <v>14.81</v>
      </c>
      <c r="E7" s="111">
        <v>2414</v>
      </c>
      <c r="F7" s="112">
        <f t="shared" si="1"/>
        <v>35751.340000000004</v>
      </c>
      <c r="G7" s="112">
        <f t="shared" si="3"/>
        <v>48139.81302887723</v>
      </c>
      <c r="H7" s="112">
        <f t="shared" si="2"/>
        <v>15886.138299529486</v>
      </c>
      <c r="I7" s="112">
        <f t="shared" si="0"/>
        <v>64025.951328406714</v>
      </c>
      <c r="J7" s="3" t="s">
        <v>577</v>
      </c>
      <c r="K7" s="3"/>
    </row>
    <row r="8" spans="1:11" ht="15.5" x14ac:dyDescent="0.3">
      <c r="A8" s="102">
        <v>6</v>
      </c>
      <c r="B8" s="102" t="s">
        <v>581</v>
      </c>
      <c r="C8" s="102" t="s">
        <v>17</v>
      </c>
      <c r="D8" s="3">
        <v>15.96</v>
      </c>
      <c r="E8" s="111">
        <v>4315</v>
      </c>
      <c r="F8" s="112">
        <f t="shared" si="1"/>
        <v>68867.400000000009</v>
      </c>
      <c r="G8" s="112">
        <f t="shared" si="3"/>
        <v>92731.174825472292</v>
      </c>
      <c r="H8" s="112">
        <f t="shared" si="2"/>
        <v>30601.287692405858</v>
      </c>
      <c r="I8" s="112">
        <f t="shared" si="0"/>
        <v>123332.46251787816</v>
      </c>
      <c r="J8" s="3" t="s">
        <v>577</v>
      </c>
      <c r="K8" s="3"/>
    </row>
    <row r="9" spans="1:11" ht="15.5" x14ac:dyDescent="0.3">
      <c r="A9" s="102">
        <v>7</v>
      </c>
      <c r="B9" s="102" t="s">
        <v>582</v>
      </c>
      <c r="C9" s="102" t="s">
        <v>19</v>
      </c>
      <c r="D9" s="3">
        <v>14.62</v>
      </c>
      <c r="E9" s="111">
        <v>2734</v>
      </c>
      <c r="F9" s="112">
        <f t="shared" si="1"/>
        <v>39971.079999999994</v>
      </c>
      <c r="G9" s="112">
        <f t="shared" si="3"/>
        <v>53821.767736881855</v>
      </c>
      <c r="H9" s="112">
        <f t="shared" si="2"/>
        <v>17761.183353171014</v>
      </c>
      <c r="I9" s="112">
        <f t="shared" si="0"/>
        <v>71582.951090052869</v>
      </c>
      <c r="J9" s="3" t="s">
        <v>577</v>
      </c>
      <c r="K9" s="3"/>
    </row>
    <row r="10" spans="1:11" ht="15.5" x14ac:dyDescent="0.3">
      <c r="A10" s="102">
        <v>8</v>
      </c>
      <c r="B10" s="102" t="s">
        <v>583</v>
      </c>
      <c r="C10" s="102" t="s">
        <v>21</v>
      </c>
      <c r="D10" s="3">
        <v>15.48</v>
      </c>
      <c r="E10" s="111">
        <v>3825</v>
      </c>
      <c r="F10" s="112">
        <f t="shared" si="1"/>
        <v>59211</v>
      </c>
      <c r="G10" s="112">
        <f t="shared" si="3"/>
        <v>79728.66105865821</v>
      </c>
      <c r="H10" s="112">
        <f t="shared" si="2"/>
        <v>26310.458149357208</v>
      </c>
      <c r="I10" s="112">
        <f t="shared" si="0"/>
        <v>106039.11920801541</v>
      </c>
      <c r="J10" s="3" t="s">
        <v>577</v>
      </c>
      <c r="K10" s="3"/>
    </row>
    <row r="11" spans="1:11" ht="15.5" x14ac:dyDescent="0.3">
      <c r="A11" s="102">
        <v>9</v>
      </c>
      <c r="B11" s="102" t="s">
        <v>584</v>
      </c>
      <c r="C11" s="102" t="s">
        <v>23</v>
      </c>
      <c r="D11" s="3">
        <v>23.08</v>
      </c>
      <c r="E11" s="111">
        <v>1888</v>
      </c>
      <c r="F11" s="112">
        <f t="shared" si="1"/>
        <v>43575.039999999994</v>
      </c>
      <c r="G11" s="112">
        <f t="shared" si="3"/>
        <v>58674.563759731689</v>
      </c>
      <c r="H11" s="112">
        <f t="shared" si="2"/>
        <v>19362.606040711456</v>
      </c>
      <c r="I11" s="112">
        <f t="shared" si="0"/>
        <v>78037.169800443138</v>
      </c>
      <c r="J11" s="3" t="s">
        <v>577</v>
      </c>
      <c r="K11" s="3"/>
    </row>
    <row r="12" spans="1:11" ht="15.5" x14ac:dyDescent="0.3">
      <c r="A12" s="102">
        <v>10</v>
      </c>
      <c r="B12" s="102" t="s">
        <v>585</v>
      </c>
      <c r="C12" s="102" t="s">
        <v>25</v>
      </c>
      <c r="D12" s="3">
        <v>10.58</v>
      </c>
      <c r="E12" s="111">
        <v>7677</v>
      </c>
      <c r="F12" s="112">
        <f t="shared" si="1"/>
        <v>81222.66</v>
      </c>
      <c r="G12" s="112">
        <f t="shared" si="3"/>
        <v>109367.75142157092</v>
      </c>
      <c r="H12" s="112">
        <f t="shared" si="2"/>
        <v>36091.357969118406</v>
      </c>
      <c r="I12" s="112">
        <f t="shared" si="0"/>
        <v>145459.10939068932</v>
      </c>
      <c r="J12" s="3" t="s">
        <v>577</v>
      </c>
      <c r="K12" s="3"/>
    </row>
    <row r="13" spans="1:11" ht="15.5" x14ac:dyDescent="0.3">
      <c r="A13" s="102">
        <v>11</v>
      </c>
      <c r="B13" s="102" t="s">
        <v>586</v>
      </c>
      <c r="C13" s="102" t="s">
        <v>27</v>
      </c>
      <c r="D13" s="3">
        <v>11.92</v>
      </c>
      <c r="E13" s="111">
        <v>5120</v>
      </c>
      <c r="F13" s="112">
        <f t="shared" si="1"/>
        <v>61030.400000000001</v>
      </c>
      <c r="G13" s="112">
        <f t="shared" si="3"/>
        <v>82178.515408865482</v>
      </c>
      <c r="H13" s="112">
        <f t="shared" si="2"/>
        <v>27118.91008492561</v>
      </c>
      <c r="I13" s="112">
        <f t="shared" si="0"/>
        <v>109297.42549379109</v>
      </c>
      <c r="J13" s="3" t="s">
        <v>577</v>
      </c>
      <c r="K13" s="3"/>
    </row>
    <row r="14" spans="1:11" ht="15.5" x14ac:dyDescent="0.3">
      <c r="A14" s="102">
        <v>12</v>
      </c>
      <c r="B14" s="102" t="s">
        <v>587</v>
      </c>
      <c r="C14" s="102" t="s">
        <v>29</v>
      </c>
      <c r="D14" s="3">
        <v>6.54</v>
      </c>
      <c r="E14" s="111">
        <v>6135</v>
      </c>
      <c r="F14" s="112">
        <f t="shared" si="1"/>
        <v>40122.9</v>
      </c>
      <c r="G14" s="112">
        <f t="shared" si="3"/>
        <v>54026.19605800337</v>
      </c>
      <c r="H14" s="112">
        <f t="shared" si="2"/>
        <v>17828.644699141114</v>
      </c>
      <c r="I14" s="112">
        <f t="shared" si="0"/>
        <v>71854.840757144484</v>
      </c>
      <c r="J14" s="3" t="s">
        <v>577</v>
      </c>
      <c r="K14" s="3"/>
    </row>
    <row r="15" spans="1:11" ht="15.5" x14ac:dyDescent="0.3">
      <c r="A15" s="102">
        <v>13</v>
      </c>
      <c r="B15" s="102" t="s">
        <v>588</v>
      </c>
      <c r="C15" s="102" t="s">
        <v>31</v>
      </c>
      <c r="D15" s="3">
        <v>10.96</v>
      </c>
      <c r="E15" s="111">
        <v>3604</v>
      </c>
      <c r="F15" s="112">
        <f t="shared" si="1"/>
        <v>39499.840000000004</v>
      </c>
      <c r="G15" s="112">
        <f t="shared" si="3"/>
        <v>53187.234723805203</v>
      </c>
      <c r="H15" s="112">
        <f t="shared" si="2"/>
        <v>17551.787458855717</v>
      </c>
      <c r="I15" s="112">
        <f t="shared" si="0"/>
        <v>70739.022182660919</v>
      </c>
      <c r="J15" s="3" t="s">
        <v>577</v>
      </c>
      <c r="K15" s="3"/>
    </row>
    <row r="16" spans="1:11" ht="15.5" x14ac:dyDescent="0.3">
      <c r="A16" s="102">
        <v>14</v>
      </c>
      <c r="B16" s="102" t="s">
        <v>589</v>
      </c>
      <c r="C16" s="102" t="s">
        <v>33</v>
      </c>
      <c r="D16" s="3">
        <v>9.0399999999999991</v>
      </c>
      <c r="E16" s="111">
        <v>4400</v>
      </c>
      <c r="F16" s="112">
        <f t="shared" si="1"/>
        <v>39775.999999999993</v>
      </c>
      <c r="G16" s="112">
        <f t="shared" si="3"/>
        <v>53559.089058944934</v>
      </c>
      <c r="H16" s="112">
        <f t="shared" si="2"/>
        <v>17674.499389451827</v>
      </c>
      <c r="I16" s="112">
        <f t="shared" si="0"/>
        <v>71233.588448396767</v>
      </c>
      <c r="J16" s="3" t="s">
        <v>577</v>
      </c>
      <c r="K16" s="3"/>
    </row>
    <row r="17" spans="1:11" ht="15.5" x14ac:dyDescent="0.3">
      <c r="A17" s="102">
        <v>15</v>
      </c>
      <c r="B17" s="102" t="s">
        <v>590</v>
      </c>
      <c r="C17" s="102" t="s">
        <v>35</v>
      </c>
      <c r="D17" s="3">
        <v>9.6199999999999992</v>
      </c>
      <c r="E17" s="111">
        <v>9417</v>
      </c>
      <c r="F17" s="112">
        <f t="shared" si="1"/>
        <v>90591.54</v>
      </c>
      <c r="G17" s="112">
        <f t="shared" si="3"/>
        <v>121983.11441188086</v>
      </c>
      <c r="H17" s="112">
        <f t="shared" si="2"/>
        <v>40254.427755920682</v>
      </c>
      <c r="I17" s="112">
        <f t="shared" si="0"/>
        <v>162237.54216780153</v>
      </c>
      <c r="J17" s="3" t="s">
        <v>577</v>
      </c>
      <c r="K17" s="3"/>
    </row>
    <row r="18" spans="1:11" ht="15.5" x14ac:dyDescent="0.3">
      <c r="A18" s="102">
        <v>16</v>
      </c>
      <c r="B18" s="102" t="s">
        <v>591</v>
      </c>
      <c r="C18" s="102" t="s">
        <v>37</v>
      </c>
      <c r="D18" s="3">
        <v>9.23</v>
      </c>
      <c r="E18" s="111">
        <v>9429</v>
      </c>
      <c r="F18" s="112">
        <f t="shared" si="1"/>
        <v>87029.67</v>
      </c>
      <c r="G18" s="112">
        <f t="shared" si="3"/>
        <v>117186.99332010731</v>
      </c>
      <c r="H18" s="112">
        <f t="shared" si="2"/>
        <v>38671.707795635411</v>
      </c>
      <c r="I18" s="112">
        <f t="shared" si="0"/>
        <v>155858.70111574273</v>
      </c>
      <c r="J18" s="3" t="s">
        <v>577</v>
      </c>
      <c r="K18" s="3"/>
    </row>
    <row r="19" spans="1:11" ht="15.5" x14ac:dyDescent="0.3">
      <c r="A19" s="102">
        <v>17</v>
      </c>
      <c r="B19" s="102" t="s">
        <v>592</v>
      </c>
      <c r="C19" s="102" t="s">
        <v>39</v>
      </c>
      <c r="D19" s="3">
        <v>10.48</v>
      </c>
      <c r="E19" s="111">
        <v>5711</v>
      </c>
      <c r="F19" s="112">
        <f t="shared" si="1"/>
        <v>59851.28</v>
      </c>
      <c r="G19" s="112">
        <f t="shared" si="3"/>
        <v>80590.809428093577</v>
      </c>
      <c r="H19" s="112">
        <f t="shared" si="2"/>
        <v>26594.967111270882</v>
      </c>
      <c r="I19" s="112">
        <f t="shared" si="0"/>
        <v>107185.77653936445</v>
      </c>
      <c r="J19" s="3" t="s">
        <v>577</v>
      </c>
      <c r="K19" s="3"/>
    </row>
    <row r="20" spans="1:11" ht="15.5" x14ac:dyDescent="0.3">
      <c r="A20" s="102">
        <v>18</v>
      </c>
      <c r="B20" s="102" t="s">
        <v>593</v>
      </c>
      <c r="C20" s="102" t="s">
        <v>41</v>
      </c>
      <c r="D20" s="3">
        <v>8.4600000000000009</v>
      </c>
      <c r="E20" s="111">
        <v>6380</v>
      </c>
      <c r="F20" s="112">
        <f t="shared" si="1"/>
        <v>53974.8</v>
      </c>
      <c r="G20" s="112">
        <f t="shared" si="3"/>
        <v>72678.024943150172</v>
      </c>
      <c r="H20" s="112">
        <f t="shared" si="2"/>
        <v>23983.748231239555</v>
      </c>
      <c r="I20" s="112">
        <f t="shared" si="0"/>
        <v>96661.773174389731</v>
      </c>
      <c r="J20" s="3" t="s">
        <v>577</v>
      </c>
      <c r="K20" s="3"/>
    </row>
    <row r="21" spans="1:11" ht="15.5" x14ac:dyDescent="0.3">
      <c r="A21" s="102">
        <v>19</v>
      </c>
      <c r="B21" s="102" t="s">
        <v>594</v>
      </c>
      <c r="C21" s="102" t="s">
        <v>43</v>
      </c>
      <c r="D21" s="3">
        <v>15.19</v>
      </c>
      <c r="E21" s="111">
        <v>9544</v>
      </c>
      <c r="F21" s="112">
        <f t="shared" si="1"/>
        <v>144973.35999999999</v>
      </c>
      <c r="G21" s="112">
        <f t="shared" si="3"/>
        <v>195209.19899976082</v>
      </c>
      <c r="H21" s="112">
        <f t="shared" si="2"/>
        <v>64419.035669921068</v>
      </c>
      <c r="I21" s="112">
        <f t="shared" si="0"/>
        <v>259628.23466968187</v>
      </c>
      <c r="J21" s="3" t="s">
        <v>577</v>
      </c>
      <c r="K21" s="3"/>
    </row>
    <row r="22" spans="1:11" ht="15.5" x14ac:dyDescent="0.3">
      <c r="A22" s="102">
        <v>20</v>
      </c>
      <c r="B22" s="102" t="s">
        <v>595</v>
      </c>
      <c r="C22" s="102" t="s">
        <v>45</v>
      </c>
      <c r="D22" s="3">
        <v>8.08</v>
      </c>
      <c r="E22" s="111">
        <v>4816</v>
      </c>
      <c r="F22" s="112">
        <f t="shared" si="1"/>
        <v>38913.279999999999</v>
      </c>
      <c r="G22" s="112">
        <f t="shared" si="3"/>
        <v>52397.421286596466</v>
      </c>
      <c r="H22" s="112">
        <f t="shared" si="2"/>
        <v>17291.149024576833</v>
      </c>
      <c r="I22" s="112">
        <f t="shared" si="0"/>
        <v>69688.570311173302</v>
      </c>
      <c r="J22" s="3" t="s">
        <v>577</v>
      </c>
      <c r="K22" s="3"/>
    </row>
    <row r="23" spans="1:11" ht="15.5" x14ac:dyDescent="0.3">
      <c r="A23" s="102">
        <v>21</v>
      </c>
      <c r="B23" s="102" t="s">
        <v>596</v>
      </c>
      <c r="C23" s="102" t="s">
        <v>47</v>
      </c>
      <c r="D23" s="3">
        <v>13.08</v>
      </c>
      <c r="E23" s="111">
        <v>854</v>
      </c>
      <c r="F23" s="112">
        <f t="shared" si="1"/>
        <v>11170.32</v>
      </c>
      <c r="G23" s="112">
        <f t="shared" si="3"/>
        <v>15041.033882162959</v>
      </c>
      <c r="H23" s="112">
        <f t="shared" si="2"/>
        <v>4963.5411811137765</v>
      </c>
      <c r="I23" s="112">
        <f t="shared" si="0"/>
        <v>20004.575063276738</v>
      </c>
      <c r="J23" s="3" t="s">
        <v>577</v>
      </c>
      <c r="K23" s="3"/>
    </row>
    <row r="24" spans="1:11" ht="15.5" x14ac:dyDescent="0.3">
      <c r="A24" s="102">
        <v>22</v>
      </c>
      <c r="B24" s="102" t="s">
        <v>597</v>
      </c>
      <c r="C24" s="102" t="s">
        <v>49</v>
      </c>
      <c r="D24" s="3">
        <v>14.2</v>
      </c>
      <c r="E24" s="111">
        <v>2839</v>
      </c>
      <c r="F24" s="112">
        <f t="shared" si="1"/>
        <v>40313.799999999996</v>
      </c>
      <c r="G24" s="112">
        <f t="shared" si="3"/>
        <v>54283.246291846699</v>
      </c>
      <c r="H24" s="112">
        <f t="shared" si="2"/>
        <v>17913.47127630941</v>
      </c>
      <c r="I24" s="112">
        <f t="shared" si="0"/>
        <v>72196.717568156106</v>
      </c>
      <c r="J24" s="3" t="s">
        <v>577</v>
      </c>
      <c r="K24" s="3"/>
    </row>
    <row r="25" spans="1:11" ht="15.5" x14ac:dyDescent="0.3">
      <c r="A25" s="102">
        <v>23</v>
      </c>
      <c r="B25" s="102" t="s">
        <v>598</v>
      </c>
      <c r="C25" s="102" t="s">
        <v>51</v>
      </c>
      <c r="D25" s="3">
        <v>6.92</v>
      </c>
      <c r="E25" s="111">
        <v>8138</v>
      </c>
      <c r="F25" s="112">
        <f t="shared" si="1"/>
        <v>56314.96</v>
      </c>
      <c r="G25" s="112">
        <f t="shared" si="3"/>
        <v>75829.091864212634</v>
      </c>
      <c r="H25" s="112">
        <f t="shared" si="2"/>
        <v>25023.600315190171</v>
      </c>
      <c r="I25" s="112">
        <f t="shared" si="0"/>
        <v>100852.6921794028</v>
      </c>
      <c r="J25" s="3" t="s">
        <v>577</v>
      </c>
      <c r="K25" s="3"/>
    </row>
    <row r="26" spans="1:11" ht="15.5" x14ac:dyDescent="0.3">
      <c r="A26" s="102">
        <v>24</v>
      </c>
      <c r="B26" s="102" t="s">
        <v>599</v>
      </c>
      <c r="C26" s="102" t="s">
        <v>53</v>
      </c>
      <c r="D26" s="3">
        <v>8.08</v>
      </c>
      <c r="E26" s="111">
        <v>3793</v>
      </c>
      <c r="F26" s="112">
        <f t="shared" si="1"/>
        <v>30647.439999999999</v>
      </c>
      <c r="G26" s="112">
        <f t="shared" si="3"/>
        <v>41267.321208484303</v>
      </c>
      <c r="H26" s="112">
        <f t="shared" si="2"/>
        <v>13618.21599879982</v>
      </c>
      <c r="I26" s="112">
        <f t="shared" si="0"/>
        <v>54885.537207284127</v>
      </c>
      <c r="J26" s="3" t="s">
        <v>577</v>
      </c>
      <c r="K26" s="3"/>
    </row>
    <row r="27" spans="1:11" ht="15.5" x14ac:dyDescent="0.3">
      <c r="A27" s="102">
        <v>25</v>
      </c>
      <c r="B27" s="102" t="s">
        <v>600</v>
      </c>
      <c r="C27" s="102" t="s">
        <v>350</v>
      </c>
      <c r="D27" s="3">
        <v>11.54</v>
      </c>
      <c r="E27" s="111">
        <v>4543</v>
      </c>
      <c r="F27" s="112">
        <f t="shared" si="1"/>
        <v>52426.219999999994</v>
      </c>
      <c r="G27" s="112">
        <f t="shared" si="3"/>
        <v>70592.834523427198</v>
      </c>
      <c r="H27" s="112">
        <f t="shared" si="2"/>
        <v>23295.635392730976</v>
      </c>
      <c r="I27" s="112">
        <f t="shared" si="0"/>
        <v>93888.469916158181</v>
      </c>
      <c r="J27" s="3" t="s">
        <v>577</v>
      </c>
      <c r="K27" s="3"/>
    </row>
    <row r="28" spans="1:11" ht="15.5" x14ac:dyDescent="0.3">
      <c r="A28" s="102">
        <v>26</v>
      </c>
      <c r="B28" s="102" t="s">
        <v>601</v>
      </c>
      <c r="C28" s="102" t="s">
        <v>56</v>
      </c>
      <c r="D28" s="3">
        <v>22.5</v>
      </c>
      <c r="E28" s="111">
        <v>287</v>
      </c>
      <c r="F28" s="112">
        <f t="shared" si="1"/>
        <v>6457.5</v>
      </c>
      <c r="G28" s="112">
        <f t="shared" si="3"/>
        <v>8695.1382139515536</v>
      </c>
      <c r="H28" s="112">
        <f t="shared" si="2"/>
        <v>2869.3956106040123</v>
      </c>
      <c r="I28" s="112">
        <f t="shared" si="0"/>
        <v>11564.533824555565</v>
      </c>
      <c r="J28" s="3" t="s">
        <v>577</v>
      </c>
      <c r="K28" s="3"/>
    </row>
    <row r="29" spans="1:11" ht="15.5" x14ac:dyDescent="0.3">
      <c r="A29" s="102">
        <v>27</v>
      </c>
      <c r="B29" s="102" t="s">
        <v>602</v>
      </c>
      <c r="C29" s="102" t="s">
        <v>58</v>
      </c>
      <c r="D29" s="3">
        <v>11.25</v>
      </c>
      <c r="E29" s="111">
        <v>3762</v>
      </c>
      <c r="F29" s="112">
        <f t="shared" si="1"/>
        <v>42322.5</v>
      </c>
      <c r="G29" s="112">
        <f t="shared" si="3"/>
        <v>56987.996447536134</v>
      </c>
      <c r="H29" s="112">
        <f t="shared" si="2"/>
        <v>18806.038827686923</v>
      </c>
      <c r="I29" s="112">
        <f t="shared" si="0"/>
        <v>75794.035275223054</v>
      </c>
      <c r="J29" s="3" t="s">
        <v>577</v>
      </c>
      <c r="K29" s="3"/>
    </row>
    <row r="30" spans="1:11" ht="15.5" x14ac:dyDescent="0.3">
      <c r="A30" s="102">
        <v>28</v>
      </c>
      <c r="B30" s="102" t="s">
        <v>603</v>
      </c>
      <c r="C30" s="102" t="s">
        <v>60</v>
      </c>
      <c r="D30" s="3">
        <v>9.0399999999999991</v>
      </c>
      <c r="E30" s="111">
        <v>2628</v>
      </c>
      <c r="F30" s="112">
        <f t="shared" si="1"/>
        <v>23757.119999999999</v>
      </c>
      <c r="G30" s="112">
        <f t="shared" si="3"/>
        <v>31989.383192478934</v>
      </c>
      <c r="H30" s="112">
        <f t="shared" si="2"/>
        <v>10556.496453518048</v>
      </c>
      <c r="I30" s="112">
        <f t="shared" si="0"/>
        <v>42545.879645996982</v>
      </c>
      <c r="J30" s="3" t="s">
        <v>577</v>
      </c>
      <c r="K30" s="3"/>
    </row>
    <row r="31" spans="1:11" ht="15.5" x14ac:dyDescent="0.3">
      <c r="A31" s="102">
        <v>29</v>
      </c>
      <c r="B31" s="102" t="s">
        <v>604</v>
      </c>
      <c r="C31" s="102" t="s">
        <v>62</v>
      </c>
      <c r="D31" s="3">
        <v>14.04</v>
      </c>
      <c r="E31" s="111">
        <v>554</v>
      </c>
      <c r="F31" s="112">
        <f t="shared" si="1"/>
        <v>7778.16</v>
      </c>
      <c r="G31" s="112">
        <f t="shared" si="3"/>
        <v>10473.430313624376</v>
      </c>
      <c r="H31" s="112">
        <f t="shared" si="2"/>
        <v>3456.2320034960439</v>
      </c>
      <c r="I31" s="112">
        <f t="shared" si="0"/>
        <v>13929.662317120419</v>
      </c>
      <c r="J31" s="3" t="s">
        <v>577</v>
      </c>
      <c r="K31" s="3"/>
    </row>
    <row r="32" spans="1:11" ht="15.5" x14ac:dyDescent="0.3">
      <c r="A32" s="102">
        <v>30</v>
      </c>
      <c r="B32" s="102" t="s">
        <v>605</v>
      </c>
      <c r="C32" s="102" t="s">
        <v>64</v>
      </c>
      <c r="D32" s="3">
        <v>10.58</v>
      </c>
      <c r="E32" s="111">
        <v>618</v>
      </c>
      <c r="F32" s="112">
        <f t="shared" si="1"/>
        <v>6538.44</v>
      </c>
      <c r="G32" s="112">
        <f t="shared" si="3"/>
        <v>8804.1253586727671</v>
      </c>
      <c r="H32" s="112">
        <f t="shared" si="2"/>
        <v>2905.3613683620133</v>
      </c>
      <c r="I32" s="112">
        <f t="shared" si="0"/>
        <v>11709.48672703478</v>
      </c>
      <c r="J32" s="3" t="s">
        <v>577</v>
      </c>
      <c r="K32" s="3"/>
    </row>
    <row r="33" spans="1:11" ht="15.5" x14ac:dyDescent="0.3">
      <c r="A33" s="102">
        <v>31</v>
      </c>
      <c r="B33" s="102" t="s">
        <v>606</v>
      </c>
      <c r="C33" s="102" t="s">
        <v>66</v>
      </c>
      <c r="D33" s="3">
        <v>14.52</v>
      </c>
      <c r="E33" s="111">
        <v>2131</v>
      </c>
      <c r="F33" s="112">
        <f t="shared" si="1"/>
        <v>30942.12</v>
      </c>
      <c r="G33" s="112">
        <f t="shared" si="3"/>
        <v>41664.1130519047</v>
      </c>
      <c r="H33" s="112">
        <f t="shared" si="2"/>
        <v>13749.157307128551</v>
      </c>
      <c r="I33" s="112">
        <f t="shared" si="0"/>
        <v>55413.270359033253</v>
      </c>
      <c r="J33" s="3" t="s">
        <v>577</v>
      </c>
      <c r="K33" s="3"/>
    </row>
  </sheetData>
  <phoneticPr fontId="24" type="noConversion"/>
  <pageMargins left="0.7" right="0.7" top="0.75" bottom="0.75" header="0.3" footer="0.3"/>
  <legacy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J9"/>
  <sheetViews>
    <sheetView workbookViewId="0">
      <selection activeCell="J1" sqref="J1:J1048576"/>
    </sheetView>
  </sheetViews>
  <sheetFormatPr defaultColWidth="9" defaultRowHeight="14" x14ac:dyDescent="0.3"/>
  <cols>
    <col min="1" max="1" width="67.08203125" style="35" customWidth="1"/>
    <col min="2" max="2" width="7.33203125" style="35" customWidth="1"/>
    <col min="3" max="3" width="13.25" style="35" customWidth="1"/>
    <col min="4" max="5" width="14.5" style="35" customWidth="1"/>
    <col min="6" max="6" width="13.25" style="35" customWidth="1"/>
    <col min="7" max="9" width="14.5" style="35" customWidth="1"/>
    <col min="10" max="10" width="56.08203125" style="35" customWidth="1"/>
    <col min="11" max="16384" width="9" style="10"/>
  </cols>
  <sheetData>
    <row r="1" spans="1:10" ht="15" x14ac:dyDescent="0.3">
      <c r="A1" s="36" t="s">
        <v>210</v>
      </c>
      <c r="B1" s="36" t="s">
        <v>211</v>
      </c>
      <c r="C1" s="36" t="s">
        <v>518</v>
      </c>
      <c r="D1" s="36" t="s">
        <v>213</v>
      </c>
      <c r="E1" s="36" t="s">
        <v>214</v>
      </c>
      <c r="F1" s="36" t="s">
        <v>215</v>
      </c>
      <c r="G1" s="36" t="s">
        <v>216</v>
      </c>
      <c r="H1" s="36" t="s">
        <v>217</v>
      </c>
      <c r="I1" s="36" t="s">
        <v>218</v>
      </c>
      <c r="J1" s="36" t="s">
        <v>4</v>
      </c>
    </row>
    <row r="2" spans="1:10" ht="15" x14ac:dyDescent="0.3">
      <c r="A2" s="36" t="s">
        <v>524</v>
      </c>
      <c r="B2" s="37">
        <v>11368</v>
      </c>
      <c r="C2" s="37">
        <v>320</v>
      </c>
      <c r="D2" s="37">
        <v>2206</v>
      </c>
      <c r="E2" s="37">
        <v>4503</v>
      </c>
      <c r="F2" s="37">
        <v>3114</v>
      </c>
      <c r="G2" s="37">
        <v>1005</v>
      </c>
      <c r="H2" s="37">
        <v>199</v>
      </c>
      <c r="I2" s="37">
        <v>21</v>
      </c>
      <c r="J2" s="37" t="s">
        <v>717</v>
      </c>
    </row>
    <row r="3" spans="1:10" ht="15" x14ac:dyDescent="0.3">
      <c r="A3" s="36" t="s">
        <v>525</v>
      </c>
      <c r="B3" s="37">
        <f>SUM(C3:I3)</f>
        <v>1</v>
      </c>
      <c r="C3" s="37">
        <f>C2/B2</f>
        <v>2.8149190710767064E-2</v>
      </c>
      <c r="D3" s="37">
        <f>D2/B2</f>
        <v>0.19405348346235046</v>
      </c>
      <c r="E3" s="37">
        <f>E2/B2</f>
        <v>0.39611189303307531</v>
      </c>
      <c r="F3" s="37">
        <f>F2/B2</f>
        <v>0.27392681210415198</v>
      </c>
      <c r="G3" s="37">
        <f>G2/B2</f>
        <v>8.8406052076002814E-2</v>
      </c>
      <c r="H3" s="37">
        <f>H2/B2</f>
        <v>1.7505277973258269E-2</v>
      </c>
      <c r="I3" s="37">
        <f>I2/B2</f>
        <v>1.8472906403940886E-3</v>
      </c>
      <c r="J3" s="37" t="s">
        <v>717</v>
      </c>
    </row>
    <row r="4" spans="1:10" ht="15" x14ac:dyDescent="0.3">
      <c r="A4" s="36"/>
      <c r="B4" s="37"/>
      <c r="C4" s="37"/>
      <c r="D4" s="37"/>
      <c r="E4" s="37"/>
      <c r="F4" s="37"/>
      <c r="G4" s="37"/>
      <c r="H4" s="37"/>
      <c r="I4" s="37"/>
      <c r="J4" s="37"/>
    </row>
    <row r="5" spans="1:10" ht="15" x14ac:dyDescent="0.3">
      <c r="J5" s="37"/>
    </row>
    <row r="6" spans="1:10" ht="15" x14ac:dyDescent="0.3">
      <c r="J6" s="37"/>
    </row>
    <row r="7" spans="1:10" ht="15" x14ac:dyDescent="0.3">
      <c r="J7" s="37"/>
    </row>
    <row r="8" spans="1:10" ht="15" x14ac:dyDescent="0.3">
      <c r="J8" s="37"/>
    </row>
    <row r="9" spans="1:10" ht="15" x14ac:dyDescent="0.3">
      <c r="J9" s="37"/>
    </row>
  </sheetData>
  <phoneticPr fontId="24" type="noConversion"/>
  <pageMargins left="0.7" right="0.7" top="0.75" bottom="0.75" header="0.3" footer="0.3"/>
  <pageSetup paperSize="9" orientation="portrait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O15"/>
  <sheetViews>
    <sheetView workbookViewId="0">
      <selection activeCell="A16" sqref="A16"/>
    </sheetView>
  </sheetViews>
  <sheetFormatPr defaultColWidth="9" defaultRowHeight="14" x14ac:dyDescent="0.3"/>
  <cols>
    <col min="1" max="1" width="9.75" style="10" customWidth="1"/>
    <col min="2" max="2" width="24.5" style="10" customWidth="1"/>
    <col min="3" max="3" width="18.75" style="10" customWidth="1"/>
    <col min="4" max="4" width="16.75" style="10" customWidth="1"/>
    <col min="5" max="5" width="11.75" style="10" customWidth="1"/>
    <col min="6" max="6" width="13.25" style="10" customWidth="1"/>
    <col min="7" max="7" width="9.5" style="10" customWidth="1"/>
    <col min="8" max="8" width="24.5" style="10" customWidth="1"/>
    <col min="9" max="9" width="19" style="10" customWidth="1"/>
    <col min="10" max="10" width="22.25" style="10" customWidth="1"/>
    <col min="11" max="11" width="15.58203125" style="10" customWidth="1"/>
    <col min="12" max="12" width="14.83203125" style="10" customWidth="1"/>
    <col min="13" max="13" width="10.25" style="10" customWidth="1"/>
    <col min="14" max="14" width="15.75" style="10" customWidth="1"/>
    <col min="15" max="15" width="10.25" style="10" customWidth="1"/>
    <col min="16" max="16" width="21.83203125" style="10" customWidth="1"/>
    <col min="17" max="17" width="17.58203125" style="10" customWidth="1"/>
    <col min="18" max="18" width="16.08203125" style="10" customWidth="1"/>
    <col min="19" max="19" width="11.75" style="10" customWidth="1"/>
    <col min="20" max="20" width="16.08203125" style="10" customWidth="1"/>
    <col min="21" max="21" width="11.75" style="10" customWidth="1"/>
    <col min="22" max="22" width="16.08203125" style="10" customWidth="1"/>
    <col min="23" max="23" width="11.75" style="10" customWidth="1"/>
    <col min="24" max="24" width="15.83203125" style="10" customWidth="1"/>
    <col min="25" max="25" width="10.58203125" style="10" customWidth="1"/>
    <col min="26" max="26" width="16.08203125" style="10" customWidth="1"/>
    <col min="27" max="27" width="11.75" style="10" customWidth="1"/>
    <col min="28" max="28" width="15.83203125" style="10" customWidth="1"/>
    <col min="29" max="29" width="14" style="10" customWidth="1"/>
    <col min="30" max="30" width="15.83203125" style="10" customWidth="1"/>
    <col min="31" max="31" width="9.5" style="10" customWidth="1"/>
    <col min="32" max="32" width="13.25" style="10" customWidth="1"/>
    <col min="33" max="33" width="11.33203125" style="10" customWidth="1"/>
    <col min="34" max="34" width="12.25" style="10" customWidth="1"/>
    <col min="35" max="35" width="11.08203125" style="10" customWidth="1"/>
    <col min="36" max="36" width="14.25" style="10" customWidth="1"/>
    <col min="37" max="39" width="13.25" style="10" customWidth="1"/>
    <col min="40" max="40" width="70.58203125" style="10" customWidth="1"/>
    <col min="41" max="16384" width="9" style="10"/>
  </cols>
  <sheetData>
    <row r="1" spans="1:41" ht="79.5" customHeight="1" x14ac:dyDescent="0.3">
      <c r="A1" s="11" t="s">
        <v>210</v>
      </c>
      <c r="B1" s="11" t="s">
        <v>225</v>
      </c>
      <c r="C1" s="12" t="s">
        <v>226</v>
      </c>
      <c r="D1" s="11" t="s">
        <v>227</v>
      </c>
      <c r="E1" s="12" t="s">
        <v>228</v>
      </c>
      <c r="F1" s="11" t="s">
        <v>229</v>
      </c>
      <c r="G1" s="12" t="s">
        <v>230</v>
      </c>
      <c r="H1" s="13" t="s">
        <v>231</v>
      </c>
      <c r="I1" s="19" t="s">
        <v>232</v>
      </c>
      <c r="J1" s="11" t="s">
        <v>233</v>
      </c>
      <c r="K1" s="12" t="s">
        <v>234</v>
      </c>
      <c r="L1" s="12" t="s">
        <v>235</v>
      </c>
      <c r="M1" s="12" t="s">
        <v>236</v>
      </c>
      <c r="N1" s="12" t="s">
        <v>237</v>
      </c>
      <c r="O1" s="12" t="s">
        <v>238</v>
      </c>
      <c r="P1" s="20" t="s">
        <v>239</v>
      </c>
      <c r="Q1" s="20" t="s">
        <v>240</v>
      </c>
      <c r="R1" s="11" t="s">
        <v>241</v>
      </c>
      <c r="S1" s="11" t="s">
        <v>242</v>
      </c>
      <c r="T1" s="11" t="s">
        <v>243</v>
      </c>
      <c r="U1" s="11" t="s">
        <v>244</v>
      </c>
      <c r="V1" s="11" t="s">
        <v>245</v>
      </c>
      <c r="W1" s="11" t="s">
        <v>246</v>
      </c>
      <c r="X1" s="11" t="s">
        <v>247</v>
      </c>
      <c r="Y1" s="11" t="s">
        <v>248</v>
      </c>
      <c r="Z1" s="11" t="s">
        <v>249</v>
      </c>
      <c r="AA1" s="11" t="s">
        <v>250</v>
      </c>
      <c r="AB1" s="20" t="s">
        <v>251</v>
      </c>
      <c r="AC1" s="20" t="s">
        <v>252</v>
      </c>
      <c r="AD1" s="20" t="s">
        <v>253</v>
      </c>
      <c r="AE1" s="20" t="s">
        <v>254</v>
      </c>
      <c r="AF1" s="24" t="s">
        <v>526</v>
      </c>
      <c r="AG1" s="24" t="s">
        <v>527</v>
      </c>
      <c r="AH1" s="24" t="s">
        <v>68</v>
      </c>
      <c r="AI1" s="24" t="s">
        <v>257</v>
      </c>
      <c r="AJ1" s="24" t="s">
        <v>258</v>
      </c>
      <c r="AK1" s="24" t="s">
        <v>259</v>
      </c>
      <c r="AL1" s="24" t="s">
        <v>260</v>
      </c>
      <c r="AM1" s="24" t="s">
        <v>261</v>
      </c>
      <c r="AN1" s="25" t="s">
        <v>4</v>
      </c>
      <c r="AO1" s="33" t="s">
        <v>67</v>
      </c>
    </row>
    <row r="2" spans="1:41" ht="15" x14ac:dyDescent="0.3">
      <c r="A2" s="14" t="s">
        <v>211</v>
      </c>
      <c r="B2" s="15">
        <v>378733</v>
      </c>
      <c r="C2" s="16">
        <v>1</v>
      </c>
      <c r="D2" s="15">
        <v>338504</v>
      </c>
      <c r="E2" s="16">
        <v>1</v>
      </c>
      <c r="F2" s="17">
        <v>5315789</v>
      </c>
      <c r="G2" s="18">
        <v>1</v>
      </c>
      <c r="H2" s="15">
        <v>495991</v>
      </c>
      <c r="I2" s="18">
        <v>1</v>
      </c>
      <c r="J2" s="21">
        <f>SUM(J3:J15)</f>
        <v>373771</v>
      </c>
      <c r="K2" s="18">
        <v>1</v>
      </c>
      <c r="L2" s="15">
        <v>46714</v>
      </c>
      <c r="M2" s="18">
        <v>1</v>
      </c>
      <c r="N2" s="15">
        <v>75506</v>
      </c>
      <c r="O2" s="18">
        <v>1</v>
      </c>
      <c r="P2" s="22">
        <v>2544704</v>
      </c>
      <c r="Q2" s="18">
        <v>1</v>
      </c>
      <c r="R2" s="15">
        <v>223215</v>
      </c>
      <c r="S2" s="18">
        <v>1</v>
      </c>
      <c r="T2" s="15">
        <v>1355227</v>
      </c>
      <c r="U2" s="18">
        <v>1</v>
      </c>
      <c r="V2" s="15">
        <v>73118</v>
      </c>
      <c r="W2" s="18">
        <v>1</v>
      </c>
      <c r="X2" s="15">
        <v>43768</v>
      </c>
      <c r="Y2" s="18">
        <v>1</v>
      </c>
      <c r="Z2" s="15">
        <v>4495</v>
      </c>
      <c r="AA2" s="18">
        <v>1</v>
      </c>
      <c r="AB2" s="22">
        <v>71099</v>
      </c>
      <c r="AC2" s="18">
        <v>1</v>
      </c>
      <c r="AD2" s="22">
        <v>88054</v>
      </c>
      <c r="AE2" s="18">
        <v>1</v>
      </c>
      <c r="AF2" s="15">
        <v>802859</v>
      </c>
      <c r="AG2" s="18">
        <v>1</v>
      </c>
      <c r="AH2" s="26">
        <v>232875</v>
      </c>
      <c r="AI2" s="18">
        <v>1</v>
      </c>
      <c r="AJ2" s="27">
        <v>17697</v>
      </c>
      <c r="AK2" s="18">
        <v>1</v>
      </c>
      <c r="AL2" s="28">
        <v>2300000</v>
      </c>
      <c r="AM2" s="18">
        <v>1</v>
      </c>
      <c r="AN2" s="29" t="s">
        <v>297</v>
      </c>
      <c r="AO2" s="34" t="s">
        <v>528</v>
      </c>
    </row>
    <row r="3" spans="1:41" ht="15" x14ac:dyDescent="0.3">
      <c r="A3" s="14" t="s">
        <v>212</v>
      </c>
      <c r="B3" s="15">
        <v>10553</v>
      </c>
      <c r="C3" s="18">
        <f>B3/B2</f>
        <v>2.7863956930080029E-2</v>
      </c>
      <c r="D3" s="17">
        <v>14349</v>
      </c>
      <c r="E3" s="18">
        <f>D3/D2</f>
        <v>4.238945477749155E-2</v>
      </c>
      <c r="F3" s="17">
        <v>155597</v>
      </c>
      <c r="G3" s="18">
        <f>F3/F2</f>
        <v>2.9270725380559689E-2</v>
      </c>
      <c r="H3" s="15">
        <v>4201</v>
      </c>
      <c r="I3" s="18">
        <f>H3/H2</f>
        <v>8.4699117524309909E-3</v>
      </c>
      <c r="J3" s="15">
        <v>3178</v>
      </c>
      <c r="K3" s="18">
        <f>J3/J2</f>
        <v>8.5025322991885404E-3</v>
      </c>
      <c r="L3" s="15">
        <v>487</v>
      </c>
      <c r="M3" s="18">
        <f>L3/L2</f>
        <v>1.0425140214924862E-2</v>
      </c>
      <c r="N3" s="15">
        <v>536</v>
      </c>
      <c r="O3" s="18">
        <f>N3/N2</f>
        <v>7.0987736073954387E-3</v>
      </c>
      <c r="P3" s="22">
        <v>31147</v>
      </c>
      <c r="Q3" s="23">
        <f>P3/P2</f>
        <v>1.2239930459495486E-2</v>
      </c>
      <c r="R3" s="15">
        <v>1741</v>
      </c>
      <c r="S3" s="23">
        <f>R3/R2</f>
        <v>7.7996550411038685E-3</v>
      </c>
      <c r="T3" s="15">
        <v>18856</v>
      </c>
      <c r="U3" s="23">
        <f>T3/T2</f>
        <v>1.3913536256287691E-2</v>
      </c>
      <c r="V3" s="15">
        <v>692</v>
      </c>
      <c r="W3" s="23">
        <f>V3/V2</f>
        <v>9.464153833529363E-3</v>
      </c>
      <c r="X3" s="15">
        <v>704</v>
      </c>
      <c r="Y3" s="23">
        <f>X3/X2</f>
        <v>1.6084810820690916E-2</v>
      </c>
      <c r="Z3" s="15">
        <v>52</v>
      </c>
      <c r="AA3" s="23">
        <f>Z3/Z2</f>
        <v>1.1568409343715239E-2</v>
      </c>
      <c r="AB3" s="22">
        <v>1086</v>
      </c>
      <c r="AC3" s="23">
        <f>AB3/AB2</f>
        <v>1.5274476434267711E-2</v>
      </c>
      <c r="AD3" s="22">
        <v>1214</v>
      </c>
      <c r="AE3" s="23">
        <f>AD3/AD2</f>
        <v>1.3786994344379586E-2</v>
      </c>
      <c r="AF3" s="15">
        <v>8999</v>
      </c>
      <c r="AG3" s="23">
        <f>AF3/AF2</f>
        <v>1.1208692933628445E-2</v>
      </c>
      <c r="AH3" s="26">
        <v>2160</v>
      </c>
      <c r="AI3" s="23">
        <f>AH3/AH2</f>
        <v>9.2753623188405795E-3</v>
      </c>
      <c r="AJ3" s="30">
        <v>141</v>
      </c>
      <c r="AK3" s="23">
        <f>AJ3/AJ2</f>
        <v>7.9674521105272088E-3</v>
      </c>
      <c r="AL3" s="31">
        <v>249566</v>
      </c>
      <c r="AM3" s="23">
        <f>AL3/AL2</f>
        <v>0.10850695652173913</v>
      </c>
      <c r="AN3" s="29" t="s">
        <v>297</v>
      </c>
      <c r="AO3" s="34" t="s">
        <v>528</v>
      </c>
    </row>
    <row r="4" spans="1:41" ht="15" x14ac:dyDescent="0.3">
      <c r="A4" s="14" t="s">
        <v>213</v>
      </c>
      <c r="B4" s="15">
        <v>39904</v>
      </c>
      <c r="C4" s="18">
        <f>B4/B2</f>
        <v>0.10536182482118009</v>
      </c>
      <c r="D4" s="17">
        <v>50038</v>
      </c>
      <c r="E4" s="18">
        <f>D4/D2</f>
        <v>0.14782100063810177</v>
      </c>
      <c r="F4" s="17">
        <v>744116</v>
      </c>
      <c r="G4" s="18">
        <f>F4/F2</f>
        <v>0.13998223029544626</v>
      </c>
      <c r="H4" s="15">
        <v>35552</v>
      </c>
      <c r="I4" s="18">
        <f>H4/H2</f>
        <v>7.1678719976773775E-2</v>
      </c>
      <c r="J4" s="15">
        <v>27543</v>
      </c>
      <c r="K4" s="18">
        <f>J4/J2</f>
        <v>7.3689505071286965E-2</v>
      </c>
      <c r="L4" s="15">
        <v>3692</v>
      </c>
      <c r="M4" s="18">
        <f>L4/L2</f>
        <v>7.9034122532859533E-2</v>
      </c>
      <c r="N4" s="15">
        <v>4317</v>
      </c>
      <c r="O4" s="18">
        <f>N4/N2</f>
        <v>5.7174264296877067E-2</v>
      </c>
      <c r="P4" s="22">
        <v>221808</v>
      </c>
      <c r="Q4" s="23">
        <f>P4/P2</f>
        <v>8.7164558235456852E-2</v>
      </c>
      <c r="R4" s="15">
        <v>13030</v>
      </c>
      <c r="S4" s="23">
        <f>R4/R2</f>
        <v>5.8374213202517754E-2</v>
      </c>
      <c r="T4" s="15">
        <v>125400</v>
      </c>
      <c r="U4" s="23">
        <f>T4/T2</f>
        <v>9.2530624020920479E-2</v>
      </c>
      <c r="V4" s="15">
        <v>6154</v>
      </c>
      <c r="W4" s="23">
        <f>V4/V2</f>
        <v>8.4165321808583382E-2</v>
      </c>
      <c r="X4" s="15">
        <v>7415</v>
      </c>
      <c r="Y4" s="23">
        <f>X4/X2</f>
        <v>0.16941601169804424</v>
      </c>
      <c r="Z4" s="15">
        <v>312</v>
      </c>
      <c r="AA4" s="23">
        <f>Z4/Z2</f>
        <v>6.9410456062291431E-2</v>
      </c>
      <c r="AB4" s="22">
        <v>7041</v>
      </c>
      <c r="AC4" s="23">
        <f>AB4/AB2</f>
        <v>9.9030928705045082E-2</v>
      </c>
      <c r="AD4" s="22">
        <v>11425</v>
      </c>
      <c r="AE4" s="23">
        <f>AD4/AD2</f>
        <v>0.12974992618166126</v>
      </c>
      <c r="AF4" s="15">
        <v>84029</v>
      </c>
      <c r="AG4" s="23">
        <f>AF4/AF2</f>
        <v>0.10466221341480883</v>
      </c>
      <c r="AH4" s="26">
        <v>14324</v>
      </c>
      <c r="AI4" s="23">
        <f>AH4/AH2</f>
        <v>6.1509393451422437E-2</v>
      </c>
      <c r="AJ4" s="30">
        <v>904</v>
      </c>
      <c r="AK4" s="23">
        <f>AJ4/AJ2</f>
        <v>5.1082104311465218E-2</v>
      </c>
      <c r="AL4" s="31">
        <v>1013618</v>
      </c>
      <c r="AM4" s="23">
        <f>AL4/AL2</f>
        <v>0.44070347826086959</v>
      </c>
      <c r="AN4" s="29" t="s">
        <v>297</v>
      </c>
      <c r="AO4" s="34" t="s">
        <v>528</v>
      </c>
    </row>
    <row r="5" spans="1:41" ht="15" x14ac:dyDescent="0.3">
      <c r="A5" s="14" t="s">
        <v>214</v>
      </c>
      <c r="B5" s="15">
        <v>38522</v>
      </c>
      <c r="C5" s="18">
        <f>B5/B2</f>
        <v>0.10171281615280423</v>
      </c>
      <c r="D5" s="17">
        <v>47249</v>
      </c>
      <c r="E5" s="18">
        <f>D5/D2</f>
        <v>0.13958180700966605</v>
      </c>
      <c r="F5" s="17">
        <v>814348</v>
      </c>
      <c r="G5" s="18">
        <f>F5/F2</f>
        <v>0.15319419186878938</v>
      </c>
      <c r="H5" s="15">
        <v>57240</v>
      </c>
      <c r="I5" s="18">
        <f>H5/H2</f>
        <v>0.11540531985459414</v>
      </c>
      <c r="J5" s="15">
        <v>43468</v>
      </c>
      <c r="K5" s="18">
        <f>J5/J2</f>
        <v>0.11629580679078902</v>
      </c>
      <c r="L5" s="15">
        <v>5715</v>
      </c>
      <c r="M5" s="18">
        <f>L5/L2</f>
        <v>0.12234019779937493</v>
      </c>
      <c r="N5" s="15">
        <v>8057</v>
      </c>
      <c r="O5" s="18">
        <f>N5/N2</f>
        <v>0.10670675178131539</v>
      </c>
      <c r="P5" s="22">
        <v>333759</v>
      </c>
      <c r="Q5" s="23">
        <f>P5/P2</f>
        <v>0.13115828009858907</v>
      </c>
      <c r="R5" s="15">
        <v>19735</v>
      </c>
      <c r="S5" s="23">
        <f>R5/R2</f>
        <v>8.8412517079945338E-2</v>
      </c>
      <c r="T5" s="15">
        <v>187372</v>
      </c>
      <c r="U5" s="23">
        <f>T5/T2</f>
        <v>0.13825875665109977</v>
      </c>
      <c r="V5" s="15">
        <v>8752</v>
      </c>
      <c r="W5" s="23">
        <f>V5/V2</f>
        <v>0.11969692825296097</v>
      </c>
      <c r="X5" s="15">
        <v>10097</v>
      </c>
      <c r="Y5" s="23">
        <f>X5/X2</f>
        <v>0.2306936574666423</v>
      </c>
      <c r="Z5" s="15">
        <v>514</v>
      </c>
      <c r="AA5" s="23">
        <f>Z5/Z2</f>
        <v>0.11434927697441602</v>
      </c>
      <c r="AB5" s="22">
        <v>8682</v>
      </c>
      <c r="AC5" s="23">
        <f>AB5/AB2</f>
        <v>0.12211142210157667</v>
      </c>
      <c r="AD5" s="22">
        <v>15335</v>
      </c>
      <c r="AE5" s="23">
        <f>AD5/AD2</f>
        <v>0.17415449610466305</v>
      </c>
      <c r="AF5" s="15">
        <v>127683</v>
      </c>
      <c r="AG5" s="23">
        <f>AF5/AF2</f>
        <v>0.15903539724908108</v>
      </c>
      <c r="AH5" s="26">
        <v>18795</v>
      </c>
      <c r="AI5" s="23">
        <f>AH5/AH2</f>
        <v>8.0708534621578093E-2</v>
      </c>
      <c r="AJ5" s="30">
        <v>1372</v>
      </c>
      <c r="AK5" s="23">
        <f>AJ5/AJ2</f>
        <v>7.752726450810872E-2</v>
      </c>
      <c r="AL5" s="31">
        <v>486635</v>
      </c>
      <c r="AM5" s="23">
        <f>AL5/AL2</f>
        <v>0.21158043478260868</v>
      </c>
      <c r="AN5" s="29" t="s">
        <v>297</v>
      </c>
      <c r="AO5" s="34" t="s">
        <v>528</v>
      </c>
    </row>
    <row r="6" spans="1:41" ht="15" x14ac:dyDescent="0.3">
      <c r="A6" s="14" t="s">
        <v>215</v>
      </c>
      <c r="B6" s="15">
        <v>41646</v>
      </c>
      <c r="C6" s="18">
        <f>B6/B2</f>
        <v>0.10996137120345996</v>
      </c>
      <c r="D6" s="17">
        <v>45010</v>
      </c>
      <c r="E6" s="18">
        <f>D6/D2</f>
        <v>0.13296740954316641</v>
      </c>
      <c r="F6" s="17">
        <v>796808</v>
      </c>
      <c r="G6" s="18">
        <f>F6/F2</f>
        <v>0.14989458761436919</v>
      </c>
      <c r="H6" s="15">
        <v>69689</v>
      </c>
      <c r="I6" s="18">
        <f>H6/H2</f>
        <v>0.14050456560703722</v>
      </c>
      <c r="J6" s="15">
        <v>52357</v>
      </c>
      <c r="K6" s="18">
        <f>J6/J2</f>
        <v>0.14007774813990384</v>
      </c>
      <c r="L6" s="15">
        <v>6479</v>
      </c>
      <c r="M6" s="18">
        <f>L6/L2</f>
        <v>0.13869503789014001</v>
      </c>
      <c r="N6" s="15">
        <v>10853</v>
      </c>
      <c r="O6" s="18">
        <f>N6/N2</f>
        <v>0.14373692156914683</v>
      </c>
      <c r="P6" s="22">
        <v>384626</v>
      </c>
      <c r="Q6" s="23">
        <f>P6/P2</f>
        <v>0.15114763838937653</v>
      </c>
      <c r="R6" s="15">
        <v>24498</v>
      </c>
      <c r="S6" s="23">
        <f>R6/R2</f>
        <v>0.10975068879779584</v>
      </c>
      <c r="T6" s="15">
        <v>218168</v>
      </c>
      <c r="U6" s="23">
        <f>T6/T2</f>
        <v>0.16098262505100622</v>
      </c>
      <c r="V6" s="15">
        <v>8453</v>
      </c>
      <c r="W6" s="23">
        <f>V6/V2</f>
        <v>0.11560764791159496</v>
      </c>
      <c r="X6" s="15">
        <v>6643</v>
      </c>
      <c r="Y6" s="23">
        <f>X6/X2</f>
        <v>0.15177755437762749</v>
      </c>
      <c r="Z6" s="15">
        <v>656</v>
      </c>
      <c r="AA6" s="23">
        <f>Z6/Z2</f>
        <v>0.14593993325917687</v>
      </c>
      <c r="AB6" s="22">
        <v>8727</v>
      </c>
      <c r="AC6" s="23">
        <f>AB6/AB2</f>
        <v>0.12274434239581429</v>
      </c>
      <c r="AD6" s="22">
        <v>14496</v>
      </c>
      <c r="AE6" s="23">
        <f>AD6/AD2</f>
        <v>0.16462625207259182</v>
      </c>
      <c r="AF6" s="15">
        <v>125593</v>
      </c>
      <c r="AG6" s="23">
        <f>AF6/AF2</f>
        <v>0.15643220042373568</v>
      </c>
      <c r="AH6" s="26">
        <v>19527</v>
      </c>
      <c r="AI6" s="23">
        <f>AH6/AH2</f>
        <v>8.3851851851851858E-2</v>
      </c>
      <c r="AJ6" s="30">
        <v>1530</v>
      </c>
      <c r="AK6" s="23">
        <f>AJ6/AJ2</f>
        <v>8.645533141210375E-2</v>
      </c>
      <c r="AL6" s="31">
        <v>281633</v>
      </c>
      <c r="AM6" s="23">
        <f>AL6/AL2</f>
        <v>0.1224491304347826</v>
      </c>
      <c r="AN6" s="29" t="s">
        <v>297</v>
      </c>
      <c r="AO6" s="34" t="s">
        <v>528</v>
      </c>
    </row>
    <row r="7" spans="1:41" ht="15" x14ac:dyDescent="0.3">
      <c r="A7" s="14" t="s">
        <v>216</v>
      </c>
      <c r="B7" s="15">
        <v>58238</v>
      </c>
      <c r="C7" s="18">
        <f>B7/B2</f>
        <v>0.15377059828427941</v>
      </c>
      <c r="D7" s="17">
        <v>52544</v>
      </c>
      <c r="E7" s="18">
        <f>D7/D2</f>
        <v>0.15522416278685039</v>
      </c>
      <c r="F7" s="17">
        <v>880581</v>
      </c>
      <c r="G7" s="18">
        <f>F7/F2</f>
        <v>0.16565386624638412</v>
      </c>
      <c r="H7" s="15">
        <v>94645</v>
      </c>
      <c r="I7" s="18">
        <f>H7/H2</f>
        <v>0.19081999471764607</v>
      </c>
      <c r="J7" s="15">
        <v>72250</v>
      </c>
      <c r="K7" s="18">
        <f>J7/J2</f>
        <v>0.1933001757760768</v>
      </c>
      <c r="L7" s="15">
        <v>8358</v>
      </c>
      <c r="M7" s="18">
        <f>L7/L2</f>
        <v>0.17891852549556878</v>
      </c>
      <c r="N7" s="15">
        <v>14037</v>
      </c>
      <c r="O7" s="18">
        <f>N7/N2</f>
        <v>0.18590575583397345</v>
      </c>
      <c r="P7" s="22">
        <v>477300</v>
      </c>
      <c r="Q7" s="23">
        <f>P7/P2</f>
        <v>0.18756601946631121</v>
      </c>
      <c r="R7" s="15">
        <v>35223</v>
      </c>
      <c r="S7" s="23">
        <f>R7/R2</f>
        <v>0.15779853504468785</v>
      </c>
      <c r="T7" s="15">
        <v>266553</v>
      </c>
      <c r="U7" s="23">
        <f>T7/T2</f>
        <v>0.19668513097805754</v>
      </c>
      <c r="V7" s="15">
        <v>10941</v>
      </c>
      <c r="W7" s="23">
        <f>V7/V2</f>
        <v>0.14963483683908202</v>
      </c>
      <c r="X7" s="15">
        <v>6843</v>
      </c>
      <c r="Y7" s="23">
        <f>X7/X2</f>
        <v>0.15634710290623285</v>
      </c>
      <c r="Z7" s="15">
        <v>872</v>
      </c>
      <c r="AA7" s="23">
        <f>Z7/Z2</f>
        <v>0.19399332591768631</v>
      </c>
      <c r="AB7" s="22">
        <v>11143</v>
      </c>
      <c r="AC7" s="23">
        <f>AB7/AB2</f>
        <v>0.15672512974866032</v>
      </c>
      <c r="AD7" s="22">
        <v>15107</v>
      </c>
      <c r="AE7" s="23">
        <f>AD7/AD2</f>
        <v>0.17156517591477957</v>
      </c>
      <c r="AF7" s="15">
        <v>129207</v>
      </c>
      <c r="AG7" s="23">
        <f>AF7/AF2</f>
        <v>0.16093361349875882</v>
      </c>
      <c r="AH7" s="26">
        <v>28547</v>
      </c>
      <c r="AI7" s="23">
        <f>AH7/AH2</f>
        <v>0.12258507783145464</v>
      </c>
      <c r="AJ7" s="30">
        <v>2187</v>
      </c>
      <c r="AK7" s="23">
        <f>AJ7/AJ2</f>
        <v>0.12358026784200712</v>
      </c>
      <c r="AL7" s="31">
        <v>139636</v>
      </c>
      <c r="AM7" s="23">
        <f>AL7/AL2</f>
        <v>6.0711304347826088E-2</v>
      </c>
      <c r="AN7" s="29" t="s">
        <v>297</v>
      </c>
      <c r="AO7" s="34" t="s">
        <v>528</v>
      </c>
    </row>
    <row r="8" spans="1:41" ht="15" x14ac:dyDescent="0.3">
      <c r="A8" s="14" t="s">
        <v>217</v>
      </c>
      <c r="B8" s="15">
        <v>67225</v>
      </c>
      <c r="C8" s="18">
        <f>B8/B2</f>
        <v>0.17749971615887711</v>
      </c>
      <c r="D8" s="17">
        <v>51867</v>
      </c>
      <c r="E8" s="18">
        <f>D8/D2</f>
        <v>0.1532241864202491</v>
      </c>
      <c r="F8" s="17">
        <v>790744</v>
      </c>
      <c r="G8" s="18">
        <f>F8/F2</f>
        <v>0.14875383503747044</v>
      </c>
      <c r="H8" s="15">
        <v>90995</v>
      </c>
      <c r="I8" s="18">
        <f>H8/H2</f>
        <v>0.18346099021958059</v>
      </c>
      <c r="J8" s="15">
        <v>69011</v>
      </c>
      <c r="K8" s="18">
        <f>J8/J2</f>
        <v>0.1846344419443991</v>
      </c>
      <c r="L8" s="15">
        <v>8262</v>
      </c>
      <c r="M8" s="18">
        <f>L8/L2</f>
        <v>0.17686346705484438</v>
      </c>
      <c r="N8" s="15">
        <v>13722</v>
      </c>
      <c r="O8" s="18">
        <f>N8/N2</f>
        <v>0.18173390194156755</v>
      </c>
      <c r="P8" s="22">
        <v>446483</v>
      </c>
      <c r="Q8" s="23">
        <f>P8/P2</f>
        <v>0.1754557701013556</v>
      </c>
      <c r="R8" s="15">
        <v>39841</v>
      </c>
      <c r="S8" s="23">
        <f>R8/R2</f>
        <v>0.17848710884125171</v>
      </c>
      <c r="T8" s="15">
        <v>239109</v>
      </c>
      <c r="U8" s="23">
        <f>T8/T2</f>
        <v>0.17643464895548863</v>
      </c>
      <c r="V8" s="15">
        <v>12165</v>
      </c>
      <c r="W8" s="23">
        <f>V8/V2</f>
        <v>0.16637490084520912</v>
      </c>
      <c r="X8" s="15">
        <v>5083</v>
      </c>
      <c r="Y8" s="23">
        <f>X8/X2</f>
        <v>0.11613507585450558</v>
      </c>
      <c r="Z8" s="15">
        <v>774</v>
      </c>
      <c r="AA8" s="23">
        <f>Z8/Z2</f>
        <v>0.17219132369299223</v>
      </c>
      <c r="AB8" s="22">
        <v>11915</v>
      </c>
      <c r="AC8" s="23">
        <f>AB8/AB2</f>
        <v>0.16758322901869224</v>
      </c>
      <c r="AD8" s="22">
        <v>12705</v>
      </c>
      <c r="AE8" s="23">
        <f>AD8/AD2</f>
        <v>0.14428646058100711</v>
      </c>
      <c r="AF8" s="15">
        <v>107167</v>
      </c>
      <c r="AG8" s="23">
        <f>AF8/AF2</f>
        <v>0.13348171970420708</v>
      </c>
      <c r="AH8" s="26">
        <v>36303</v>
      </c>
      <c r="AI8" s="23">
        <f>AH8/AH2</f>
        <v>0.15589049919484702</v>
      </c>
      <c r="AJ8" s="30">
        <v>3093</v>
      </c>
      <c r="AK8" s="23">
        <f>AJ8/AJ2</f>
        <v>0.17477538565858619</v>
      </c>
      <c r="AL8" s="31">
        <v>60504</v>
      </c>
      <c r="AM8" s="23">
        <f>AL8/AL2</f>
        <v>2.630608695652174E-2</v>
      </c>
      <c r="AN8" s="29" t="s">
        <v>297</v>
      </c>
      <c r="AO8" s="34" t="s">
        <v>528</v>
      </c>
    </row>
    <row r="9" spans="1:41" ht="15" x14ac:dyDescent="0.3">
      <c r="A9" s="14" t="s">
        <v>218</v>
      </c>
      <c r="B9" s="15">
        <v>54311</v>
      </c>
      <c r="C9" s="18">
        <f>B9/B2</f>
        <v>0.14340181605511007</v>
      </c>
      <c r="D9" s="17">
        <v>38476</v>
      </c>
      <c r="E9" s="18">
        <f>D9/D2</f>
        <v>0.11366483113936615</v>
      </c>
      <c r="F9" s="17">
        <v>568836</v>
      </c>
      <c r="G9" s="18">
        <f>F9/F2</f>
        <v>0.10700876201068177</v>
      </c>
      <c r="H9" s="15">
        <v>73623</v>
      </c>
      <c r="I9" s="18">
        <f>H9/H2</f>
        <v>0.14843616114002067</v>
      </c>
      <c r="J9" s="15">
        <v>55005</v>
      </c>
      <c r="K9" s="18">
        <f>J9/J2</f>
        <v>0.14716229991090801</v>
      </c>
      <c r="L9" s="15">
        <v>6830</v>
      </c>
      <c r="M9" s="18">
        <f>L9/L2</f>
        <v>0.1462088453140386</v>
      </c>
      <c r="N9" s="15">
        <v>11788</v>
      </c>
      <c r="O9" s="18">
        <f>N9/N2</f>
        <v>0.1561200434402564</v>
      </c>
      <c r="P9" s="22">
        <v>340940</v>
      </c>
      <c r="Q9" s="23">
        <f>P9/P2</f>
        <v>0.13398021931037951</v>
      </c>
      <c r="R9" s="15">
        <v>44183</v>
      </c>
      <c r="S9" s="23">
        <f>R9/R2</f>
        <v>0.1979392065945389</v>
      </c>
      <c r="T9" s="15">
        <v>164425</v>
      </c>
      <c r="U9" s="23">
        <f>T9/T2</f>
        <v>0.12132653791578828</v>
      </c>
      <c r="V9" s="15">
        <v>11235</v>
      </c>
      <c r="W9" s="23">
        <f>V9/V2</f>
        <v>0.15365573456604392</v>
      </c>
      <c r="X9" s="15">
        <v>3691</v>
      </c>
      <c r="Y9" s="23">
        <f>X9/X2</f>
        <v>8.4331018095412172E-2</v>
      </c>
      <c r="Z9" s="15">
        <v>681</v>
      </c>
      <c r="AA9" s="23">
        <f>Z9/Z2</f>
        <v>0.15150166852057842</v>
      </c>
      <c r="AB9" s="22">
        <v>10990</v>
      </c>
      <c r="AC9" s="23">
        <f>AB9/AB2</f>
        <v>0.15457320074825243</v>
      </c>
      <c r="AD9" s="22">
        <v>10103</v>
      </c>
      <c r="AE9" s="23">
        <f>AD9/AD2</f>
        <v>0.11473641174733686</v>
      </c>
      <c r="AF9" s="15">
        <v>95262</v>
      </c>
      <c r="AG9" s="23">
        <f>AF9/AF2</f>
        <v>0.11865346218950028</v>
      </c>
      <c r="AH9" s="26">
        <v>42039</v>
      </c>
      <c r="AI9" s="23">
        <f>AH9/AH2</f>
        <v>0.18052173913043479</v>
      </c>
      <c r="AJ9" s="30">
        <v>3557</v>
      </c>
      <c r="AK9" s="23">
        <f>AJ9/AJ2</f>
        <v>0.20099451884500197</v>
      </c>
      <c r="AL9" s="31">
        <v>42850</v>
      </c>
      <c r="AM9" s="23">
        <f>AL9/AL2</f>
        <v>1.8630434782608694E-2</v>
      </c>
      <c r="AN9" s="29" t="s">
        <v>297</v>
      </c>
      <c r="AO9" s="34" t="s">
        <v>528</v>
      </c>
    </row>
    <row r="10" spans="1:41" ht="15" x14ac:dyDescent="0.3">
      <c r="A10" s="14" t="s">
        <v>219</v>
      </c>
      <c r="B10" s="15">
        <v>30471</v>
      </c>
      <c r="C10" s="18">
        <f>B10/B2</f>
        <v>8.0455096334356921E-2</v>
      </c>
      <c r="D10" s="17">
        <v>19364</v>
      </c>
      <c r="E10" s="18">
        <f>D10/D2</f>
        <v>5.7204641599508423E-2</v>
      </c>
      <c r="F10" s="17">
        <v>274883</v>
      </c>
      <c r="G10" s="18">
        <f>F10/F2</f>
        <v>5.1710667974217937E-2</v>
      </c>
      <c r="H10" s="15">
        <v>40412</v>
      </c>
      <c r="I10" s="18">
        <f>H10/H2</f>
        <v>8.1477284870088373E-2</v>
      </c>
      <c r="J10" s="15">
        <v>29919</v>
      </c>
      <c r="K10" s="18">
        <f>J10/J2</f>
        <v>8.0046338533487083E-2</v>
      </c>
      <c r="L10" s="15">
        <v>3849</v>
      </c>
      <c r="M10" s="18">
        <f>L10/L2</f>
        <v>8.2394999357794235E-2</v>
      </c>
      <c r="N10" s="15">
        <v>6644</v>
      </c>
      <c r="O10" s="18">
        <f>N10/N2</f>
        <v>8.7993007178237492E-2</v>
      </c>
      <c r="P10" s="22">
        <v>181139</v>
      </c>
      <c r="Q10" s="23">
        <f>P10/P2</f>
        <v>7.1182738738965315E-2</v>
      </c>
      <c r="R10" s="15">
        <v>26033</v>
      </c>
      <c r="S10" s="23">
        <f>R10/R2</f>
        <v>0.11662746679210627</v>
      </c>
      <c r="T10" s="15">
        <v>80288</v>
      </c>
      <c r="U10" s="23">
        <f>T10/T2</f>
        <v>5.924321165384102E-2</v>
      </c>
      <c r="V10" s="15">
        <v>8060</v>
      </c>
      <c r="W10" s="23">
        <f>V10/V2</f>
        <v>0.11023277441943161</v>
      </c>
      <c r="X10" s="15">
        <v>1957</v>
      </c>
      <c r="Y10" s="23">
        <f>X10/X2</f>
        <v>4.4713032352403585E-2</v>
      </c>
      <c r="Z10" s="15">
        <v>359</v>
      </c>
      <c r="AA10" s="23">
        <f>Z10/Z2</f>
        <v>7.9866518353726365E-2</v>
      </c>
      <c r="AB10" s="22">
        <v>6341</v>
      </c>
      <c r="AC10" s="23">
        <f>AB10/AB2</f>
        <v>8.918550190579333E-2</v>
      </c>
      <c r="AD10" s="22">
        <v>4627</v>
      </c>
      <c r="AE10" s="23">
        <f>AD10/AD2</f>
        <v>5.254730052013537E-2</v>
      </c>
      <c r="AF10" s="15">
        <v>58842</v>
      </c>
      <c r="AG10" s="23">
        <f>AF10/AF2</f>
        <v>7.3290577797595846E-2</v>
      </c>
      <c r="AH10" s="26">
        <v>29344</v>
      </c>
      <c r="AI10" s="23">
        <f>AH10/AH2</f>
        <v>0.12600751476113795</v>
      </c>
      <c r="AJ10" s="30">
        <v>2264</v>
      </c>
      <c r="AK10" s="23">
        <f>AJ10/AJ2</f>
        <v>0.12793128778889076</v>
      </c>
      <c r="AL10" s="31">
        <v>15623</v>
      </c>
      <c r="AM10" s="23">
        <f>AL10/AL2</f>
        <v>6.7926086956521742E-3</v>
      </c>
      <c r="AN10" s="29" t="s">
        <v>297</v>
      </c>
      <c r="AO10" s="34" t="s">
        <v>528</v>
      </c>
    </row>
    <row r="11" spans="1:41" ht="15" x14ac:dyDescent="0.3">
      <c r="A11" s="14" t="s">
        <v>220</v>
      </c>
      <c r="B11" s="15">
        <v>23197</v>
      </c>
      <c r="C11" s="18">
        <f>B11/B2</f>
        <v>6.1248953748419072E-2</v>
      </c>
      <c r="D11" s="17">
        <v>12826</v>
      </c>
      <c r="E11" s="18">
        <f>D11/D2</f>
        <v>3.7890246496348638E-2</v>
      </c>
      <c r="F11" s="17">
        <v>178953</v>
      </c>
      <c r="G11" s="18">
        <f>F11/F2</f>
        <v>3.3664428742374838E-2</v>
      </c>
      <c r="H11" s="15">
        <v>24095</v>
      </c>
      <c r="I11" s="18">
        <f>H11/H2</f>
        <v>4.8579510515311772E-2</v>
      </c>
      <c r="J11" s="15">
        <v>17435</v>
      </c>
      <c r="K11" s="18">
        <f>J11/J2</f>
        <v>4.6646208507348082E-2</v>
      </c>
      <c r="L11" s="15">
        <v>2362</v>
      </c>
      <c r="M11" s="18">
        <f>L11/L2</f>
        <v>5.0563000385323457E-2</v>
      </c>
      <c r="N11" s="15">
        <v>4298</v>
      </c>
      <c r="O11" s="18">
        <f>N11/N2</f>
        <v>5.6922628665271632E-2</v>
      </c>
      <c r="P11" s="22">
        <v>98202</v>
      </c>
      <c r="Q11" s="23">
        <f>P11/P2</f>
        <v>3.8590735896984481E-2</v>
      </c>
      <c r="R11" s="15">
        <v>14564</v>
      </c>
      <c r="S11" s="23">
        <f>R11/R2</f>
        <v>6.5246511211164121E-2</v>
      </c>
      <c r="T11" s="15">
        <v>42400</v>
      </c>
      <c r="U11" s="23">
        <f>T11/T2</f>
        <v>3.1286271598780127E-2</v>
      </c>
      <c r="V11" s="15">
        <v>5152</v>
      </c>
      <c r="W11" s="23">
        <f>V11/V2</f>
        <v>7.0461445881998958E-2</v>
      </c>
      <c r="X11" s="15">
        <v>1156</v>
      </c>
      <c r="Y11" s="23">
        <f>X11/X2</f>
        <v>2.6411990495339061E-2</v>
      </c>
      <c r="Z11" s="15">
        <v>232</v>
      </c>
      <c r="AA11" s="23">
        <f>Z11/Z2</f>
        <v>5.1612903225806452E-2</v>
      </c>
      <c r="AB11" s="22">
        <v>3796</v>
      </c>
      <c r="AC11" s="23">
        <f>AB11/AB2</f>
        <v>5.3390343042799479E-2</v>
      </c>
      <c r="AD11" s="22">
        <v>2460</v>
      </c>
      <c r="AE11" s="23">
        <f>AD11/AD2</f>
        <v>2.7937402048742815E-2</v>
      </c>
      <c r="AF11" s="15">
        <v>41184</v>
      </c>
      <c r="AG11" s="23">
        <f>AF11/AF2</f>
        <v>5.1296678495227677E-2</v>
      </c>
      <c r="AH11" s="26">
        <v>24568</v>
      </c>
      <c r="AI11" s="23">
        <f>AH11/AH2</f>
        <v>0.10549865807836822</v>
      </c>
      <c r="AJ11" s="30">
        <v>1751</v>
      </c>
      <c r="AK11" s="23">
        <f>AJ11/AJ2</f>
        <v>9.8943323727185395E-2</v>
      </c>
      <c r="AL11" s="31">
        <v>8548</v>
      </c>
      <c r="AM11" s="23">
        <f>AL11/AL2</f>
        <v>3.7165217391304348E-3</v>
      </c>
      <c r="AN11" s="29" t="s">
        <v>297</v>
      </c>
      <c r="AO11" s="34" t="s">
        <v>528</v>
      </c>
    </row>
    <row r="12" spans="1:41" ht="15" x14ac:dyDescent="0.3">
      <c r="A12" s="14" t="s">
        <v>221</v>
      </c>
      <c r="B12" s="15">
        <v>9199</v>
      </c>
      <c r="C12" s="18">
        <f>B12/B2</f>
        <v>2.4288878972785578E-2</v>
      </c>
      <c r="D12" s="17">
        <v>4362</v>
      </c>
      <c r="E12" s="18">
        <f>D12/D2</f>
        <v>1.2886110651572802E-2</v>
      </c>
      <c r="F12" s="17">
        <v>65934</v>
      </c>
      <c r="G12" s="18">
        <f>F12/F2</f>
        <v>1.2403426847830116E-2</v>
      </c>
      <c r="H12" s="15">
        <v>3757</v>
      </c>
      <c r="I12" s="18">
        <f>H12/H2</f>
        <v>7.574734218967683E-3</v>
      </c>
      <c r="J12" s="15">
        <v>2486</v>
      </c>
      <c r="K12" s="18">
        <f>J12/J2</f>
        <v>6.6511313076723444E-3</v>
      </c>
      <c r="L12" s="15">
        <v>442</v>
      </c>
      <c r="M12" s="18">
        <f>L12/L2</f>
        <v>9.4618315708352961E-3</v>
      </c>
      <c r="N12" s="15">
        <v>829</v>
      </c>
      <c r="O12" s="18">
        <f>N12/N2</f>
        <v>1.0979259926363468E-2</v>
      </c>
      <c r="P12" s="22">
        <v>20189</v>
      </c>
      <c r="Q12" s="23">
        <f>P12/P2</f>
        <v>7.9337321747440966E-3</v>
      </c>
      <c r="R12" s="15">
        <v>2489</v>
      </c>
      <c r="S12" s="23">
        <f>R12/R2</f>
        <v>1.1150684317810184E-2</v>
      </c>
      <c r="T12" s="15">
        <v>9065</v>
      </c>
      <c r="U12" s="23">
        <f>T12/T2</f>
        <v>6.6889163217674977E-3</v>
      </c>
      <c r="V12" s="15">
        <v>1076</v>
      </c>
      <c r="W12" s="23">
        <f>V12/V2</f>
        <v>1.4715938619765312E-2</v>
      </c>
      <c r="X12" s="15">
        <v>125</v>
      </c>
      <c r="Y12" s="23">
        <f>X12/X2</f>
        <v>2.8559678303783586E-3</v>
      </c>
      <c r="Z12" s="15">
        <v>26</v>
      </c>
      <c r="AA12" s="23">
        <f>Z12/Z2</f>
        <v>5.7842046718576193E-3</v>
      </c>
      <c r="AB12" s="22">
        <v>883</v>
      </c>
      <c r="AC12" s="23">
        <f>AB12/AB2</f>
        <v>1.2419302662484704E-2</v>
      </c>
      <c r="AD12" s="22">
        <v>344</v>
      </c>
      <c r="AE12" s="23">
        <f>AD12/AD2</f>
        <v>3.9066936198241991E-3</v>
      </c>
      <c r="AF12" s="15">
        <v>14445</v>
      </c>
      <c r="AG12" s="23">
        <f>AF12/AF2</f>
        <v>1.7991951264169675E-2</v>
      </c>
      <c r="AH12" s="26">
        <v>10267</v>
      </c>
      <c r="AI12" s="23">
        <f>AH12/AH2</f>
        <v>4.4088030059044554E-2</v>
      </c>
      <c r="AJ12" s="30">
        <v>528</v>
      </c>
      <c r="AK12" s="23">
        <f>AJ12/AJ2</f>
        <v>2.9835565350059334E-2</v>
      </c>
      <c r="AL12" s="31">
        <v>1387</v>
      </c>
      <c r="AM12" s="23">
        <f>AL12/AL2</f>
        <v>6.0304347826086954E-4</v>
      </c>
      <c r="AN12" s="29" t="s">
        <v>297</v>
      </c>
      <c r="AO12" s="34" t="s">
        <v>528</v>
      </c>
    </row>
    <row r="13" spans="1:41" ht="15" x14ac:dyDescent="0.3">
      <c r="A13" s="14" t="s">
        <v>222</v>
      </c>
      <c r="B13" s="15">
        <v>3644</v>
      </c>
      <c r="C13" s="18">
        <f>B13/B2</f>
        <v>9.6215539707392803E-3</v>
      </c>
      <c r="D13" s="17">
        <v>1591</v>
      </c>
      <c r="E13" s="18">
        <f>D13/D2</f>
        <v>4.700092170255004E-3</v>
      </c>
      <c r="F13" s="17">
        <v>27798</v>
      </c>
      <c r="G13" s="18">
        <f>F13/F2</f>
        <v>5.2293271986529185E-3</v>
      </c>
      <c r="H13" s="15">
        <v>1231</v>
      </c>
      <c r="I13" s="18">
        <f>H13/H2</f>
        <v>2.481899873183183E-3</v>
      </c>
      <c r="J13" s="15">
        <v>784</v>
      </c>
      <c r="K13" s="18">
        <f>J13/J2</f>
        <v>2.0975410077293316E-3</v>
      </c>
      <c r="L13" s="15">
        <v>167</v>
      </c>
      <c r="M13" s="18">
        <f>L13/L2</f>
        <v>3.5749454125101683E-3</v>
      </c>
      <c r="N13" s="15">
        <v>280</v>
      </c>
      <c r="O13" s="18">
        <f>N13/N2</f>
        <v>3.7083145710274678E-3</v>
      </c>
      <c r="P13" s="22">
        <v>6084</v>
      </c>
      <c r="Q13" s="23">
        <f>P13/P2</f>
        <v>2.3908478156988004E-3</v>
      </c>
      <c r="R13" s="15">
        <v>1086</v>
      </c>
      <c r="S13" s="23">
        <f>R13/R2</f>
        <v>4.8652644311538203E-3</v>
      </c>
      <c r="T13" s="15">
        <v>2493</v>
      </c>
      <c r="U13" s="23">
        <f>T13/T2</f>
        <v>1.8395442239565771E-3</v>
      </c>
      <c r="V13" s="15">
        <v>297</v>
      </c>
      <c r="W13" s="23">
        <f>V13/V2</f>
        <v>4.0619272956043655E-3</v>
      </c>
      <c r="X13" s="15">
        <v>38</v>
      </c>
      <c r="Y13" s="23">
        <f>X13/X2</f>
        <v>8.68214220435021E-4</v>
      </c>
      <c r="Z13" s="15">
        <v>12</v>
      </c>
      <c r="AA13" s="23">
        <f>Z13/Z2</f>
        <v>2.6696329254727474E-3</v>
      </c>
      <c r="AB13" s="22">
        <v>332</v>
      </c>
      <c r="AC13" s="23">
        <f>AB13/AB2</f>
        <v>4.6695452819308291E-3</v>
      </c>
      <c r="AD13" s="22">
        <v>139</v>
      </c>
      <c r="AE13" s="23">
        <f>AD13/AD2</f>
        <v>1.578576782428964E-3</v>
      </c>
      <c r="AF13" s="15">
        <v>6835</v>
      </c>
      <c r="AG13" s="23">
        <f>AF13/AF2</f>
        <v>8.5133255029837124E-3</v>
      </c>
      <c r="AH13" s="26">
        <v>4551</v>
      </c>
      <c r="AI13" s="23">
        <f>AH13/AH2</f>
        <v>1.9542673107890499E-2</v>
      </c>
      <c r="AJ13" s="30">
        <v>238</v>
      </c>
      <c r="AK13" s="23">
        <f>AJ13/AJ2</f>
        <v>1.3448607108549471E-2</v>
      </c>
      <c r="AL13" s="32"/>
      <c r="AM13" s="32"/>
      <c r="AN13" s="29" t="s">
        <v>297</v>
      </c>
      <c r="AO13" s="34" t="s">
        <v>528</v>
      </c>
    </row>
    <row r="14" spans="1:41" ht="15" x14ac:dyDescent="0.3">
      <c r="A14" s="14" t="s">
        <v>223</v>
      </c>
      <c r="B14" s="15">
        <v>1301</v>
      </c>
      <c r="C14" s="18">
        <f>B14/B2</f>
        <v>3.4351376827474766E-3</v>
      </c>
      <c r="D14" s="17">
        <v>565</v>
      </c>
      <c r="E14" s="18">
        <f>D14/D2</f>
        <v>1.6691087845343039E-3</v>
      </c>
      <c r="F14" s="17">
        <v>11091</v>
      </c>
      <c r="G14" s="18">
        <f>F14/F2</f>
        <v>2.0864259284933996E-3</v>
      </c>
      <c r="H14" s="15">
        <v>363</v>
      </c>
      <c r="I14" s="18">
        <f>H14/H2</f>
        <v>7.3186811857473217E-4</v>
      </c>
      <c r="J14" s="15">
        <v>201</v>
      </c>
      <c r="K14" s="18">
        <f>J14/J2</f>
        <v>5.3776242672652511E-4</v>
      </c>
      <c r="L14" s="15">
        <v>55</v>
      </c>
      <c r="M14" s="18">
        <f>L14/L2</f>
        <v>1.1773772316650256E-3</v>
      </c>
      <c r="N14" s="15">
        <v>107</v>
      </c>
      <c r="O14" s="18">
        <f>N14/N2</f>
        <v>1.4171059253569253E-3</v>
      </c>
      <c r="P14" s="22">
        <v>1875</v>
      </c>
      <c r="Q14" s="23">
        <f>P14/P2</f>
        <v>7.3682440079474859E-4</v>
      </c>
      <c r="R14" s="15">
        <v>460</v>
      </c>
      <c r="S14" s="23">
        <f>R14/R2</f>
        <v>2.0607934054611026E-3</v>
      </c>
      <c r="T14" s="15">
        <v>667</v>
      </c>
      <c r="U14" s="23">
        <f>T14/T2</f>
        <v>4.9216847066948935E-4</v>
      </c>
      <c r="V14" s="15">
        <v>86</v>
      </c>
      <c r="W14" s="23">
        <f>V14/V2</f>
        <v>1.1761809677507591E-3</v>
      </c>
      <c r="X14" s="15">
        <v>7</v>
      </c>
      <c r="Y14" s="23">
        <f>X14/X2</f>
        <v>1.5993419850118809E-4</v>
      </c>
      <c r="Z14" s="15">
        <v>2</v>
      </c>
      <c r="AA14" s="23">
        <f>Z14/Z2</f>
        <v>4.449388209121246E-4</v>
      </c>
      <c r="AB14" s="22">
        <v>116</v>
      </c>
      <c r="AC14" s="23">
        <f>AB14/AB2</f>
        <v>1.6315278695902896E-3</v>
      </c>
      <c r="AD14" s="22">
        <v>66</v>
      </c>
      <c r="AE14" s="23">
        <f>AD14/AD2</f>
        <v>7.4954005496627072E-4</v>
      </c>
      <c r="AF14" s="15">
        <v>2515</v>
      </c>
      <c r="AG14" s="23">
        <f>AF14/AF2</f>
        <v>3.1325550314563327E-3</v>
      </c>
      <c r="AH14" s="26">
        <v>1716</v>
      </c>
      <c r="AI14" s="23">
        <f>AH14/AH2</f>
        <v>7.3687600644122379E-3</v>
      </c>
      <c r="AJ14" s="30">
        <v>87</v>
      </c>
      <c r="AK14" s="23">
        <f>AJ14/AJ2</f>
        <v>4.9160874724529582E-3</v>
      </c>
      <c r="AL14" s="23"/>
      <c r="AM14" s="23"/>
      <c r="AN14" s="29" t="s">
        <v>297</v>
      </c>
      <c r="AO14" s="34" t="s">
        <v>528</v>
      </c>
    </row>
    <row r="15" spans="1:41" ht="15" x14ac:dyDescent="0.3">
      <c r="A15" s="14" t="s">
        <v>224</v>
      </c>
      <c r="B15" s="15">
        <v>522</v>
      </c>
      <c r="C15" s="18">
        <f>B15/B2</f>
        <v>1.378279685160786E-3</v>
      </c>
      <c r="D15" s="17">
        <v>263</v>
      </c>
      <c r="E15" s="18">
        <f>D15/D2</f>
        <v>7.7694798288941932E-4</v>
      </c>
      <c r="F15" s="17">
        <v>6100</v>
      </c>
      <c r="G15" s="18">
        <f>F15/F2</f>
        <v>1.1475248547299375E-3</v>
      </c>
      <c r="H15" s="15">
        <v>188</v>
      </c>
      <c r="I15" s="18">
        <f>H15/H2</f>
        <v>3.7903913579077041E-4</v>
      </c>
      <c r="J15" s="15">
        <v>134</v>
      </c>
      <c r="K15" s="18">
        <f>J15/J2</f>
        <v>3.5850828448435003E-4</v>
      </c>
      <c r="L15" s="15">
        <v>16</v>
      </c>
      <c r="M15" s="18">
        <f>L15/L2</f>
        <v>3.4250974012073467E-4</v>
      </c>
      <c r="N15" s="15">
        <v>38</v>
      </c>
      <c r="O15" s="18">
        <f>N15/N2</f>
        <v>5.0327126321087065E-4</v>
      </c>
      <c r="P15" s="22">
        <v>1152</v>
      </c>
      <c r="Q15" s="23">
        <f>P15/P2</f>
        <v>4.5270491184829355E-4</v>
      </c>
      <c r="R15" s="15">
        <v>332</v>
      </c>
      <c r="S15" s="23">
        <f>R15/R2</f>
        <v>1.4873552404632306E-3</v>
      </c>
      <c r="T15" s="15">
        <v>431</v>
      </c>
      <c r="U15" s="23">
        <f>T15/T2</f>
        <v>3.1802790233665654E-4</v>
      </c>
      <c r="V15" s="15">
        <v>55</v>
      </c>
      <c r="W15" s="23">
        <f>V15/V2</f>
        <v>7.5220875844525287E-4</v>
      </c>
      <c r="X15" s="15">
        <v>9</v>
      </c>
      <c r="Y15" s="23">
        <f>X15/X2</f>
        <v>2.0562968378724181E-4</v>
      </c>
      <c r="Z15" s="15">
        <v>3</v>
      </c>
      <c r="AA15" s="23">
        <f>Z15/Z2</f>
        <v>6.6740823136818685E-4</v>
      </c>
      <c r="AB15" s="22">
        <v>47</v>
      </c>
      <c r="AC15" s="23">
        <f>AB15/AB2</f>
        <v>6.6105008509261735E-4</v>
      </c>
      <c r="AD15" s="22">
        <v>33</v>
      </c>
      <c r="AE15" s="23">
        <f>AD15/AD2</f>
        <v>3.7477002748313536E-4</v>
      </c>
      <c r="AF15" s="15">
        <v>1098</v>
      </c>
      <c r="AG15" s="23">
        <f>AF15/AF2</f>
        <v>1.3676124948465423E-3</v>
      </c>
      <c r="AH15" s="26">
        <v>734</v>
      </c>
      <c r="AI15" s="23">
        <f>AH15/AH2</f>
        <v>3.151905528717123E-3</v>
      </c>
      <c r="AJ15" s="30">
        <v>45</v>
      </c>
      <c r="AK15" s="23">
        <f>AJ15/AJ2</f>
        <v>2.5428038650618747E-3</v>
      </c>
      <c r="AL15" s="23"/>
      <c r="AM15" s="23"/>
      <c r="AN15" s="29" t="s">
        <v>297</v>
      </c>
      <c r="AO15" s="34" t="s">
        <v>528</v>
      </c>
    </row>
  </sheetData>
  <phoneticPr fontId="24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30"/>
  <sheetViews>
    <sheetView tabSelected="1" topLeftCell="A10" workbookViewId="0">
      <selection activeCell="C26" sqref="C26"/>
    </sheetView>
  </sheetViews>
  <sheetFormatPr defaultColWidth="9" defaultRowHeight="14" x14ac:dyDescent="0.3"/>
  <cols>
    <col min="1" max="1" width="31.58203125" style="1" customWidth="1"/>
    <col min="2" max="2" width="22.58203125" customWidth="1"/>
  </cols>
  <sheetData>
    <row r="1" spans="1:3" x14ac:dyDescent="0.3">
      <c r="A1" s="2" t="s">
        <v>529</v>
      </c>
      <c r="B1" s="3" t="s">
        <v>530</v>
      </c>
      <c r="C1" s="3" t="s">
        <v>531</v>
      </c>
    </row>
    <row r="2" spans="1:3" x14ac:dyDescent="0.3">
      <c r="A2" s="4" t="s">
        <v>532</v>
      </c>
      <c r="B2" s="4" t="s">
        <v>69</v>
      </c>
      <c r="C2" s="5"/>
    </row>
    <row r="3" spans="1:3" x14ac:dyDescent="0.3">
      <c r="A3" s="6" t="s">
        <v>533</v>
      </c>
      <c r="B3" s="7" t="s">
        <v>70</v>
      </c>
      <c r="C3" s="5"/>
    </row>
    <row r="4" spans="1:3" x14ac:dyDescent="0.3">
      <c r="A4" s="4" t="s">
        <v>534</v>
      </c>
      <c r="B4" s="4" t="s">
        <v>75</v>
      </c>
      <c r="C4" s="5"/>
    </row>
    <row r="5" spans="1:3" x14ac:dyDescent="0.3">
      <c r="A5" s="4" t="s">
        <v>535</v>
      </c>
      <c r="B5" s="5" t="s">
        <v>71</v>
      </c>
      <c r="C5" s="5"/>
    </row>
    <row r="6" spans="1:3" x14ac:dyDescent="0.3">
      <c r="A6" s="4" t="s">
        <v>536</v>
      </c>
      <c r="B6" s="5" t="s">
        <v>72</v>
      </c>
      <c r="C6" s="5"/>
    </row>
    <row r="7" spans="1:3" x14ac:dyDescent="0.3">
      <c r="A7" s="4" t="s">
        <v>537</v>
      </c>
      <c r="B7" s="5" t="s">
        <v>73</v>
      </c>
      <c r="C7" s="5"/>
    </row>
    <row r="8" spans="1:3" x14ac:dyDescent="0.3">
      <c r="A8" s="4" t="s">
        <v>538</v>
      </c>
      <c r="B8" s="5" t="s">
        <v>74</v>
      </c>
      <c r="C8" s="5"/>
    </row>
    <row r="9" spans="1:3" x14ac:dyDescent="0.3">
      <c r="A9" s="4" t="s">
        <v>539</v>
      </c>
      <c r="B9" s="4" t="s">
        <v>76</v>
      </c>
      <c r="C9" s="5"/>
    </row>
    <row r="10" spans="1:3" x14ac:dyDescent="0.3">
      <c r="A10" s="6" t="s">
        <v>540</v>
      </c>
      <c r="B10" s="4" t="s">
        <v>77</v>
      </c>
      <c r="C10" s="5"/>
    </row>
    <row r="11" spans="1:3" x14ac:dyDescent="0.3">
      <c r="A11" s="6" t="s">
        <v>541</v>
      </c>
      <c r="B11" s="4" t="s">
        <v>78</v>
      </c>
      <c r="C11" s="5"/>
    </row>
    <row r="12" spans="1:3" x14ac:dyDescent="0.3">
      <c r="A12" s="6" t="s">
        <v>542</v>
      </c>
      <c r="B12" s="4" t="s">
        <v>79</v>
      </c>
      <c r="C12" s="5"/>
    </row>
    <row r="13" spans="1:3" x14ac:dyDescent="0.3">
      <c r="A13" s="6" t="s">
        <v>543</v>
      </c>
      <c r="B13" s="4" t="s">
        <v>80</v>
      </c>
      <c r="C13" s="5"/>
    </row>
    <row r="14" spans="1:3" x14ac:dyDescent="0.3">
      <c r="A14" s="6" t="s">
        <v>544</v>
      </c>
      <c r="B14" s="4" t="s">
        <v>81</v>
      </c>
      <c r="C14" s="5"/>
    </row>
    <row r="15" spans="1:3" x14ac:dyDescent="0.3">
      <c r="A15" s="6" t="s">
        <v>545</v>
      </c>
      <c r="B15" s="4" t="s">
        <v>82</v>
      </c>
      <c r="C15" s="5"/>
    </row>
    <row r="16" spans="1:3" x14ac:dyDescent="0.3">
      <c r="A16" s="6" t="s">
        <v>546</v>
      </c>
      <c r="B16" s="4" t="s">
        <v>83</v>
      </c>
      <c r="C16" s="5"/>
    </row>
    <row r="17" spans="1:3" x14ac:dyDescent="0.3">
      <c r="A17" s="6" t="s">
        <v>547</v>
      </c>
      <c r="B17" s="4" t="s">
        <v>84</v>
      </c>
      <c r="C17" s="5"/>
    </row>
    <row r="18" spans="1:3" x14ac:dyDescent="0.3">
      <c r="A18" s="6" t="s">
        <v>548</v>
      </c>
      <c r="B18" s="4" t="s">
        <v>85</v>
      </c>
      <c r="C18" s="5"/>
    </row>
    <row r="19" spans="1:3" x14ac:dyDescent="0.3">
      <c r="A19" s="6" t="s">
        <v>549</v>
      </c>
      <c r="B19" s="4" t="s">
        <v>86</v>
      </c>
      <c r="C19" s="5"/>
    </row>
    <row r="20" spans="1:3" x14ac:dyDescent="0.3">
      <c r="A20" s="6" t="s">
        <v>550</v>
      </c>
      <c r="B20" s="4" t="s">
        <v>87</v>
      </c>
      <c r="C20" s="5"/>
    </row>
    <row r="21" spans="1:3" x14ac:dyDescent="0.3">
      <c r="A21" s="6" t="s">
        <v>551</v>
      </c>
      <c r="B21" s="4" t="s">
        <v>88</v>
      </c>
      <c r="C21" s="5" t="s">
        <v>552</v>
      </c>
    </row>
    <row r="22" spans="1:3" x14ac:dyDescent="0.3">
      <c r="A22" s="6" t="s">
        <v>553</v>
      </c>
      <c r="B22" s="4" t="s">
        <v>3</v>
      </c>
      <c r="C22" s="5"/>
    </row>
    <row r="23" spans="1:3" x14ac:dyDescent="0.3">
      <c r="A23" s="8" t="s">
        <v>554</v>
      </c>
      <c r="B23" s="5" t="s">
        <v>68</v>
      </c>
      <c r="C23" s="5"/>
    </row>
    <row r="24" spans="1:3" x14ac:dyDescent="0.3">
      <c r="A24" s="6" t="s">
        <v>555</v>
      </c>
      <c r="B24" s="5" t="s">
        <v>556</v>
      </c>
      <c r="C24" s="5"/>
    </row>
    <row r="25" spans="1:3" x14ac:dyDescent="0.3">
      <c r="A25" s="6" t="s">
        <v>557</v>
      </c>
      <c r="B25" s="9" t="s">
        <v>558</v>
      </c>
      <c r="C25" s="5" t="s">
        <v>559</v>
      </c>
    </row>
    <row r="26" spans="1:3" x14ac:dyDescent="0.3">
      <c r="A26" s="6" t="s">
        <v>560</v>
      </c>
      <c r="B26" s="5" t="s">
        <v>561</v>
      </c>
      <c r="C26" s="5" t="s">
        <v>562</v>
      </c>
    </row>
    <row r="27" spans="1:3" x14ac:dyDescent="0.3">
      <c r="A27" s="4" t="s">
        <v>563</v>
      </c>
      <c r="B27" s="5" t="s">
        <v>482</v>
      </c>
      <c r="C27" s="5"/>
    </row>
    <row r="28" spans="1:3" x14ac:dyDescent="0.3">
      <c r="A28" s="4" t="s">
        <v>564</v>
      </c>
      <c r="B28" s="5" t="s">
        <v>489</v>
      </c>
      <c r="C28" s="5"/>
    </row>
    <row r="29" spans="1:3" x14ac:dyDescent="0.3">
      <c r="A29" s="4" t="s">
        <v>565</v>
      </c>
      <c r="B29" s="5" t="s">
        <v>494</v>
      </c>
      <c r="C29" s="5"/>
    </row>
    <row r="30" spans="1:3" x14ac:dyDescent="0.3">
      <c r="A30" s="4" t="s">
        <v>566</v>
      </c>
      <c r="B30" s="5" t="s">
        <v>498</v>
      </c>
      <c r="C30" s="5"/>
    </row>
  </sheetData>
  <phoneticPr fontId="2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F32"/>
  <sheetViews>
    <sheetView workbookViewId="0">
      <selection activeCell="F1" sqref="F1:F32"/>
    </sheetView>
  </sheetViews>
  <sheetFormatPr defaultColWidth="9" defaultRowHeight="14" x14ac:dyDescent="0.3"/>
  <cols>
    <col min="1" max="1" width="4" customWidth="1"/>
    <col min="2" max="2" width="11.83203125" customWidth="1"/>
    <col min="3" max="3" width="14.25" customWidth="1"/>
    <col min="4" max="4" width="19.25" customWidth="1"/>
  </cols>
  <sheetData>
    <row r="1" spans="1:6" ht="15" x14ac:dyDescent="0.3">
      <c r="A1" s="53" t="s">
        <v>0</v>
      </c>
      <c r="B1" s="53" t="s">
        <v>1</v>
      </c>
      <c r="C1" s="53" t="s">
        <v>2</v>
      </c>
      <c r="D1" s="53" t="s">
        <v>68</v>
      </c>
      <c r="E1" s="105" t="s">
        <v>4</v>
      </c>
      <c r="F1" s="101" t="s">
        <v>718</v>
      </c>
    </row>
    <row r="2" spans="1:6" ht="15.5" x14ac:dyDescent="0.3">
      <c r="A2" s="102">
        <v>1</v>
      </c>
      <c r="B2" s="102" t="s">
        <v>5</v>
      </c>
      <c r="C2" s="102" t="s">
        <v>6</v>
      </c>
      <c r="D2" s="52">
        <v>68842</v>
      </c>
      <c r="E2" s="106" t="s">
        <v>7</v>
      </c>
      <c r="F2" s="106" t="s">
        <v>719</v>
      </c>
    </row>
    <row r="3" spans="1:6" ht="15.5" x14ac:dyDescent="0.3">
      <c r="A3" s="102">
        <v>2</v>
      </c>
      <c r="B3" s="102" t="s">
        <v>8</v>
      </c>
      <c r="C3" s="102" t="s">
        <v>9</v>
      </c>
      <c r="D3" s="52">
        <v>46489</v>
      </c>
      <c r="E3" s="106" t="s">
        <v>7</v>
      </c>
      <c r="F3" s="106" t="s">
        <v>719</v>
      </c>
    </row>
    <row r="4" spans="1:6" ht="15.5" x14ac:dyDescent="0.3">
      <c r="A4" s="102">
        <v>3</v>
      </c>
      <c r="B4" s="102" t="s">
        <v>10</v>
      </c>
      <c r="C4" s="102" t="s">
        <v>11</v>
      </c>
      <c r="D4" s="52">
        <v>294409</v>
      </c>
      <c r="E4" s="106" t="s">
        <v>7</v>
      </c>
      <c r="F4" s="106" t="s">
        <v>719</v>
      </c>
    </row>
    <row r="5" spans="1:6" ht="15.5" x14ac:dyDescent="0.3">
      <c r="A5" s="102">
        <v>4</v>
      </c>
      <c r="B5" s="102" t="s">
        <v>12</v>
      </c>
      <c r="C5" s="102" t="s">
        <v>13</v>
      </c>
      <c r="D5" s="52">
        <v>197646</v>
      </c>
      <c r="E5" s="106" t="s">
        <v>7</v>
      </c>
      <c r="F5" s="106" t="s">
        <v>719</v>
      </c>
    </row>
    <row r="6" spans="1:6" ht="15.5" x14ac:dyDescent="0.3">
      <c r="A6" s="102">
        <v>5</v>
      </c>
      <c r="B6" s="102" t="s">
        <v>14</v>
      </c>
      <c r="C6" s="102" t="s">
        <v>15</v>
      </c>
      <c r="D6" s="52">
        <v>85841</v>
      </c>
      <c r="E6" s="106" t="s">
        <v>7</v>
      </c>
      <c r="F6" s="106" t="s">
        <v>719</v>
      </c>
    </row>
    <row r="7" spans="1:6" ht="15.5" x14ac:dyDescent="0.3">
      <c r="A7" s="102">
        <v>6</v>
      </c>
      <c r="B7" s="102" t="s">
        <v>16</v>
      </c>
      <c r="C7" s="102" t="s">
        <v>17</v>
      </c>
      <c r="D7" s="52">
        <v>108312</v>
      </c>
      <c r="E7" s="106" t="s">
        <v>7</v>
      </c>
      <c r="F7" s="106" t="s">
        <v>719</v>
      </c>
    </row>
    <row r="8" spans="1:6" ht="15.5" x14ac:dyDescent="0.3">
      <c r="A8" s="102">
        <v>7</v>
      </c>
      <c r="B8" s="102" t="s">
        <v>18</v>
      </c>
      <c r="C8" s="102" t="s">
        <v>19</v>
      </c>
      <c r="D8" s="52">
        <v>84371</v>
      </c>
      <c r="E8" s="106" t="s">
        <v>7</v>
      </c>
      <c r="F8" s="106" t="s">
        <v>719</v>
      </c>
    </row>
    <row r="9" spans="1:6" ht="15.5" x14ac:dyDescent="0.3">
      <c r="A9" s="102">
        <v>8</v>
      </c>
      <c r="B9" s="102" t="s">
        <v>20</v>
      </c>
      <c r="C9" s="102" t="s">
        <v>21</v>
      </c>
      <c r="D9" s="52">
        <v>81287</v>
      </c>
      <c r="E9" s="106" t="s">
        <v>7</v>
      </c>
      <c r="F9" s="106" t="s">
        <v>719</v>
      </c>
    </row>
    <row r="10" spans="1:6" ht="15.5" x14ac:dyDescent="0.3">
      <c r="A10" s="102">
        <v>9</v>
      </c>
      <c r="B10" s="102" t="s">
        <v>22</v>
      </c>
      <c r="C10" s="102" t="s">
        <v>23</v>
      </c>
      <c r="D10" s="52">
        <v>52723</v>
      </c>
      <c r="E10" s="106" t="s">
        <v>7</v>
      </c>
      <c r="F10" s="106" t="s">
        <v>719</v>
      </c>
    </row>
    <row r="11" spans="1:6" ht="15.5" x14ac:dyDescent="0.3">
      <c r="A11" s="102">
        <v>10</v>
      </c>
      <c r="B11" s="102" t="s">
        <v>24</v>
      </c>
      <c r="C11" s="102" t="s">
        <v>25</v>
      </c>
      <c r="D11" s="52">
        <v>206773</v>
      </c>
      <c r="E11" s="106" t="s">
        <v>7</v>
      </c>
      <c r="F11" s="106" t="s">
        <v>719</v>
      </c>
    </row>
    <row r="12" spans="1:6" ht="15.5" x14ac:dyDescent="0.3">
      <c r="A12" s="102">
        <v>11</v>
      </c>
      <c r="B12" s="102" t="s">
        <v>26</v>
      </c>
      <c r="C12" s="102" t="s">
        <v>27</v>
      </c>
      <c r="D12" s="52">
        <v>192189</v>
      </c>
      <c r="E12" s="106" t="s">
        <v>7</v>
      </c>
      <c r="F12" s="106" t="s">
        <v>719</v>
      </c>
    </row>
    <row r="13" spans="1:6" ht="15.5" x14ac:dyDescent="0.3">
      <c r="A13" s="102">
        <v>12</v>
      </c>
      <c r="B13" s="102" t="s">
        <v>28</v>
      </c>
      <c r="C13" s="102" t="s">
        <v>29</v>
      </c>
      <c r="D13" s="52">
        <v>153156</v>
      </c>
      <c r="E13" s="106" t="s">
        <v>7</v>
      </c>
      <c r="F13" s="106" t="s">
        <v>719</v>
      </c>
    </row>
    <row r="14" spans="1:6" ht="15.5" x14ac:dyDescent="0.3">
      <c r="A14" s="102">
        <v>13</v>
      </c>
      <c r="B14" s="102" t="s">
        <v>30</v>
      </c>
      <c r="C14" s="102" t="s">
        <v>31</v>
      </c>
      <c r="D14" s="52">
        <v>143014</v>
      </c>
      <c r="E14" s="106" t="s">
        <v>7</v>
      </c>
      <c r="F14" s="106" t="s">
        <v>719</v>
      </c>
    </row>
    <row r="15" spans="1:6" ht="15.5" x14ac:dyDescent="0.3">
      <c r="A15" s="102">
        <v>14</v>
      </c>
      <c r="B15" s="102" t="s">
        <v>32</v>
      </c>
      <c r="C15" s="102" t="s">
        <v>33</v>
      </c>
      <c r="D15" s="52">
        <v>122292</v>
      </c>
      <c r="E15" s="106" t="s">
        <v>7</v>
      </c>
      <c r="F15" s="106" t="s">
        <v>719</v>
      </c>
    </row>
    <row r="16" spans="1:6" ht="15.5" x14ac:dyDescent="0.3">
      <c r="A16" s="102">
        <v>15</v>
      </c>
      <c r="B16" s="102" t="s">
        <v>34</v>
      </c>
      <c r="C16" s="102" t="s">
        <v>35</v>
      </c>
      <c r="D16" s="52">
        <v>440844</v>
      </c>
      <c r="E16" s="106" t="s">
        <v>7</v>
      </c>
      <c r="F16" s="106" t="s">
        <v>719</v>
      </c>
    </row>
    <row r="17" spans="1:6" ht="15.5" x14ac:dyDescent="0.3">
      <c r="A17" s="102">
        <v>16</v>
      </c>
      <c r="B17" s="102" t="s">
        <v>36</v>
      </c>
      <c r="C17" s="102" t="s">
        <v>37</v>
      </c>
      <c r="D17" s="52">
        <v>341581</v>
      </c>
      <c r="E17" s="106" t="s">
        <v>7</v>
      </c>
      <c r="F17" s="106" t="s">
        <v>719</v>
      </c>
    </row>
    <row r="18" spans="1:6" ht="15.5" x14ac:dyDescent="0.3">
      <c r="A18" s="102">
        <v>17</v>
      </c>
      <c r="B18" s="102" t="s">
        <v>38</v>
      </c>
      <c r="C18" s="102" t="s">
        <v>39</v>
      </c>
      <c r="D18" s="52">
        <v>166210</v>
      </c>
      <c r="E18" s="106" t="s">
        <v>7</v>
      </c>
      <c r="F18" s="106" t="s">
        <v>719</v>
      </c>
    </row>
    <row r="19" spans="1:6" ht="15.5" x14ac:dyDescent="0.3">
      <c r="A19" s="102">
        <v>18</v>
      </c>
      <c r="B19" s="102" t="s">
        <v>40</v>
      </c>
      <c r="C19" s="102" t="s">
        <v>41</v>
      </c>
      <c r="D19" s="52">
        <v>185300</v>
      </c>
      <c r="E19" s="106" t="s">
        <v>7</v>
      </c>
      <c r="F19" s="106" t="s">
        <v>719</v>
      </c>
    </row>
    <row r="20" spans="1:6" ht="15.5" x14ac:dyDescent="0.3">
      <c r="A20" s="102">
        <v>19</v>
      </c>
      <c r="B20" s="102" t="s">
        <v>42</v>
      </c>
      <c r="C20" s="102" t="s">
        <v>43</v>
      </c>
      <c r="D20" s="52">
        <v>220192</v>
      </c>
      <c r="E20" s="106" t="s">
        <v>7</v>
      </c>
      <c r="F20" s="106" t="s">
        <v>719</v>
      </c>
    </row>
    <row r="21" spans="1:6" ht="15.5" x14ac:dyDescent="0.3">
      <c r="A21" s="102">
        <v>20</v>
      </c>
      <c r="B21" s="102" t="s">
        <v>44</v>
      </c>
      <c r="C21" s="102" t="s">
        <v>45</v>
      </c>
      <c r="D21" s="52">
        <v>114859</v>
      </c>
      <c r="E21" s="106" t="s">
        <v>7</v>
      </c>
      <c r="F21" s="106" t="s">
        <v>719</v>
      </c>
    </row>
    <row r="22" spans="1:6" ht="15.5" x14ac:dyDescent="0.3">
      <c r="A22" s="102">
        <v>21</v>
      </c>
      <c r="B22" s="102" t="s">
        <v>46</v>
      </c>
      <c r="C22" s="102" t="s">
        <v>47</v>
      </c>
      <c r="D22" s="52">
        <v>31247</v>
      </c>
      <c r="E22" s="106" t="s">
        <v>7</v>
      </c>
      <c r="F22" s="106" t="s">
        <v>719</v>
      </c>
    </row>
    <row r="23" spans="1:6" ht="15.5" x14ac:dyDescent="0.3">
      <c r="A23" s="102">
        <v>22</v>
      </c>
      <c r="B23" s="102" t="s">
        <v>48</v>
      </c>
      <c r="C23" s="102" t="s">
        <v>49</v>
      </c>
      <c r="D23" s="52">
        <v>81673</v>
      </c>
      <c r="E23" s="106" t="s">
        <v>7</v>
      </c>
      <c r="F23" s="106" t="s">
        <v>719</v>
      </c>
    </row>
    <row r="24" spans="1:6" ht="15.5" x14ac:dyDescent="0.3">
      <c r="A24" s="102">
        <v>23</v>
      </c>
      <c r="B24" s="102" t="s">
        <v>50</v>
      </c>
      <c r="C24" s="102" t="s">
        <v>51</v>
      </c>
      <c r="D24" s="52">
        <v>325411</v>
      </c>
      <c r="E24" s="106" t="s">
        <v>7</v>
      </c>
      <c r="F24" s="106" t="s">
        <v>719</v>
      </c>
    </row>
    <row r="25" spans="1:6" ht="15.5" x14ac:dyDescent="0.3">
      <c r="A25" s="102">
        <v>24</v>
      </c>
      <c r="B25" s="102" t="s">
        <v>52</v>
      </c>
      <c r="C25" s="102" t="s">
        <v>53</v>
      </c>
      <c r="D25" s="52">
        <v>115031</v>
      </c>
      <c r="E25" s="106" t="s">
        <v>7</v>
      </c>
      <c r="F25" s="106" t="s">
        <v>719</v>
      </c>
    </row>
    <row r="26" spans="1:6" ht="15.5" x14ac:dyDescent="0.3">
      <c r="A26" s="102">
        <v>25</v>
      </c>
      <c r="B26" s="102" t="s">
        <v>54</v>
      </c>
      <c r="C26" s="102" t="s">
        <v>350</v>
      </c>
      <c r="D26" s="52">
        <v>107127</v>
      </c>
      <c r="E26" s="106" t="s">
        <v>7</v>
      </c>
      <c r="F26" s="106" t="s">
        <v>719</v>
      </c>
    </row>
    <row r="27" spans="1:6" ht="15.5" x14ac:dyDescent="0.3">
      <c r="A27" s="102">
        <v>26</v>
      </c>
      <c r="B27" s="102" t="s">
        <v>55</v>
      </c>
      <c r="C27" s="102" t="s">
        <v>56</v>
      </c>
      <c r="D27" s="52">
        <v>38946</v>
      </c>
      <c r="E27" s="106" t="s">
        <v>7</v>
      </c>
      <c r="F27" s="106" t="s">
        <v>719</v>
      </c>
    </row>
    <row r="28" spans="1:6" ht="15.5" x14ac:dyDescent="0.3">
      <c r="A28" s="102">
        <v>27</v>
      </c>
      <c r="B28" s="102" t="s">
        <v>57</v>
      </c>
      <c r="C28" s="102" t="s">
        <v>58</v>
      </c>
      <c r="D28" s="52">
        <v>148304</v>
      </c>
      <c r="E28" s="106" t="s">
        <v>7</v>
      </c>
      <c r="F28" s="106" t="s">
        <v>719</v>
      </c>
    </row>
    <row r="29" spans="1:6" ht="15.5" x14ac:dyDescent="0.3">
      <c r="A29" s="102">
        <v>28</v>
      </c>
      <c r="B29" s="102" t="s">
        <v>59</v>
      </c>
      <c r="C29" s="102" t="s">
        <v>60</v>
      </c>
      <c r="D29" s="52">
        <v>91154</v>
      </c>
      <c r="E29" s="106" t="s">
        <v>7</v>
      </c>
      <c r="F29" s="106" t="s">
        <v>719</v>
      </c>
    </row>
    <row r="30" spans="1:6" ht="15.5" x14ac:dyDescent="0.3">
      <c r="A30" s="102">
        <v>29</v>
      </c>
      <c r="B30" s="102" t="s">
        <v>61</v>
      </c>
      <c r="C30" s="102" t="s">
        <v>62</v>
      </c>
      <c r="D30" s="52">
        <v>29988</v>
      </c>
      <c r="E30" s="106" t="s">
        <v>7</v>
      </c>
      <c r="F30" s="106" t="s">
        <v>719</v>
      </c>
    </row>
    <row r="31" spans="1:6" ht="15.5" x14ac:dyDescent="0.3">
      <c r="A31" s="102">
        <v>30</v>
      </c>
      <c r="B31" s="102" t="s">
        <v>63</v>
      </c>
      <c r="C31" s="102" t="s">
        <v>64</v>
      </c>
      <c r="D31" s="52">
        <v>19379</v>
      </c>
      <c r="E31" s="106" t="s">
        <v>7</v>
      </c>
      <c r="F31" s="106" t="s">
        <v>719</v>
      </c>
    </row>
    <row r="32" spans="1:6" ht="15.5" x14ac:dyDescent="0.3">
      <c r="A32" s="102">
        <v>31</v>
      </c>
      <c r="B32" s="102" t="s">
        <v>65</v>
      </c>
      <c r="C32" s="102" t="s">
        <v>66</v>
      </c>
      <c r="D32" s="52">
        <v>162113</v>
      </c>
      <c r="E32" s="106" t="s">
        <v>7</v>
      </c>
      <c r="F32" s="106" t="s">
        <v>719</v>
      </c>
    </row>
  </sheetData>
  <phoneticPr fontId="24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Y32"/>
  <sheetViews>
    <sheetView topLeftCell="B1" workbookViewId="0">
      <selection activeCell="Y1" sqref="Y1:Y32"/>
    </sheetView>
  </sheetViews>
  <sheetFormatPr defaultColWidth="9" defaultRowHeight="14" x14ac:dyDescent="0.3"/>
  <cols>
    <col min="1" max="1" width="4.25" customWidth="1"/>
    <col min="2" max="2" width="13.33203125" customWidth="1"/>
    <col min="3" max="3" width="15.5" customWidth="1"/>
    <col min="4" max="5" width="9.08203125" style="48" customWidth="1"/>
    <col min="6" max="10" width="9.08203125" customWidth="1"/>
    <col min="11" max="11" width="9.08203125" style="48" customWidth="1"/>
    <col min="12" max="14" width="9.08203125" customWidth="1"/>
    <col min="15" max="15" width="9.58203125" style="48" customWidth="1"/>
    <col min="16" max="23" width="9.08203125" customWidth="1"/>
  </cols>
  <sheetData>
    <row r="1" spans="1:25" s="48" customFormat="1" ht="15" x14ac:dyDescent="0.3">
      <c r="A1" s="53" t="s">
        <v>0</v>
      </c>
      <c r="B1" s="53" t="s">
        <v>1</v>
      </c>
      <c r="C1" s="53" t="s">
        <v>2</v>
      </c>
      <c r="D1" s="103" t="s">
        <v>69</v>
      </c>
      <c r="E1" s="104" t="s">
        <v>70</v>
      </c>
      <c r="F1" s="53" t="s">
        <v>71</v>
      </c>
      <c r="G1" s="53" t="s">
        <v>72</v>
      </c>
      <c r="H1" s="53" t="s">
        <v>73</v>
      </c>
      <c r="I1" s="53" t="s">
        <v>74</v>
      </c>
      <c r="J1" s="53" t="s">
        <v>75</v>
      </c>
      <c r="K1" s="103" t="s">
        <v>76</v>
      </c>
      <c r="L1" s="103" t="s">
        <v>77</v>
      </c>
      <c r="M1" s="103" t="s">
        <v>78</v>
      </c>
      <c r="N1" s="103" t="s">
        <v>79</v>
      </c>
      <c r="O1" s="103" t="s">
        <v>80</v>
      </c>
      <c r="P1" s="103" t="s">
        <v>81</v>
      </c>
      <c r="Q1" s="103" t="s">
        <v>82</v>
      </c>
      <c r="R1" s="103" t="s">
        <v>83</v>
      </c>
      <c r="S1" s="103" t="s">
        <v>84</v>
      </c>
      <c r="T1" s="103" t="s">
        <v>85</v>
      </c>
      <c r="U1" s="103" t="s">
        <v>86</v>
      </c>
      <c r="V1" s="103" t="s">
        <v>87</v>
      </c>
      <c r="W1" s="103" t="s">
        <v>88</v>
      </c>
      <c r="X1" s="105" t="s">
        <v>4</v>
      </c>
      <c r="Y1" s="101" t="s">
        <v>718</v>
      </c>
    </row>
    <row r="2" spans="1:25" ht="15.5" x14ac:dyDescent="0.3">
      <c r="A2" s="102">
        <v>1</v>
      </c>
      <c r="B2" s="102" t="s">
        <v>5</v>
      </c>
      <c r="C2" s="102" t="s">
        <v>6</v>
      </c>
      <c r="D2" s="53">
        <v>24722</v>
      </c>
      <c r="E2" s="53">
        <v>46479</v>
      </c>
      <c r="F2" s="102">
        <v>25223</v>
      </c>
      <c r="G2" s="102">
        <v>51160</v>
      </c>
      <c r="H2" s="102">
        <v>27976</v>
      </c>
      <c r="I2" s="102">
        <v>62998</v>
      </c>
      <c r="J2" s="53">
        <f>SUM(F2:I2)</f>
        <v>167357</v>
      </c>
      <c r="K2" s="53">
        <v>107763</v>
      </c>
      <c r="L2" s="102">
        <v>77615</v>
      </c>
      <c r="M2" s="102">
        <v>12992</v>
      </c>
      <c r="N2" s="102">
        <v>17156</v>
      </c>
      <c r="O2" s="53">
        <v>628867</v>
      </c>
      <c r="P2" s="102">
        <v>13667</v>
      </c>
      <c r="Q2" s="102">
        <v>343973</v>
      </c>
      <c r="R2" s="102">
        <v>475</v>
      </c>
      <c r="S2" s="102">
        <v>84724</v>
      </c>
      <c r="T2" s="102">
        <v>4540</v>
      </c>
      <c r="U2" s="102">
        <v>47363</v>
      </c>
      <c r="V2" s="102">
        <v>25224</v>
      </c>
      <c r="W2" s="102">
        <v>108901</v>
      </c>
      <c r="X2" s="102" t="s">
        <v>7</v>
      </c>
      <c r="Y2" s="106" t="s">
        <v>719</v>
      </c>
    </row>
    <row r="3" spans="1:25" ht="15.5" x14ac:dyDescent="0.3">
      <c r="A3" s="102">
        <v>2</v>
      </c>
      <c r="B3" s="102" t="s">
        <v>8</v>
      </c>
      <c r="C3" s="102" t="s">
        <v>9</v>
      </c>
      <c r="D3" s="53">
        <v>18424</v>
      </c>
      <c r="E3" s="53">
        <v>32807</v>
      </c>
      <c r="F3" s="102">
        <v>2418</v>
      </c>
      <c r="G3" s="102">
        <v>16527</v>
      </c>
      <c r="H3" s="102">
        <v>4917</v>
      </c>
      <c r="I3" s="102">
        <v>15723</v>
      </c>
      <c r="J3" s="53">
        <f t="shared" ref="J3:J32" si="0">SUM(F3:I3)</f>
        <v>39585</v>
      </c>
      <c r="K3" s="53">
        <v>48480</v>
      </c>
      <c r="L3" s="102">
        <v>31750</v>
      </c>
      <c r="M3" s="102">
        <v>7976</v>
      </c>
      <c r="N3" s="102">
        <v>8754</v>
      </c>
      <c r="O3" s="53">
        <v>213925</v>
      </c>
      <c r="P3" s="102"/>
      <c r="Q3" s="102">
        <v>103900</v>
      </c>
      <c r="R3" s="102">
        <v>14734</v>
      </c>
      <c r="S3" s="102">
        <v>8870</v>
      </c>
      <c r="T3" s="102">
        <v>612</v>
      </c>
      <c r="U3" s="102">
        <v>40011</v>
      </c>
      <c r="V3" s="102">
        <v>29918</v>
      </c>
      <c r="W3" s="102">
        <v>15880</v>
      </c>
      <c r="X3" s="102" t="s">
        <v>7</v>
      </c>
      <c r="Y3" s="106" t="s">
        <v>719</v>
      </c>
    </row>
    <row r="4" spans="1:25" ht="15.5" x14ac:dyDescent="0.3">
      <c r="A4" s="102">
        <v>3</v>
      </c>
      <c r="B4" s="102" t="s">
        <v>10</v>
      </c>
      <c r="C4" s="102" t="s">
        <v>11</v>
      </c>
      <c r="D4" s="53">
        <v>150152</v>
      </c>
      <c r="E4" s="53">
        <v>108344</v>
      </c>
      <c r="F4" s="102">
        <v>25525</v>
      </c>
      <c r="G4" s="102">
        <v>52318</v>
      </c>
      <c r="H4" s="102">
        <v>47704</v>
      </c>
      <c r="I4" s="102">
        <v>59345</v>
      </c>
      <c r="J4" s="53">
        <f t="shared" si="0"/>
        <v>184892</v>
      </c>
      <c r="K4" s="53">
        <v>242917</v>
      </c>
      <c r="L4" s="102">
        <v>172719</v>
      </c>
      <c r="M4" s="102">
        <v>29936</v>
      </c>
      <c r="N4" s="102">
        <v>40262</v>
      </c>
      <c r="O4" s="53">
        <v>485593</v>
      </c>
      <c r="P4" s="102">
        <v>96</v>
      </c>
      <c r="Q4" s="102">
        <v>352840</v>
      </c>
      <c r="R4" s="102">
        <v>20138</v>
      </c>
      <c r="S4" s="102">
        <v>5828</v>
      </c>
      <c r="T4" s="102">
        <v>246</v>
      </c>
      <c r="U4" s="102">
        <v>17066</v>
      </c>
      <c r="V4" s="102">
        <v>50021</v>
      </c>
      <c r="W4" s="102">
        <v>39358</v>
      </c>
      <c r="X4" s="102" t="s">
        <v>7</v>
      </c>
      <c r="Y4" s="106" t="s">
        <v>719</v>
      </c>
    </row>
    <row r="5" spans="1:25" ht="15.5" x14ac:dyDescent="0.3">
      <c r="A5" s="102">
        <v>4</v>
      </c>
      <c r="B5" s="102" t="s">
        <v>12</v>
      </c>
      <c r="C5" s="102" t="s">
        <v>13</v>
      </c>
      <c r="D5" s="53">
        <v>42495</v>
      </c>
      <c r="E5" s="53">
        <v>30366</v>
      </c>
      <c r="F5" s="102">
        <v>10788</v>
      </c>
      <c r="G5" s="102">
        <v>24913</v>
      </c>
      <c r="H5" s="102">
        <v>21703</v>
      </c>
      <c r="I5" s="102">
        <v>20609</v>
      </c>
      <c r="J5" s="53">
        <f t="shared" si="0"/>
        <v>78013</v>
      </c>
      <c r="K5" s="53">
        <v>163140</v>
      </c>
      <c r="L5" s="102">
        <v>104352</v>
      </c>
      <c r="M5" s="102">
        <v>30224</v>
      </c>
      <c r="N5" s="102">
        <v>28564</v>
      </c>
      <c r="O5" s="53">
        <v>288114</v>
      </c>
      <c r="P5" s="102">
        <v>1160</v>
      </c>
      <c r="Q5" s="102">
        <v>216645</v>
      </c>
      <c r="R5" s="102">
        <v>152</v>
      </c>
      <c r="S5" s="102">
        <v>5023</v>
      </c>
      <c r="T5" s="102">
        <v>193</v>
      </c>
      <c r="U5" s="102">
        <v>6656</v>
      </c>
      <c r="V5" s="102">
        <v>28184</v>
      </c>
      <c r="W5" s="102">
        <v>30101</v>
      </c>
      <c r="X5" s="102" t="s">
        <v>7</v>
      </c>
      <c r="Y5" s="106" t="s">
        <v>719</v>
      </c>
    </row>
    <row r="6" spans="1:25" ht="15.5" x14ac:dyDescent="0.3">
      <c r="A6" s="102">
        <v>5</v>
      </c>
      <c r="B6" s="102" t="s">
        <v>14</v>
      </c>
      <c r="C6" s="102" t="s">
        <v>15</v>
      </c>
      <c r="D6" s="53">
        <v>53632</v>
      </c>
      <c r="E6" s="53">
        <v>55669</v>
      </c>
      <c r="F6" s="102">
        <v>4403</v>
      </c>
      <c r="G6" s="102">
        <v>16872</v>
      </c>
      <c r="H6" s="102">
        <v>10799</v>
      </c>
      <c r="I6" s="102">
        <v>9539</v>
      </c>
      <c r="J6" s="53">
        <f t="shared" si="0"/>
        <v>41613</v>
      </c>
      <c r="K6" s="53">
        <v>187004</v>
      </c>
      <c r="L6" s="102">
        <v>151813</v>
      </c>
      <c r="M6" s="102">
        <v>12212</v>
      </c>
      <c r="N6" s="102">
        <v>22979</v>
      </c>
      <c r="O6" s="53">
        <v>180377</v>
      </c>
      <c r="P6" s="102">
        <v>13</v>
      </c>
      <c r="Q6" s="102">
        <v>125692</v>
      </c>
      <c r="R6" s="102">
        <v>127</v>
      </c>
      <c r="S6" s="102">
        <v>6485</v>
      </c>
      <c r="T6" s="102">
        <v>145</v>
      </c>
      <c r="U6" s="102">
        <v>4101</v>
      </c>
      <c r="V6" s="102">
        <v>22367</v>
      </c>
      <c r="W6" s="102">
        <v>21447</v>
      </c>
      <c r="X6" s="102" t="s">
        <v>7</v>
      </c>
      <c r="Y6" s="106" t="s">
        <v>719</v>
      </c>
    </row>
    <row r="7" spans="1:25" ht="15.5" x14ac:dyDescent="0.3">
      <c r="A7" s="102">
        <v>6</v>
      </c>
      <c r="B7" s="102" t="s">
        <v>16</v>
      </c>
      <c r="C7" s="102" t="s">
        <v>17</v>
      </c>
      <c r="D7" s="53">
        <v>160578</v>
      </c>
      <c r="E7" s="53">
        <v>46050</v>
      </c>
      <c r="F7" s="102">
        <v>5574</v>
      </c>
      <c r="G7" s="102">
        <v>16257</v>
      </c>
      <c r="H7" s="102">
        <v>14639</v>
      </c>
      <c r="I7" s="102">
        <v>31084</v>
      </c>
      <c r="J7" s="53">
        <f t="shared" si="0"/>
        <v>67554</v>
      </c>
      <c r="K7" s="53">
        <v>190892</v>
      </c>
      <c r="L7" s="102">
        <v>139481</v>
      </c>
      <c r="M7" s="102">
        <v>17788</v>
      </c>
      <c r="N7" s="102">
        <v>33623</v>
      </c>
      <c r="O7" s="53">
        <v>346051</v>
      </c>
      <c r="P7" s="102">
        <v>1672</v>
      </c>
      <c r="Q7" s="102">
        <v>201851</v>
      </c>
      <c r="R7" s="102">
        <v>21058</v>
      </c>
      <c r="S7" s="102">
        <v>14687</v>
      </c>
      <c r="T7" s="102">
        <v>173</v>
      </c>
      <c r="U7" s="102">
        <v>32258</v>
      </c>
      <c r="V7" s="102">
        <v>43042</v>
      </c>
      <c r="W7" s="102">
        <v>31310</v>
      </c>
      <c r="X7" s="102" t="s">
        <v>7</v>
      </c>
      <c r="Y7" s="106" t="s">
        <v>719</v>
      </c>
    </row>
    <row r="8" spans="1:25" ht="15.5" x14ac:dyDescent="0.3">
      <c r="A8" s="102">
        <v>7</v>
      </c>
      <c r="B8" s="102" t="s">
        <v>18</v>
      </c>
      <c r="C8" s="102" t="s">
        <v>19</v>
      </c>
      <c r="D8" s="53">
        <v>88261</v>
      </c>
      <c r="E8" s="53">
        <v>29214</v>
      </c>
      <c r="F8" s="102">
        <v>1756</v>
      </c>
      <c r="G8" s="102">
        <v>6673</v>
      </c>
      <c r="H8" s="102">
        <v>7325</v>
      </c>
      <c r="I8" s="102">
        <v>6707</v>
      </c>
      <c r="J8" s="53">
        <f t="shared" si="0"/>
        <v>22461</v>
      </c>
      <c r="K8" s="53">
        <v>121421</v>
      </c>
      <c r="L8" s="102">
        <v>90080</v>
      </c>
      <c r="M8" s="102">
        <v>8173</v>
      </c>
      <c r="N8" s="102">
        <v>23168</v>
      </c>
      <c r="O8" s="53">
        <v>140057</v>
      </c>
      <c r="P8" s="102"/>
      <c r="Q8" s="102">
        <v>81759</v>
      </c>
      <c r="R8" s="102">
        <v>127</v>
      </c>
      <c r="S8" s="102">
        <v>3425</v>
      </c>
      <c r="T8" s="102">
        <v>73</v>
      </c>
      <c r="U8" s="102">
        <v>3062</v>
      </c>
      <c r="V8" s="102">
        <v>27248</v>
      </c>
      <c r="W8" s="102">
        <v>24363</v>
      </c>
      <c r="X8" s="102" t="s">
        <v>7</v>
      </c>
      <c r="Y8" s="106" t="s">
        <v>719</v>
      </c>
    </row>
    <row r="9" spans="1:25" ht="15.5" x14ac:dyDescent="0.3">
      <c r="A9" s="102">
        <v>8</v>
      </c>
      <c r="B9" s="102" t="s">
        <v>20</v>
      </c>
      <c r="C9" s="102" t="s">
        <v>21</v>
      </c>
      <c r="D9" s="53">
        <v>106798</v>
      </c>
      <c r="E9" s="53">
        <v>35647</v>
      </c>
      <c r="F9" s="102">
        <v>3311</v>
      </c>
      <c r="G9" s="102">
        <v>10357</v>
      </c>
      <c r="H9" s="102">
        <v>13671</v>
      </c>
      <c r="I9" s="102">
        <v>10747</v>
      </c>
      <c r="J9" s="53">
        <f t="shared" si="0"/>
        <v>38086</v>
      </c>
      <c r="K9" s="53">
        <v>159384</v>
      </c>
      <c r="L9" s="102">
        <v>125637</v>
      </c>
      <c r="M9" s="102">
        <v>9194</v>
      </c>
      <c r="N9" s="102">
        <v>24553</v>
      </c>
      <c r="O9" s="53">
        <v>185912</v>
      </c>
      <c r="P9" s="102"/>
      <c r="Q9" s="102">
        <v>83472</v>
      </c>
      <c r="R9" s="102">
        <v>1062</v>
      </c>
      <c r="S9" s="102">
        <v>7340</v>
      </c>
      <c r="T9" s="102"/>
      <c r="U9" s="102">
        <v>2809</v>
      </c>
      <c r="V9" s="102">
        <v>38389</v>
      </c>
      <c r="W9" s="102">
        <v>52840</v>
      </c>
      <c r="X9" s="102" t="s">
        <v>7</v>
      </c>
      <c r="Y9" s="106" t="s">
        <v>719</v>
      </c>
    </row>
    <row r="10" spans="1:25" ht="15.5" x14ac:dyDescent="0.3">
      <c r="A10" s="102">
        <v>9</v>
      </c>
      <c r="B10" s="102" t="s">
        <v>22</v>
      </c>
      <c r="C10" s="102" t="s">
        <v>23</v>
      </c>
      <c r="D10" s="53">
        <v>29576</v>
      </c>
      <c r="E10" s="53">
        <v>69622</v>
      </c>
      <c r="F10" s="102">
        <v>13505</v>
      </c>
      <c r="G10" s="102">
        <v>24493</v>
      </c>
      <c r="H10" s="102">
        <v>19927</v>
      </c>
      <c r="I10" s="102">
        <v>48704</v>
      </c>
      <c r="J10" s="53">
        <f t="shared" si="0"/>
        <v>106629</v>
      </c>
      <c r="K10" s="53">
        <v>36967</v>
      </c>
      <c r="L10" s="102">
        <v>18958</v>
      </c>
      <c r="M10" s="102">
        <v>7126</v>
      </c>
      <c r="N10" s="102">
        <v>10883</v>
      </c>
      <c r="O10" s="53">
        <v>681329</v>
      </c>
      <c r="P10" s="102"/>
      <c r="Q10" s="102">
        <v>255776</v>
      </c>
      <c r="R10" s="102">
        <v>33093</v>
      </c>
      <c r="S10" s="102">
        <v>92339</v>
      </c>
      <c r="T10" s="102">
        <v>776</v>
      </c>
      <c r="U10" s="102">
        <v>171239</v>
      </c>
      <c r="V10" s="102">
        <v>66802</v>
      </c>
      <c r="W10" s="102">
        <v>61304</v>
      </c>
      <c r="X10" s="102" t="s">
        <v>7</v>
      </c>
      <c r="Y10" s="106" t="s">
        <v>719</v>
      </c>
    </row>
    <row r="11" spans="1:25" ht="15.5" x14ac:dyDescent="0.3">
      <c r="A11" s="102">
        <v>10</v>
      </c>
      <c r="B11" s="102" t="s">
        <v>24</v>
      </c>
      <c r="C11" s="102" t="s">
        <v>25</v>
      </c>
      <c r="D11" s="53">
        <v>211003</v>
      </c>
      <c r="E11" s="53">
        <v>128311</v>
      </c>
      <c r="F11" s="102">
        <v>38093</v>
      </c>
      <c r="G11" s="102">
        <v>94466</v>
      </c>
      <c r="H11" s="102">
        <v>64120</v>
      </c>
      <c r="I11" s="102">
        <v>101853</v>
      </c>
      <c r="J11" s="53">
        <f t="shared" si="0"/>
        <v>298532</v>
      </c>
      <c r="K11" s="53">
        <v>197039</v>
      </c>
      <c r="L11" s="102">
        <v>116097</v>
      </c>
      <c r="M11" s="102">
        <v>20957</v>
      </c>
      <c r="N11" s="102">
        <v>59985</v>
      </c>
      <c r="O11" s="53">
        <v>1035229</v>
      </c>
      <c r="P11" s="102"/>
      <c r="Q11" s="102">
        <v>651645</v>
      </c>
      <c r="R11" s="102">
        <v>100519</v>
      </c>
      <c r="S11" s="102">
        <v>16072</v>
      </c>
      <c r="T11" s="102">
        <v>7880</v>
      </c>
      <c r="U11" s="102">
        <v>70923</v>
      </c>
      <c r="V11" s="102">
        <v>114615</v>
      </c>
      <c r="W11" s="102">
        <v>73575</v>
      </c>
      <c r="X11" s="102" t="s">
        <v>7</v>
      </c>
      <c r="Y11" s="106" t="s">
        <v>719</v>
      </c>
    </row>
    <row r="12" spans="1:25" ht="15.5" x14ac:dyDescent="0.3">
      <c r="A12" s="102">
        <v>11</v>
      </c>
      <c r="B12" s="102" t="s">
        <v>26</v>
      </c>
      <c r="C12" s="102" t="s">
        <v>27</v>
      </c>
      <c r="D12" s="53">
        <v>109172</v>
      </c>
      <c r="E12" s="53">
        <v>96947</v>
      </c>
      <c r="F12" s="102">
        <v>19745</v>
      </c>
      <c r="G12" s="102">
        <v>29895</v>
      </c>
      <c r="H12" s="102">
        <v>35244</v>
      </c>
      <c r="I12" s="102">
        <v>61900</v>
      </c>
      <c r="J12" s="53">
        <f t="shared" si="0"/>
        <v>146784</v>
      </c>
      <c r="K12" s="53">
        <v>144738</v>
      </c>
      <c r="L12" s="102">
        <v>92574</v>
      </c>
      <c r="M12" s="102">
        <v>11667</v>
      </c>
      <c r="N12" s="102">
        <v>40497</v>
      </c>
      <c r="O12" s="53">
        <v>656642</v>
      </c>
      <c r="P12" s="102">
        <v>21</v>
      </c>
      <c r="Q12" s="102">
        <v>382596</v>
      </c>
      <c r="R12" s="102">
        <v>54460</v>
      </c>
      <c r="S12" s="102">
        <v>16222</v>
      </c>
      <c r="T12" s="102">
        <v>72</v>
      </c>
      <c r="U12" s="102">
        <v>66491</v>
      </c>
      <c r="V12" s="102">
        <v>53802</v>
      </c>
      <c r="W12" s="102">
        <v>82978</v>
      </c>
      <c r="X12" s="102" t="s">
        <v>7</v>
      </c>
      <c r="Y12" s="106" t="s">
        <v>719</v>
      </c>
    </row>
    <row r="13" spans="1:25" ht="15.5" x14ac:dyDescent="0.3">
      <c r="A13" s="102">
        <v>12</v>
      </c>
      <c r="B13" s="102" t="s">
        <v>28</v>
      </c>
      <c r="C13" s="102" t="s">
        <v>29</v>
      </c>
      <c r="D13" s="53">
        <v>178603</v>
      </c>
      <c r="E13" s="53">
        <v>88659</v>
      </c>
      <c r="F13" s="102">
        <v>23693</v>
      </c>
      <c r="G13" s="102">
        <v>52152</v>
      </c>
      <c r="H13" s="102">
        <v>57744</v>
      </c>
      <c r="I13" s="102">
        <v>46475</v>
      </c>
      <c r="J13" s="53">
        <f t="shared" si="0"/>
        <v>180064</v>
      </c>
      <c r="K13" s="53">
        <v>134326</v>
      </c>
      <c r="L13" s="102">
        <v>91551</v>
      </c>
      <c r="M13" s="102">
        <v>12795</v>
      </c>
      <c r="N13" s="102">
        <v>29980</v>
      </c>
      <c r="O13" s="53">
        <v>470076</v>
      </c>
      <c r="P13" s="102"/>
      <c r="Q13" s="102">
        <v>336834</v>
      </c>
      <c r="R13" s="102">
        <v>29152</v>
      </c>
      <c r="S13" s="102">
        <v>3827</v>
      </c>
      <c r="T13" s="102">
        <v>148</v>
      </c>
      <c r="U13" s="102">
        <v>14878</v>
      </c>
      <c r="V13" s="102">
        <v>37942</v>
      </c>
      <c r="W13" s="102">
        <v>47295</v>
      </c>
      <c r="X13" s="102" t="s">
        <v>7</v>
      </c>
      <c r="Y13" s="106" t="s">
        <v>719</v>
      </c>
    </row>
    <row r="14" spans="1:25" ht="15.5" x14ac:dyDescent="0.3">
      <c r="A14" s="102">
        <v>13</v>
      </c>
      <c r="B14" s="102" t="s">
        <v>30</v>
      </c>
      <c r="C14" s="102" t="s">
        <v>31</v>
      </c>
      <c r="D14" s="53">
        <v>242378</v>
      </c>
      <c r="E14" s="53">
        <v>189039</v>
      </c>
      <c r="F14" s="102">
        <v>20937</v>
      </c>
      <c r="G14" s="102">
        <v>42111</v>
      </c>
      <c r="H14" s="102">
        <v>38044</v>
      </c>
      <c r="I14" s="102">
        <v>45723</v>
      </c>
      <c r="J14" s="53">
        <f t="shared" si="0"/>
        <v>146815</v>
      </c>
      <c r="K14" s="53">
        <v>172844</v>
      </c>
      <c r="L14" s="102">
        <v>138466</v>
      </c>
      <c r="M14" s="102">
        <v>8100</v>
      </c>
      <c r="N14" s="102">
        <v>26278</v>
      </c>
      <c r="O14" s="53">
        <v>447501</v>
      </c>
      <c r="P14" s="102">
        <v>68</v>
      </c>
      <c r="Q14" s="102">
        <v>254546</v>
      </c>
      <c r="R14" s="102">
        <v>32612</v>
      </c>
      <c r="S14" s="102">
        <v>28995</v>
      </c>
      <c r="T14" s="102">
        <v>147</v>
      </c>
      <c r="U14" s="102">
        <v>49803</v>
      </c>
      <c r="V14" s="102">
        <v>34463</v>
      </c>
      <c r="W14" s="102">
        <v>46867</v>
      </c>
      <c r="X14" s="102" t="s">
        <v>7</v>
      </c>
      <c r="Y14" s="106" t="s">
        <v>719</v>
      </c>
    </row>
    <row r="15" spans="1:25" ht="15.5" x14ac:dyDescent="0.3">
      <c r="A15" s="102">
        <v>14</v>
      </c>
      <c r="B15" s="102" t="s">
        <v>32</v>
      </c>
      <c r="C15" s="102" t="s">
        <v>33</v>
      </c>
      <c r="D15" s="53">
        <v>116343</v>
      </c>
      <c r="E15" s="53">
        <v>54744</v>
      </c>
      <c r="F15" s="102">
        <v>17570</v>
      </c>
      <c r="G15" s="102">
        <v>24729</v>
      </c>
      <c r="H15" s="102">
        <v>34586</v>
      </c>
      <c r="I15" s="102">
        <v>21602</v>
      </c>
      <c r="J15" s="53">
        <f t="shared" si="0"/>
        <v>98487</v>
      </c>
      <c r="K15" s="53">
        <v>135867</v>
      </c>
      <c r="L15" s="102">
        <v>99925</v>
      </c>
      <c r="M15" s="102">
        <v>8821</v>
      </c>
      <c r="N15" s="102">
        <v>27121</v>
      </c>
      <c r="O15" s="53">
        <v>396813</v>
      </c>
      <c r="P15" s="102">
        <v>198</v>
      </c>
      <c r="Q15" s="102">
        <v>324809</v>
      </c>
      <c r="R15" s="102">
        <v>8690</v>
      </c>
      <c r="S15" s="102">
        <v>4582</v>
      </c>
      <c r="T15" s="102">
        <v>264</v>
      </c>
      <c r="U15" s="102">
        <v>3981</v>
      </c>
      <c r="V15" s="102">
        <v>22190</v>
      </c>
      <c r="W15" s="102">
        <v>32099</v>
      </c>
      <c r="X15" s="102" t="s">
        <v>7</v>
      </c>
      <c r="Y15" s="106" t="s">
        <v>719</v>
      </c>
    </row>
    <row r="16" spans="1:25" ht="15.5" x14ac:dyDescent="0.3">
      <c r="A16" s="102">
        <v>15</v>
      </c>
      <c r="B16" s="102" t="s">
        <v>34</v>
      </c>
      <c r="C16" s="102" t="s">
        <v>35</v>
      </c>
      <c r="D16" s="53">
        <v>733274</v>
      </c>
      <c r="E16" s="53">
        <v>234167</v>
      </c>
      <c r="F16" s="102">
        <v>44696</v>
      </c>
      <c r="G16" s="102">
        <v>101857</v>
      </c>
      <c r="H16" s="102">
        <v>72662</v>
      </c>
      <c r="I16" s="102">
        <v>121533</v>
      </c>
      <c r="J16" s="53">
        <f t="shared" si="0"/>
        <v>340748</v>
      </c>
      <c r="K16" s="53">
        <v>345150</v>
      </c>
      <c r="L16" s="102">
        <v>264279</v>
      </c>
      <c r="M16" s="102">
        <v>27550</v>
      </c>
      <c r="N16" s="102">
        <v>53321</v>
      </c>
      <c r="O16" s="53">
        <v>946043</v>
      </c>
      <c r="P16" s="102">
        <v>137</v>
      </c>
      <c r="Q16" s="102">
        <v>596710</v>
      </c>
      <c r="R16" s="102">
        <v>66607</v>
      </c>
      <c r="S16" s="102">
        <v>23500</v>
      </c>
      <c r="T16" s="102">
        <v>3576</v>
      </c>
      <c r="U16" s="102">
        <v>85324</v>
      </c>
      <c r="V16" s="102">
        <v>100354</v>
      </c>
      <c r="W16" s="102">
        <v>69835</v>
      </c>
      <c r="X16" s="102" t="s">
        <v>7</v>
      </c>
      <c r="Y16" s="106" t="s">
        <v>719</v>
      </c>
    </row>
    <row r="17" spans="1:25" ht="15.5" x14ac:dyDescent="0.3">
      <c r="A17" s="102">
        <v>16</v>
      </c>
      <c r="B17" s="102" t="s">
        <v>36</v>
      </c>
      <c r="C17" s="102" t="s">
        <v>37</v>
      </c>
      <c r="D17" s="53">
        <v>479544</v>
      </c>
      <c r="E17" s="53">
        <v>340380</v>
      </c>
      <c r="F17" s="102">
        <v>50031</v>
      </c>
      <c r="G17" s="102">
        <v>129228</v>
      </c>
      <c r="H17" s="102">
        <v>103752</v>
      </c>
      <c r="I17" s="102">
        <v>67095</v>
      </c>
      <c r="J17" s="53">
        <f t="shared" si="0"/>
        <v>350106</v>
      </c>
      <c r="K17" s="53">
        <v>313741</v>
      </c>
      <c r="L17" s="102">
        <v>232068</v>
      </c>
      <c r="M17" s="102">
        <v>25615</v>
      </c>
      <c r="N17" s="102">
        <v>56058</v>
      </c>
      <c r="O17" s="53">
        <v>665553</v>
      </c>
      <c r="P17" s="102">
        <v>373</v>
      </c>
      <c r="Q17" s="102">
        <v>489199</v>
      </c>
      <c r="R17" s="102">
        <v>5356</v>
      </c>
      <c r="S17" s="102">
        <v>9726</v>
      </c>
      <c r="T17" s="102">
        <v>674</v>
      </c>
      <c r="U17" s="102">
        <v>24036</v>
      </c>
      <c r="V17" s="102">
        <v>75139</v>
      </c>
      <c r="W17" s="102">
        <v>61050</v>
      </c>
      <c r="X17" s="102" t="s">
        <v>7</v>
      </c>
      <c r="Y17" s="106" t="s">
        <v>719</v>
      </c>
    </row>
    <row r="18" spans="1:25" ht="15.5" x14ac:dyDescent="0.3">
      <c r="A18" s="102">
        <v>17</v>
      </c>
      <c r="B18" s="102" t="s">
        <v>38</v>
      </c>
      <c r="C18" s="102" t="s">
        <v>39</v>
      </c>
      <c r="D18" s="53">
        <v>236848</v>
      </c>
      <c r="E18" s="53">
        <v>109295</v>
      </c>
      <c r="F18" s="102">
        <v>50255</v>
      </c>
      <c r="G18" s="102">
        <v>110976</v>
      </c>
      <c r="H18" s="102">
        <v>65275</v>
      </c>
      <c r="I18" s="102">
        <v>100857</v>
      </c>
      <c r="J18" s="53">
        <f t="shared" si="0"/>
        <v>327363</v>
      </c>
      <c r="K18" s="53">
        <v>203891</v>
      </c>
      <c r="L18" s="102">
        <v>145191</v>
      </c>
      <c r="M18" s="102">
        <v>13282</v>
      </c>
      <c r="N18" s="102">
        <v>45418</v>
      </c>
      <c r="O18" s="53">
        <v>495278</v>
      </c>
      <c r="P18" s="102"/>
      <c r="Q18" s="102">
        <v>318163</v>
      </c>
      <c r="R18" s="102">
        <v>22677</v>
      </c>
      <c r="S18" s="102">
        <v>9286</v>
      </c>
      <c r="T18" s="102">
        <v>4286</v>
      </c>
      <c r="U18" s="102">
        <v>20132</v>
      </c>
      <c r="V18" s="102">
        <v>44412</v>
      </c>
      <c r="W18" s="102">
        <v>76322</v>
      </c>
      <c r="X18" s="102" t="s">
        <v>7</v>
      </c>
      <c r="Y18" s="106" t="s">
        <v>719</v>
      </c>
    </row>
    <row r="19" spans="1:25" ht="15.5" x14ac:dyDescent="0.3">
      <c r="A19" s="102">
        <v>18</v>
      </c>
      <c r="B19" s="102" t="s">
        <v>40</v>
      </c>
      <c r="C19" s="102" t="s">
        <v>41</v>
      </c>
      <c r="D19" s="53">
        <v>265495</v>
      </c>
      <c r="E19" s="53">
        <v>140972</v>
      </c>
      <c r="F19" s="102">
        <v>32472</v>
      </c>
      <c r="G19" s="102">
        <v>51560</v>
      </c>
      <c r="H19" s="102">
        <v>85757</v>
      </c>
      <c r="I19" s="102">
        <v>38081</v>
      </c>
      <c r="J19" s="53">
        <f t="shared" si="0"/>
        <v>207870</v>
      </c>
      <c r="K19" s="53">
        <v>217636</v>
      </c>
      <c r="L19" s="102">
        <v>165918</v>
      </c>
      <c r="M19" s="102">
        <v>11072</v>
      </c>
      <c r="N19" s="102">
        <v>40646</v>
      </c>
      <c r="O19" s="53">
        <v>365142</v>
      </c>
      <c r="P19" s="102"/>
      <c r="Q19" s="102">
        <v>254502</v>
      </c>
      <c r="R19" s="102">
        <v>8354</v>
      </c>
      <c r="S19" s="102">
        <v>6486</v>
      </c>
      <c r="T19" s="102">
        <v>429</v>
      </c>
      <c r="U19" s="102">
        <v>15465</v>
      </c>
      <c r="V19" s="102">
        <v>26569</v>
      </c>
      <c r="W19" s="102">
        <v>53337</v>
      </c>
      <c r="X19" s="102" t="s">
        <v>7</v>
      </c>
      <c r="Y19" s="106" t="s">
        <v>719</v>
      </c>
    </row>
    <row r="20" spans="1:25" ht="15.5" x14ac:dyDescent="0.3">
      <c r="A20" s="102">
        <v>19</v>
      </c>
      <c r="B20" s="102" t="s">
        <v>42</v>
      </c>
      <c r="C20" s="102" t="s">
        <v>43</v>
      </c>
      <c r="D20" s="53">
        <v>210276</v>
      </c>
      <c r="E20" s="53">
        <v>249555</v>
      </c>
      <c r="F20" s="102">
        <v>40690</v>
      </c>
      <c r="G20" s="102">
        <v>80770</v>
      </c>
      <c r="H20" s="102">
        <v>58948</v>
      </c>
      <c r="I20" s="102">
        <v>120595</v>
      </c>
      <c r="J20" s="53">
        <f t="shared" si="0"/>
        <v>301003</v>
      </c>
      <c r="K20" s="53">
        <v>323655</v>
      </c>
      <c r="L20" s="102">
        <v>219420</v>
      </c>
      <c r="M20" s="102">
        <v>23203</v>
      </c>
      <c r="N20" s="102">
        <v>81032</v>
      </c>
      <c r="O20" s="53">
        <v>1424608</v>
      </c>
      <c r="P20" s="102">
        <v>136</v>
      </c>
      <c r="Q20" s="102">
        <v>695125</v>
      </c>
      <c r="R20" s="102">
        <v>58683</v>
      </c>
      <c r="S20" s="102">
        <v>126993</v>
      </c>
      <c r="T20" s="102">
        <v>477</v>
      </c>
      <c r="U20" s="102">
        <v>236602</v>
      </c>
      <c r="V20" s="102">
        <v>148264</v>
      </c>
      <c r="W20" s="102">
        <v>158328</v>
      </c>
      <c r="X20" s="102" t="s">
        <v>7</v>
      </c>
      <c r="Y20" s="106" t="s">
        <v>719</v>
      </c>
    </row>
    <row r="21" spans="1:25" ht="15.5" x14ac:dyDescent="0.3">
      <c r="A21" s="102">
        <v>20</v>
      </c>
      <c r="B21" s="102" t="s">
        <v>44</v>
      </c>
      <c r="C21" s="102" t="s">
        <v>45</v>
      </c>
      <c r="D21" s="53">
        <v>135695</v>
      </c>
      <c r="E21" s="53">
        <v>44123</v>
      </c>
      <c r="F21" s="102">
        <v>11795</v>
      </c>
      <c r="G21" s="102">
        <v>15887</v>
      </c>
      <c r="H21" s="102">
        <v>21755</v>
      </c>
      <c r="I21" s="102">
        <v>22348</v>
      </c>
      <c r="J21" s="53">
        <f>SUM(F21:I21)</f>
        <v>71785</v>
      </c>
      <c r="K21" s="53">
        <v>124042</v>
      </c>
      <c r="L21" s="102">
        <v>99836</v>
      </c>
      <c r="M21" s="102">
        <v>5056</v>
      </c>
      <c r="N21" s="102">
        <v>19150</v>
      </c>
      <c r="O21" s="53">
        <v>254134</v>
      </c>
      <c r="P21" s="102"/>
      <c r="Q21" s="102">
        <v>152366</v>
      </c>
      <c r="R21" s="102">
        <v>13091</v>
      </c>
      <c r="S21" s="102">
        <v>9568</v>
      </c>
      <c r="T21" s="102">
        <v>102</v>
      </c>
      <c r="U21" s="102">
        <v>10895</v>
      </c>
      <c r="V21" s="102">
        <v>31310</v>
      </c>
      <c r="W21" s="102">
        <v>36802</v>
      </c>
      <c r="X21" s="102" t="s">
        <v>7</v>
      </c>
      <c r="Y21" s="106" t="s">
        <v>719</v>
      </c>
    </row>
    <row r="22" spans="1:25" ht="15.5" x14ac:dyDescent="0.3">
      <c r="A22" s="102">
        <v>21</v>
      </c>
      <c r="B22" s="102" t="s">
        <v>46</v>
      </c>
      <c r="C22" s="102" t="s">
        <v>47</v>
      </c>
      <c r="D22" s="53">
        <v>23573</v>
      </c>
      <c r="E22" s="53">
        <v>9152</v>
      </c>
      <c r="F22" s="102">
        <v>2330</v>
      </c>
      <c r="G22" s="102">
        <v>4194</v>
      </c>
      <c r="H22" s="102">
        <v>5511</v>
      </c>
      <c r="I22" s="102">
        <v>5182</v>
      </c>
      <c r="J22" s="53">
        <f t="shared" si="0"/>
        <v>17217</v>
      </c>
      <c r="K22" s="53">
        <v>25224</v>
      </c>
      <c r="L22" s="102">
        <v>16143</v>
      </c>
      <c r="M22" s="102">
        <v>2085</v>
      </c>
      <c r="N22" s="102">
        <v>6996</v>
      </c>
      <c r="O22" s="53">
        <v>81401</v>
      </c>
      <c r="P22" s="102"/>
      <c r="Q22" s="102">
        <v>29179</v>
      </c>
      <c r="R22" s="102">
        <v>7542</v>
      </c>
      <c r="S22" s="102">
        <v>25197</v>
      </c>
      <c r="T22" s="102">
        <v>32</v>
      </c>
      <c r="U22" s="102">
        <v>3411</v>
      </c>
      <c r="V22" s="102">
        <v>4906</v>
      </c>
      <c r="W22" s="102">
        <v>11134</v>
      </c>
      <c r="X22" s="102" t="s">
        <v>7</v>
      </c>
      <c r="Y22" s="106" t="s">
        <v>719</v>
      </c>
    </row>
    <row r="23" spans="1:25" ht="15.5" x14ac:dyDescent="0.3">
      <c r="A23" s="102">
        <v>22</v>
      </c>
      <c r="B23" s="102" t="s">
        <v>48</v>
      </c>
      <c r="C23" s="102" t="s">
        <v>49</v>
      </c>
      <c r="D23" s="53">
        <v>98603</v>
      </c>
      <c r="E23" s="53">
        <v>46668</v>
      </c>
      <c r="F23" s="102">
        <v>31841</v>
      </c>
      <c r="G23" s="102">
        <v>53763</v>
      </c>
      <c r="H23" s="102">
        <v>35207</v>
      </c>
      <c r="I23" s="102">
        <v>55563</v>
      </c>
      <c r="J23" s="53">
        <f t="shared" si="0"/>
        <v>176374</v>
      </c>
      <c r="K23" s="53">
        <v>84911</v>
      </c>
      <c r="L23" s="102">
        <v>51338</v>
      </c>
      <c r="M23" s="102">
        <v>12931</v>
      </c>
      <c r="N23" s="102">
        <v>20642</v>
      </c>
      <c r="O23" s="53">
        <v>392063</v>
      </c>
      <c r="P23" s="102"/>
      <c r="Q23" s="102">
        <v>268842</v>
      </c>
      <c r="R23" s="102">
        <v>21774</v>
      </c>
      <c r="S23" s="102">
        <v>18441</v>
      </c>
      <c r="T23" s="102">
        <v>101</v>
      </c>
      <c r="U23" s="102">
        <v>15030</v>
      </c>
      <c r="V23" s="102">
        <v>24338</v>
      </c>
      <c r="W23" s="102">
        <v>43537</v>
      </c>
      <c r="X23" s="102" t="s">
        <v>7</v>
      </c>
      <c r="Y23" s="106" t="s">
        <v>719</v>
      </c>
    </row>
    <row r="24" spans="1:25" ht="15.5" x14ac:dyDescent="0.3">
      <c r="A24" s="102">
        <v>23</v>
      </c>
      <c r="B24" s="102" t="s">
        <v>50</v>
      </c>
      <c r="C24" s="102" t="s">
        <v>51</v>
      </c>
      <c r="D24" s="53">
        <v>204904</v>
      </c>
      <c r="E24" s="53">
        <v>132036</v>
      </c>
      <c r="F24" s="102">
        <v>19816</v>
      </c>
      <c r="G24" s="102">
        <v>58032</v>
      </c>
      <c r="H24" s="102">
        <v>48331</v>
      </c>
      <c r="I24" s="102">
        <v>44298</v>
      </c>
      <c r="J24" s="53">
        <f t="shared" si="0"/>
        <v>170477</v>
      </c>
      <c r="K24" s="53">
        <v>296875</v>
      </c>
      <c r="L24" s="102">
        <v>211983</v>
      </c>
      <c r="M24" s="102">
        <v>38573</v>
      </c>
      <c r="N24" s="102">
        <v>46319</v>
      </c>
      <c r="O24" s="53">
        <v>520613</v>
      </c>
      <c r="P24" s="102">
        <v>484</v>
      </c>
      <c r="Q24" s="102">
        <v>339066</v>
      </c>
      <c r="R24" s="102">
        <v>4548</v>
      </c>
      <c r="S24" s="102">
        <v>33228</v>
      </c>
      <c r="T24" s="102">
        <v>126</v>
      </c>
      <c r="U24" s="102">
        <v>16942</v>
      </c>
      <c r="V24" s="102">
        <v>39554</v>
      </c>
      <c r="W24" s="102">
        <v>86665</v>
      </c>
      <c r="X24" s="102" t="s">
        <v>7</v>
      </c>
      <c r="Y24" s="106" t="s">
        <v>719</v>
      </c>
    </row>
    <row r="25" spans="1:25" ht="15.5" x14ac:dyDescent="0.3">
      <c r="A25" s="102">
        <v>24</v>
      </c>
      <c r="B25" s="102" t="s">
        <v>52</v>
      </c>
      <c r="C25" s="102" t="s">
        <v>53</v>
      </c>
      <c r="D25" s="53">
        <v>51303</v>
      </c>
      <c r="E25" s="53">
        <v>25397</v>
      </c>
      <c r="F25" s="102">
        <v>9776</v>
      </c>
      <c r="G25" s="102">
        <v>21472</v>
      </c>
      <c r="H25" s="102">
        <v>25209</v>
      </c>
      <c r="I25" s="102">
        <v>13704</v>
      </c>
      <c r="J25" s="53">
        <f t="shared" si="0"/>
        <v>70161</v>
      </c>
      <c r="K25" s="53">
        <v>104349</v>
      </c>
      <c r="L25" s="102">
        <v>81775</v>
      </c>
      <c r="M25" s="102">
        <v>5438</v>
      </c>
      <c r="N25" s="102">
        <v>17136</v>
      </c>
      <c r="O25" s="53">
        <v>163142</v>
      </c>
      <c r="P25" s="102"/>
      <c r="Q25" s="102">
        <v>103570</v>
      </c>
      <c r="R25" s="102">
        <v>1023</v>
      </c>
      <c r="S25" s="102">
        <v>14107</v>
      </c>
      <c r="T25" s="102">
        <v>189</v>
      </c>
      <c r="U25" s="102">
        <v>2634</v>
      </c>
      <c r="V25" s="102">
        <v>13491</v>
      </c>
      <c r="W25" s="102">
        <v>28128</v>
      </c>
      <c r="X25" s="102" t="s">
        <v>7</v>
      </c>
      <c r="Y25" s="106" t="s">
        <v>719</v>
      </c>
    </row>
    <row r="26" spans="1:25" ht="15.5" x14ac:dyDescent="0.3">
      <c r="A26" s="102">
        <v>25</v>
      </c>
      <c r="B26" s="102" t="s">
        <v>54</v>
      </c>
      <c r="C26" s="102" t="s">
        <v>350</v>
      </c>
      <c r="D26" s="53">
        <v>105040</v>
      </c>
      <c r="E26" s="53">
        <v>45861</v>
      </c>
      <c r="F26" s="102">
        <v>21259</v>
      </c>
      <c r="G26" s="102">
        <v>28901</v>
      </c>
      <c r="H26" s="102">
        <v>28131</v>
      </c>
      <c r="I26" s="102">
        <v>16635</v>
      </c>
      <c r="J26" s="53">
        <f t="shared" si="0"/>
        <v>94926</v>
      </c>
      <c r="K26" s="53">
        <v>124513</v>
      </c>
      <c r="L26" s="102">
        <v>99837</v>
      </c>
      <c r="M26" s="102">
        <v>8054</v>
      </c>
      <c r="N26" s="102">
        <v>16622</v>
      </c>
      <c r="O26" s="53">
        <v>238004</v>
      </c>
      <c r="P26" s="102"/>
      <c r="Q26" s="102">
        <v>142994</v>
      </c>
      <c r="R26" s="102">
        <v>1232</v>
      </c>
      <c r="S26" s="102">
        <v>25294</v>
      </c>
      <c r="T26" s="102">
        <v>294</v>
      </c>
      <c r="U26" s="102">
        <v>12313</v>
      </c>
      <c r="V26" s="102">
        <v>23865</v>
      </c>
      <c r="W26" s="102">
        <v>32012</v>
      </c>
      <c r="X26" s="102" t="s">
        <v>7</v>
      </c>
      <c r="Y26" s="106" t="s">
        <v>719</v>
      </c>
    </row>
    <row r="27" spans="1:25" ht="15.5" x14ac:dyDescent="0.3">
      <c r="A27" s="102">
        <v>26</v>
      </c>
      <c r="B27" s="102" t="s">
        <v>55</v>
      </c>
      <c r="C27" s="102" t="s">
        <v>56</v>
      </c>
      <c r="D27" s="53">
        <v>6074</v>
      </c>
      <c r="E27" s="53">
        <v>2644</v>
      </c>
      <c r="F27" s="102">
        <v>4022</v>
      </c>
      <c r="G27" s="102">
        <v>4174</v>
      </c>
      <c r="H27" s="102">
        <v>2024</v>
      </c>
      <c r="I27" s="102">
        <v>895</v>
      </c>
      <c r="J27" s="53">
        <f t="shared" si="0"/>
        <v>11115</v>
      </c>
      <c r="K27" s="53">
        <v>10147</v>
      </c>
      <c r="L27" s="102">
        <v>8950</v>
      </c>
      <c r="M27" s="102">
        <v>284</v>
      </c>
      <c r="N27" s="102">
        <v>913</v>
      </c>
      <c r="O27" s="53">
        <v>25232</v>
      </c>
      <c r="P27" s="102"/>
      <c r="Q27" s="102">
        <v>14231</v>
      </c>
      <c r="R27" s="102"/>
      <c r="S27" s="102">
        <v>5705</v>
      </c>
      <c r="T27" s="102"/>
      <c r="U27" s="102">
        <v>1058</v>
      </c>
      <c r="V27" s="102">
        <v>1012</v>
      </c>
      <c r="W27" s="102">
        <v>3226</v>
      </c>
      <c r="X27" s="102" t="s">
        <v>7</v>
      </c>
      <c r="Y27" s="106" t="s">
        <v>719</v>
      </c>
    </row>
    <row r="28" spans="1:25" ht="15.5" x14ac:dyDescent="0.3">
      <c r="A28" s="102">
        <v>27</v>
      </c>
      <c r="B28" s="102" t="s">
        <v>57</v>
      </c>
      <c r="C28" s="102" t="s">
        <v>58</v>
      </c>
      <c r="D28" s="53">
        <v>81999</v>
      </c>
      <c r="E28" s="53">
        <v>59278</v>
      </c>
      <c r="F28" s="102">
        <v>16410</v>
      </c>
      <c r="G28" s="102">
        <v>42494</v>
      </c>
      <c r="H28" s="102">
        <v>44229</v>
      </c>
      <c r="I28" s="102">
        <v>31490</v>
      </c>
      <c r="J28" s="53">
        <f t="shared" si="0"/>
        <v>134623</v>
      </c>
      <c r="K28" s="53">
        <v>156133</v>
      </c>
      <c r="L28" s="102">
        <v>111595</v>
      </c>
      <c r="M28" s="102">
        <v>19772</v>
      </c>
      <c r="N28" s="102">
        <v>24766</v>
      </c>
      <c r="O28" s="53">
        <v>320748</v>
      </c>
      <c r="P28" s="102">
        <v>677</v>
      </c>
      <c r="Q28" s="102">
        <v>210125</v>
      </c>
      <c r="R28" s="102">
        <v>409</v>
      </c>
      <c r="S28" s="102">
        <v>13082</v>
      </c>
      <c r="T28" s="102">
        <v>1164</v>
      </c>
      <c r="U28" s="102">
        <v>16606</v>
      </c>
      <c r="V28" s="102">
        <v>28219</v>
      </c>
      <c r="W28" s="102">
        <v>50466</v>
      </c>
      <c r="X28" s="102" t="s">
        <v>7</v>
      </c>
      <c r="Y28" s="106" t="s">
        <v>719</v>
      </c>
    </row>
    <row r="29" spans="1:25" ht="15.5" x14ac:dyDescent="0.3">
      <c r="A29" s="102">
        <v>28</v>
      </c>
      <c r="B29" s="102" t="s">
        <v>59</v>
      </c>
      <c r="C29" s="102" t="s">
        <v>60</v>
      </c>
      <c r="D29" s="53">
        <v>32600</v>
      </c>
      <c r="E29" s="53">
        <v>16122</v>
      </c>
      <c r="F29" s="102">
        <v>5166</v>
      </c>
      <c r="G29" s="102">
        <v>14819</v>
      </c>
      <c r="H29" s="102">
        <v>15562</v>
      </c>
      <c r="I29" s="102">
        <v>8318</v>
      </c>
      <c r="J29" s="53">
        <f t="shared" si="0"/>
        <v>43865</v>
      </c>
      <c r="K29" s="53">
        <v>110014</v>
      </c>
      <c r="L29" s="102">
        <v>93250</v>
      </c>
      <c r="M29" s="102">
        <v>4888</v>
      </c>
      <c r="N29" s="102">
        <v>11876</v>
      </c>
      <c r="O29" s="53">
        <v>124241</v>
      </c>
      <c r="P29" s="102">
        <v>162</v>
      </c>
      <c r="Q29" s="102">
        <v>73352</v>
      </c>
      <c r="R29" s="102">
        <v>115</v>
      </c>
      <c r="S29" s="102">
        <v>3985</v>
      </c>
      <c r="T29" s="102">
        <v>268</v>
      </c>
      <c r="U29" s="102">
        <v>4631</v>
      </c>
      <c r="V29" s="102">
        <v>11910</v>
      </c>
      <c r="W29" s="102">
        <v>29818</v>
      </c>
      <c r="X29" s="102" t="s">
        <v>7</v>
      </c>
      <c r="Y29" s="106" t="s">
        <v>719</v>
      </c>
    </row>
    <row r="30" spans="1:25" ht="15.5" x14ac:dyDescent="0.3">
      <c r="A30" s="102">
        <v>29</v>
      </c>
      <c r="B30" s="102" t="s">
        <v>61</v>
      </c>
      <c r="C30" s="102" t="s">
        <v>62</v>
      </c>
      <c r="D30" s="53">
        <v>7280</v>
      </c>
      <c r="E30" s="53">
        <v>5940</v>
      </c>
      <c r="F30" s="102">
        <v>3273</v>
      </c>
      <c r="G30" s="102">
        <v>6532</v>
      </c>
      <c r="H30" s="102">
        <v>5092</v>
      </c>
      <c r="I30" s="102">
        <v>2274</v>
      </c>
      <c r="J30" s="53">
        <f t="shared" si="0"/>
        <v>17171</v>
      </c>
      <c r="K30" s="53">
        <v>30854</v>
      </c>
      <c r="L30" s="102">
        <v>26821</v>
      </c>
      <c r="M30" s="102">
        <v>1001</v>
      </c>
      <c r="N30" s="102">
        <v>3032</v>
      </c>
      <c r="O30" s="53">
        <v>41828</v>
      </c>
      <c r="P30" s="102"/>
      <c r="Q30" s="102">
        <v>29275</v>
      </c>
      <c r="R30" s="102">
        <v>59</v>
      </c>
      <c r="S30" s="102">
        <v>2571</v>
      </c>
      <c r="T30" s="102">
        <v>7</v>
      </c>
      <c r="U30" s="102">
        <v>2037</v>
      </c>
      <c r="V30" s="102">
        <v>3678</v>
      </c>
      <c r="W30" s="102">
        <v>4201</v>
      </c>
      <c r="X30" s="102" t="s">
        <v>7</v>
      </c>
      <c r="Y30" s="106" t="s">
        <v>719</v>
      </c>
    </row>
    <row r="31" spans="1:25" ht="15.5" x14ac:dyDescent="0.3">
      <c r="A31" s="102">
        <v>30</v>
      </c>
      <c r="B31" s="102" t="s">
        <v>63</v>
      </c>
      <c r="C31" s="102" t="s">
        <v>64</v>
      </c>
      <c r="D31" s="53">
        <v>12833</v>
      </c>
      <c r="E31" s="53">
        <v>15085</v>
      </c>
      <c r="F31" s="102">
        <v>1154</v>
      </c>
      <c r="G31" s="102">
        <v>7373</v>
      </c>
      <c r="H31" s="102">
        <v>3014</v>
      </c>
      <c r="I31" s="102">
        <v>6973</v>
      </c>
      <c r="J31" s="53">
        <f t="shared" si="0"/>
        <v>18514</v>
      </c>
      <c r="K31" s="53">
        <v>41445</v>
      </c>
      <c r="L31" s="102">
        <v>34743</v>
      </c>
      <c r="M31" s="102">
        <v>2481</v>
      </c>
      <c r="N31" s="102">
        <v>4221</v>
      </c>
      <c r="O31" s="53">
        <v>49146</v>
      </c>
      <c r="P31" s="102"/>
      <c r="Q31" s="102">
        <v>32619</v>
      </c>
      <c r="R31" s="102">
        <v>272</v>
      </c>
      <c r="S31" s="102">
        <v>2533</v>
      </c>
      <c r="T31" s="102"/>
      <c r="U31" s="102">
        <v>1426</v>
      </c>
      <c r="V31" s="102">
        <v>3352</v>
      </c>
      <c r="W31" s="102">
        <v>8944</v>
      </c>
      <c r="X31" s="102" t="s">
        <v>7</v>
      </c>
      <c r="Y31" s="106" t="s">
        <v>719</v>
      </c>
    </row>
    <row r="32" spans="1:25" ht="15.5" x14ac:dyDescent="0.3">
      <c r="A32" s="102">
        <v>31</v>
      </c>
      <c r="B32" s="102" t="s">
        <v>65</v>
      </c>
      <c r="C32" s="102" t="s">
        <v>66</v>
      </c>
      <c r="D32" s="53">
        <v>50303</v>
      </c>
      <c r="E32" s="53">
        <v>29771</v>
      </c>
      <c r="F32" s="102">
        <v>3482</v>
      </c>
      <c r="G32" s="102">
        <v>9889</v>
      </c>
      <c r="H32" s="102">
        <v>6578</v>
      </c>
      <c r="I32" s="102">
        <v>7850</v>
      </c>
      <c r="J32" s="53">
        <f t="shared" si="0"/>
        <v>27799</v>
      </c>
      <c r="K32" s="53">
        <v>113033</v>
      </c>
      <c r="L32" s="102">
        <v>88184</v>
      </c>
      <c r="M32" s="102">
        <v>12421</v>
      </c>
      <c r="N32" s="102">
        <v>12428</v>
      </c>
      <c r="O32" s="53">
        <v>166465</v>
      </c>
      <c r="P32" s="102"/>
      <c r="Q32" s="102">
        <v>118774</v>
      </c>
      <c r="R32" s="102">
        <v>69</v>
      </c>
      <c r="S32" s="102">
        <v>9603</v>
      </c>
      <c r="T32" s="102">
        <v>3628</v>
      </c>
      <c r="U32" s="102">
        <v>6245</v>
      </c>
      <c r="V32" s="102">
        <v>12276</v>
      </c>
      <c r="W32" s="102">
        <v>15870</v>
      </c>
      <c r="X32" s="102" t="s">
        <v>7</v>
      </c>
      <c r="Y32" s="106" t="s">
        <v>719</v>
      </c>
    </row>
  </sheetData>
  <phoneticPr fontId="24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32"/>
  <sheetViews>
    <sheetView workbookViewId="0">
      <selection activeCell="G32" sqref="G32"/>
    </sheetView>
  </sheetViews>
  <sheetFormatPr defaultColWidth="9" defaultRowHeight="14" x14ac:dyDescent="0.3"/>
  <cols>
    <col min="1" max="1" width="4.08203125" customWidth="1"/>
    <col min="2" max="2" width="12.58203125" customWidth="1"/>
    <col min="3" max="3" width="14.25" customWidth="1"/>
  </cols>
  <sheetData>
    <row r="1" spans="1:7" s="48" customFormat="1" ht="15" x14ac:dyDescent="0.3">
      <c r="A1" s="53" t="s">
        <v>0</v>
      </c>
      <c r="B1" s="53" t="s">
        <v>1</v>
      </c>
      <c r="C1" s="53" t="s">
        <v>2</v>
      </c>
      <c r="D1" s="53" t="s">
        <v>89</v>
      </c>
      <c r="E1" s="53" t="s">
        <v>90</v>
      </c>
      <c r="F1" s="53" t="s">
        <v>91</v>
      </c>
      <c r="G1" s="50" t="s">
        <v>4</v>
      </c>
    </row>
    <row r="2" spans="1:7" ht="15.5" x14ac:dyDescent="0.3">
      <c r="A2" s="102">
        <v>1</v>
      </c>
      <c r="B2" s="102" t="s">
        <v>5</v>
      </c>
      <c r="C2" s="102" t="s">
        <v>6</v>
      </c>
      <c r="D2" s="102">
        <v>16784</v>
      </c>
      <c r="E2" s="102">
        <v>57</v>
      </c>
      <c r="F2" s="102">
        <f>SUM(D2:E2)</f>
        <v>16841</v>
      </c>
      <c r="G2" s="102" t="s">
        <v>92</v>
      </c>
    </row>
    <row r="3" spans="1:7" ht="15.5" x14ac:dyDescent="0.3">
      <c r="A3" s="102">
        <v>2</v>
      </c>
      <c r="B3" s="102" t="s">
        <v>8</v>
      </c>
      <c r="C3" s="102" t="s">
        <v>9</v>
      </c>
      <c r="D3" s="102">
        <v>6184</v>
      </c>
      <c r="E3" s="102">
        <v>245</v>
      </c>
      <c r="F3" s="102">
        <f t="shared" ref="F3:F32" si="0">SUM(D3:E3)</f>
        <v>6429</v>
      </c>
      <c r="G3" s="102" t="s">
        <v>92</v>
      </c>
    </row>
    <row r="4" spans="1:7" ht="15.5" x14ac:dyDescent="0.3">
      <c r="A4" s="102">
        <v>3</v>
      </c>
      <c r="B4" s="102" t="s">
        <v>10</v>
      </c>
      <c r="C4" s="102" t="s">
        <v>11</v>
      </c>
      <c r="D4" s="102">
        <v>20155</v>
      </c>
      <c r="E4" s="102">
        <v>148</v>
      </c>
      <c r="F4" s="102">
        <f t="shared" si="0"/>
        <v>20303</v>
      </c>
      <c r="G4" s="102" t="s">
        <v>92</v>
      </c>
    </row>
    <row r="5" spans="1:7" ht="15.5" x14ac:dyDescent="0.3">
      <c r="A5" s="102">
        <v>4</v>
      </c>
      <c r="B5" s="102" t="s">
        <v>12</v>
      </c>
      <c r="C5" s="102" t="s">
        <v>13</v>
      </c>
      <c r="D5" s="102">
        <v>5793</v>
      </c>
      <c r="E5" s="102">
        <v>385</v>
      </c>
      <c r="F5" s="102">
        <f t="shared" si="0"/>
        <v>6178</v>
      </c>
      <c r="G5" s="102" t="s">
        <v>92</v>
      </c>
    </row>
    <row r="6" spans="1:7" ht="15.5" x14ac:dyDescent="0.3">
      <c r="A6" s="102">
        <v>5</v>
      </c>
      <c r="B6" s="102" t="s">
        <v>14</v>
      </c>
      <c r="C6" s="102" t="s">
        <v>15</v>
      </c>
      <c r="D6" s="102">
        <v>7285</v>
      </c>
      <c r="E6" s="102">
        <v>313</v>
      </c>
      <c r="F6" s="102">
        <f t="shared" si="0"/>
        <v>7598</v>
      </c>
      <c r="G6" s="102" t="s">
        <v>92</v>
      </c>
    </row>
    <row r="7" spans="1:7" ht="15.5" x14ac:dyDescent="0.3">
      <c r="A7" s="102">
        <v>6</v>
      </c>
      <c r="B7" s="102" t="s">
        <v>16</v>
      </c>
      <c r="C7" s="102" t="s">
        <v>17</v>
      </c>
      <c r="D7" s="102">
        <v>17749</v>
      </c>
      <c r="E7" s="102"/>
      <c r="F7" s="102">
        <f t="shared" si="0"/>
        <v>17749</v>
      </c>
      <c r="G7" s="102" t="s">
        <v>92</v>
      </c>
    </row>
    <row r="8" spans="1:7" ht="15.5" x14ac:dyDescent="0.3">
      <c r="A8" s="102">
        <v>7</v>
      </c>
      <c r="B8" s="102" t="s">
        <v>18</v>
      </c>
      <c r="C8" s="102" t="s">
        <v>19</v>
      </c>
      <c r="D8" s="102">
        <v>16030</v>
      </c>
      <c r="E8" s="102">
        <v>782</v>
      </c>
      <c r="F8" s="102">
        <f t="shared" si="0"/>
        <v>16812</v>
      </c>
      <c r="G8" s="102" t="s">
        <v>92</v>
      </c>
    </row>
    <row r="9" spans="1:7" ht="15.5" x14ac:dyDescent="0.3">
      <c r="A9" s="102">
        <v>8</v>
      </c>
      <c r="B9" s="102" t="s">
        <v>20</v>
      </c>
      <c r="C9" s="102" t="s">
        <v>21</v>
      </c>
      <c r="D9" s="102">
        <v>11911</v>
      </c>
      <c r="E9" s="102">
        <v>1252</v>
      </c>
      <c r="F9" s="102">
        <f t="shared" si="0"/>
        <v>13163</v>
      </c>
      <c r="G9" s="102" t="s">
        <v>92</v>
      </c>
    </row>
    <row r="10" spans="1:7" ht="15.5" x14ac:dyDescent="0.3">
      <c r="A10" s="102">
        <v>9</v>
      </c>
      <c r="B10" s="102" t="s">
        <v>22</v>
      </c>
      <c r="C10" s="102" t="s">
        <v>23</v>
      </c>
      <c r="D10" s="102">
        <v>26519</v>
      </c>
      <c r="E10" s="102">
        <v>562</v>
      </c>
      <c r="F10" s="102">
        <f t="shared" si="0"/>
        <v>27081</v>
      </c>
      <c r="G10" s="102" t="s">
        <v>92</v>
      </c>
    </row>
    <row r="11" spans="1:7" ht="15.5" x14ac:dyDescent="0.3">
      <c r="A11" s="102">
        <v>10</v>
      </c>
      <c r="B11" s="102" t="s">
        <v>24</v>
      </c>
      <c r="C11" s="102" t="s">
        <v>25</v>
      </c>
      <c r="D11" s="102">
        <v>36330</v>
      </c>
      <c r="E11" s="102">
        <v>1474</v>
      </c>
      <c r="F11" s="102">
        <f t="shared" si="0"/>
        <v>37804</v>
      </c>
      <c r="G11" s="102" t="s">
        <v>92</v>
      </c>
    </row>
    <row r="12" spans="1:7" ht="15.5" x14ac:dyDescent="0.3">
      <c r="A12" s="102">
        <v>11</v>
      </c>
      <c r="B12" s="102" t="s">
        <v>26</v>
      </c>
      <c r="C12" s="102" t="s">
        <v>27</v>
      </c>
      <c r="D12" s="102">
        <v>23688</v>
      </c>
      <c r="E12" s="102">
        <v>83</v>
      </c>
      <c r="F12" s="102">
        <f t="shared" si="0"/>
        <v>23771</v>
      </c>
      <c r="G12" s="102" t="s">
        <v>92</v>
      </c>
    </row>
    <row r="13" spans="1:7" ht="15.5" x14ac:dyDescent="0.3">
      <c r="A13" s="102">
        <v>12</v>
      </c>
      <c r="B13" s="102" t="s">
        <v>28</v>
      </c>
      <c r="C13" s="102" t="s">
        <v>29</v>
      </c>
      <c r="D13" s="102">
        <v>15197</v>
      </c>
      <c r="E13" s="102">
        <v>222</v>
      </c>
      <c r="F13" s="102">
        <f t="shared" si="0"/>
        <v>15419</v>
      </c>
      <c r="G13" s="102" t="s">
        <v>92</v>
      </c>
    </row>
    <row r="14" spans="1:7" ht="15.5" x14ac:dyDescent="0.3">
      <c r="A14" s="102">
        <v>13</v>
      </c>
      <c r="B14" s="102" t="s">
        <v>30</v>
      </c>
      <c r="C14" s="102" t="s">
        <v>31</v>
      </c>
      <c r="D14" s="102">
        <v>4677</v>
      </c>
      <c r="E14" s="102">
        <v>1094</v>
      </c>
      <c r="F14" s="102">
        <f t="shared" si="0"/>
        <v>5771</v>
      </c>
      <c r="G14" s="102" t="s">
        <v>92</v>
      </c>
    </row>
    <row r="15" spans="1:7" ht="15.5" x14ac:dyDescent="0.3">
      <c r="A15" s="102">
        <v>14</v>
      </c>
      <c r="B15" s="102" t="s">
        <v>32</v>
      </c>
      <c r="C15" s="102" t="s">
        <v>33</v>
      </c>
      <c r="D15" s="102">
        <v>10582</v>
      </c>
      <c r="E15" s="102">
        <v>131</v>
      </c>
      <c r="F15" s="102">
        <f t="shared" si="0"/>
        <v>10713</v>
      </c>
      <c r="G15" s="102" t="s">
        <v>92</v>
      </c>
    </row>
    <row r="16" spans="1:7" ht="15.5" x14ac:dyDescent="0.3">
      <c r="A16" s="102">
        <v>15</v>
      </c>
      <c r="B16" s="102" t="s">
        <v>34</v>
      </c>
      <c r="C16" s="102" t="s">
        <v>35</v>
      </c>
      <c r="D16" s="102">
        <v>25994</v>
      </c>
      <c r="E16" s="102"/>
      <c r="F16" s="102">
        <f t="shared" si="0"/>
        <v>25994</v>
      </c>
      <c r="G16" s="102" t="s">
        <v>92</v>
      </c>
    </row>
    <row r="17" spans="1:7" ht="15.5" x14ac:dyDescent="0.3">
      <c r="A17" s="102">
        <v>16</v>
      </c>
      <c r="B17" s="102" t="s">
        <v>36</v>
      </c>
      <c r="C17" s="102" t="s">
        <v>37</v>
      </c>
      <c r="D17" s="102">
        <v>14532</v>
      </c>
      <c r="E17" s="102">
        <v>806</v>
      </c>
      <c r="F17" s="102">
        <f t="shared" si="0"/>
        <v>15338</v>
      </c>
      <c r="G17" s="102" t="s">
        <v>92</v>
      </c>
    </row>
    <row r="18" spans="1:7" ht="15.5" x14ac:dyDescent="0.3">
      <c r="A18" s="102">
        <v>17</v>
      </c>
      <c r="B18" s="102" t="s">
        <v>38</v>
      </c>
      <c r="C18" s="102" t="s">
        <v>39</v>
      </c>
      <c r="D18" s="102">
        <v>16427</v>
      </c>
      <c r="E18" s="102">
        <v>464</v>
      </c>
      <c r="F18" s="102">
        <f t="shared" si="0"/>
        <v>16891</v>
      </c>
      <c r="G18" s="102" t="s">
        <v>92</v>
      </c>
    </row>
    <row r="19" spans="1:7" ht="15.5" x14ac:dyDescent="0.3">
      <c r="A19" s="102">
        <v>18</v>
      </c>
      <c r="B19" s="102" t="s">
        <v>40</v>
      </c>
      <c r="C19" s="102" t="s">
        <v>41</v>
      </c>
      <c r="D19" s="102">
        <v>12966</v>
      </c>
      <c r="E19" s="102">
        <v>1747</v>
      </c>
      <c r="F19" s="102">
        <f t="shared" si="0"/>
        <v>14713</v>
      </c>
      <c r="G19" s="102" t="s">
        <v>92</v>
      </c>
    </row>
    <row r="20" spans="1:7" ht="15.5" x14ac:dyDescent="0.3">
      <c r="A20" s="102">
        <v>19</v>
      </c>
      <c r="B20" s="102" t="s">
        <v>42</v>
      </c>
      <c r="C20" s="102" t="s">
        <v>43</v>
      </c>
      <c r="D20" s="102">
        <v>24834</v>
      </c>
      <c r="E20" s="102">
        <v>566</v>
      </c>
      <c r="F20" s="102">
        <f t="shared" si="0"/>
        <v>25400</v>
      </c>
      <c r="G20" s="102" t="s">
        <v>92</v>
      </c>
    </row>
    <row r="21" spans="1:7" ht="15.5" x14ac:dyDescent="0.3">
      <c r="A21" s="102">
        <v>20</v>
      </c>
      <c r="B21" s="102" t="s">
        <v>44</v>
      </c>
      <c r="C21" s="102" t="s">
        <v>45</v>
      </c>
      <c r="D21" s="102">
        <v>8182</v>
      </c>
      <c r="E21" s="102">
        <v>1228</v>
      </c>
      <c r="F21" s="102">
        <f t="shared" si="0"/>
        <v>9410</v>
      </c>
      <c r="G21" s="102" t="s">
        <v>92</v>
      </c>
    </row>
    <row r="22" spans="1:7" ht="15.5" x14ac:dyDescent="0.3">
      <c r="A22" s="102">
        <v>21</v>
      </c>
      <c r="B22" s="102" t="s">
        <v>46</v>
      </c>
      <c r="C22" s="102" t="s">
        <v>47</v>
      </c>
      <c r="D22" s="102">
        <v>740</v>
      </c>
      <c r="E22" s="102"/>
      <c r="F22" s="102">
        <f t="shared" si="0"/>
        <v>740</v>
      </c>
      <c r="G22" s="102" t="s">
        <v>92</v>
      </c>
    </row>
    <row r="23" spans="1:7" ht="15.5" x14ac:dyDescent="0.3">
      <c r="A23" s="102">
        <v>22</v>
      </c>
      <c r="B23" s="102" t="s">
        <v>48</v>
      </c>
      <c r="C23" s="102" t="s">
        <v>49</v>
      </c>
      <c r="D23" s="102">
        <v>8867</v>
      </c>
      <c r="E23" s="102">
        <v>486</v>
      </c>
      <c r="F23" s="102">
        <f t="shared" si="0"/>
        <v>9353</v>
      </c>
      <c r="G23" s="102" t="s">
        <v>92</v>
      </c>
    </row>
    <row r="24" spans="1:7" ht="15.5" x14ac:dyDescent="0.3">
      <c r="A24" s="102">
        <v>23</v>
      </c>
      <c r="B24" s="102" t="s">
        <v>50</v>
      </c>
      <c r="C24" s="102" t="s">
        <v>51</v>
      </c>
      <c r="D24" s="102">
        <v>17060</v>
      </c>
      <c r="E24" s="102">
        <v>4061</v>
      </c>
      <c r="F24" s="102">
        <f t="shared" si="0"/>
        <v>21121</v>
      </c>
      <c r="G24" s="102" t="s">
        <v>92</v>
      </c>
    </row>
    <row r="25" spans="1:7" ht="15.5" x14ac:dyDescent="0.3">
      <c r="A25" s="102">
        <v>24</v>
      </c>
      <c r="B25" s="102" t="s">
        <v>52</v>
      </c>
      <c r="C25" s="102" t="s">
        <v>53</v>
      </c>
      <c r="D25" s="102">
        <v>5457</v>
      </c>
      <c r="E25" s="102">
        <v>782</v>
      </c>
      <c r="F25" s="102">
        <f t="shared" si="0"/>
        <v>6239</v>
      </c>
      <c r="G25" s="102" t="s">
        <v>92</v>
      </c>
    </row>
    <row r="26" spans="1:7" ht="15.5" x14ac:dyDescent="0.3">
      <c r="A26" s="102">
        <v>25</v>
      </c>
      <c r="B26" s="102" t="s">
        <v>54</v>
      </c>
      <c r="C26" s="102" t="s">
        <v>350</v>
      </c>
      <c r="D26" s="102">
        <v>4592</v>
      </c>
      <c r="E26" s="102">
        <v>397</v>
      </c>
      <c r="F26" s="102">
        <f t="shared" si="0"/>
        <v>4989</v>
      </c>
      <c r="G26" s="102" t="s">
        <v>92</v>
      </c>
    </row>
    <row r="27" spans="1:7" ht="15.5" x14ac:dyDescent="0.3">
      <c r="A27" s="102">
        <v>26</v>
      </c>
      <c r="B27" s="102" t="s">
        <v>55</v>
      </c>
      <c r="C27" s="102" t="s">
        <v>56</v>
      </c>
      <c r="D27" s="102">
        <v>82</v>
      </c>
      <c r="E27" s="102"/>
      <c r="F27" s="102">
        <f t="shared" si="0"/>
        <v>82</v>
      </c>
      <c r="G27" s="102" t="s">
        <v>92</v>
      </c>
    </row>
    <row r="28" spans="1:7" ht="15.5" x14ac:dyDescent="0.3">
      <c r="A28" s="102">
        <v>27</v>
      </c>
      <c r="B28" s="102" t="s">
        <v>57</v>
      </c>
      <c r="C28" s="102" t="s">
        <v>58</v>
      </c>
      <c r="D28" s="102">
        <v>8851</v>
      </c>
      <c r="E28" s="102">
        <v>146</v>
      </c>
      <c r="F28" s="102">
        <f t="shared" si="0"/>
        <v>8997</v>
      </c>
      <c r="G28" s="102" t="s">
        <v>92</v>
      </c>
    </row>
    <row r="29" spans="1:7" ht="15.5" x14ac:dyDescent="0.3">
      <c r="A29" s="102">
        <v>28</v>
      </c>
      <c r="B29" s="102" t="s">
        <v>59</v>
      </c>
      <c r="C29" s="102" t="s">
        <v>60</v>
      </c>
      <c r="D29" s="102">
        <v>2169</v>
      </c>
      <c r="E29" s="102">
        <v>183</v>
      </c>
      <c r="F29" s="102">
        <f t="shared" si="0"/>
        <v>2352</v>
      </c>
      <c r="G29" s="102" t="s">
        <v>92</v>
      </c>
    </row>
    <row r="30" spans="1:7" ht="15.5" x14ac:dyDescent="0.3">
      <c r="A30" s="102">
        <v>29</v>
      </c>
      <c r="B30" s="102" t="s">
        <v>61</v>
      </c>
      <c r="C30" s="102" t="s">
        <v>62</v>
      </c>
      <c r="D30" s="102">
        <v>410</v>
      </c>
      <c r="E30" s="102">
        <v>228</v>
      </c>
      <c r="F30" s="102">
        <f t="shared" si="0"/>
        <v>638</v>
      </c>
      <c r="G30" s="102" t="s">
        <v>92</v>
      </c>
    </row>
    <row r="31" spans="1:7" ht="15.5" x14ac:dyDescent="0.3">
      <c r="A31" s="102">
        <v>30</v>
      </c>
      <c r="B31" s="102" t="s">
        <v>63</v>
      </c>
      <c r="C31" s="102" t="s">
        <v>64</v>
      </c>
      <c r="D31" s="102">
        <v>1223</v>
      </c>
      <c r="E31" s="102">
        <v>124</v>
      </c>
      <c r="F31" s="102">
        <f t="shared" si="0"/>
        <v>1347</v>
      </c>
      <c r="G31" s="102" t="s">
        <v>92</v>
      </c>
    </row>
    <row r="32" spans="1:7" ht="15.5" x14ac:dyDescent="0.3">
      <c r="A32" s="102">
        <v>31</v>
      </c>
      <c r="B32" s="102" t="s">
        <v>65</v>
      </c>
      <c r="C32" s="102" t="s">
        <v>66</v>
      </c>
      <c r="D32" s="102">
        <v>4587</v>
      </c>
      <c r="E32" s="102">
        <v>604</v>
      </c>
      <c r="F32" s="102">
        <f t="shared" si="0"/>
        <v>5191</v>
      </c>
      <c r="G32" s="102" t="s">
        <v>92</v>
      </c>
    </row>
  </sheetData>
  <phoneticPr fontId="24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DP32"/>
  <sheetViews>
    <sheetView workbookViewId="0">
      <pane xSplit="2" ySplit="1" topLeftCell="C2" activePane="bottomRight" state="frozen"/>
      <selection pane="topRight"/>
      <selection pane="bottomLeft"/>
      <selection pane="bottomRight" activeCell="N5" sqref="N5"/>
    </sheetView>
  </sheetViews>
  <sheetFormatPr defaultColWidth="9" defaultRowHeight="14" x14ac:dyDescent="0.3"/>
  <cols>
    <col min="56" max="56" width="10" customWidth="1"/>
    <col min="57" max="57" width="10.33203125" customWidth="1"/>
  </cols>
  <sheetData>
    <row r="1" spans="1:120" ht="15" x14ac:dyDescent="0.3">
      <c r="A1" s="53" t="s">
        <v>0</v>
      </c>
      <c r="B1" s="53" t="s">
        <v>1</v>
      </c>
      <c r="C1" s="53" t="s">
        <v>2</v>
      </c>
      <c r="D1" s="101" t="s">
        <v>93</v>
      </c>
      <c r="E1" s="101" t="s">
        <v>94</v>
      </c>
      <c r="F1" s="101" t="s">
        <v>95</v>
      </c>
      <c r="G1" s="101" t="s">
        <v>96</v>
      </c>
      <c r="H1" s="101" t="s">
        <v>97</v>
      </c>
      <c r="I1" s="101" t="s">
        <v>98</v>
      </c>
      <c r="J1" s="101" t="s">
        <v>99</v>
      </c>
      <c r="K1" s="101" t="s">
        <v>100</v>
      </c>
      <c r="L1" s="101" t="s">
        <v>101</v>
      </c>
      <c r="M1" s="101" t="s">
        <v>102</v>
      </c>
      <c r="N1" s="101" t="s">
        <v>103</v>
      </c>
      <c r="O1" s="101" t="s">
        <v>104</v>
      </c>
      <c r="P1" s="101" t="s">
        <v>105</v>
      </c>
      <c r="Q1" s="101" t="s">
        <v>106</v>
      </c>
      <c r="R1" s="101" t="s">
        <v>107</v>
      </c>
      <c r="S1" s="101" t="s">
        <v>108</v>
      </c>
      <c r="T1" s="101" t="s">
        <v>109</v>
      </c>
      <c r="U1" s="101" t="s">
        <v>110</v>
      </c>
      <c r="V1" s="101" t="s">
        <v>111</v>
      </c>
      <c r="W1" s="101" t="s">
        <v>112</v>
      </c>
      <c r="X1" s="101" t="s">
        <v>113</v>
      </c>
      <c r="Y1" s="101" t="s">
        <v>114</v>
      </c>
      <c r="Z1" s="101" t="s">
        <v>115</v>
      </c>
      <c r="AA1" s="101" t="s">
        <v>116</v>
      </c>
      <c r="AB1" s="101" t="s">
        <v>117</v>
      </c>
      <c r="AC1" s="101" t="s">
        <v>118</v>
      </c>
      <c r="AD1" s="101" t="s">
        <v>119</v>
      </c>
      <c r="AE1" s="101" t="s">
        <v>120</v>
      </c>
      <c r="AF1" s="101" t="s">
        <v>121</v>
      </c>
      <c r="AG1" s="101" t="s">
        <v>122</v>
      </c>
      <c r="AH1" s="101" t="s">
        <v>123</v>
      </c>
      <c r="AI1" s="101" t="s">
        <v>124</v>
      </c>
      <c r="AJ1" s="101" t="s">
        <v>125</v>
      </c>
      <c r="AK1" s="101" t="s">
        <v>126</v>
      </c>
      <c r="AL1" s="101" t="s">
        <v>127</v>
      </c>
      <c r="AM1" s="101" t="s">
        <v>128</v>
      </c>
      <c r="AN1" s="101" t="s">
        <v>129</v>
      </c>
      <c r="AO1" s="101" t="s">
        <v>130</v>
      </c>
      <c r="AP1" s="101" t="s">
        <v>131</v>
      </c>
      <c r="AQ1" s="101" t="s">
        <v>132</v>
      </c>
      <c r="AR1" s="101" t="s">
        <v>133</v>
      </c>
      <c r="AS1" s="101" t="s">
        <v>134</v>
      </c>
      <c r="AT1" s="101" t="s">
        <v>135</v>
      </c>
      <c r="AU1" s="101" t="s">
        <v>136</v>
      </c>
      <c r="AV1" s="101" t="s">
        <v>137</v>
      </c>
      <c r="AW1" s="101" t="s">
        <v>138</v>
      </c>
      <c r="AX1" s="101" t="s">
        <v>139</v>
      </c>
      <c r="AY1" s="101" t="s">
        <v>140</v>
      </c>
      <c r="AZ1" s="101" t="s">
        <v>141</v>
      </c>
      <c r="BA1" s="101" t="s">
        <v>142</v>
      </c>
      <c r="BB1" s="101" t="s">
        <v>143</v>
      </c>
      <c r="BC1" s="101" t="s">
        <v>144</v>
      </c>
      <c r="BD1" s="101" t="s">
        <v>145</v>
      </c>
      <c r="BE1" s="101" t="s">
        <v>146</v>
      </c>
      <c r="BF1" s="101" t="s">
        <v>147</v>
      </c>
      <c r="BG1" s="101" t="s">
        <v>148</v>
      </c>
      <c r="BH1" s="101" t="s">
        <v>149</v>
      </c>
      <c r="BI1" s="101" t="s">
        <v>150</v>
      </c>
      <c r="BJ1" s="101" t="s">
        <v>151</v>
      </c>
      <c r="BK1" s="101" t="s">
        <v>152</v>
      </c>
      <c r="BL1" s="101" t="s">
        <v>153</v>
      </c>
      <c r="BM1" s="101" t="s">
        <v>154</v>
      </c>
      <c r="BN1" s="101" t="s">
        <v>155</v>
      </c>
      <c r="BO1" s="101" t="s">
        <v>156</v>
      </c>
      <c r="BP1" s="101" t="s">
        <v>157</v>
      </c>
      <c r="BQ1" s="101" t="s">
        <v>158</v>
      </c>
      <c r="BR1" s="101" t="s">
        <v>159</v>
      </c>
      <c r="BS1" s="101" t="s">
        <v>160</v>
      </c>
      <c r="BT1" s="101" t="s">
        <v>161</v>
      </c>
      <c r="BU1" s="101" t="s">
        <v>162</v>
      </c>
      <c r="BV1" s="101" t="s">
        <v>163</v>
      </c>
      <c r="BW1" s="101" t="s">
        <v>164</v>
      </c>
      <c r="BX1" s="101" t="s">
        <v>165</v>
      </c>
      <c r="BY1" s="101" t="s">
        <v>166</v>
      </c>
      <c r="BZ1" s="101" t="s">
        <v>167</v>
      </c>
      <c r="CA1" s="101" t="s">
        <v>168</v>
      </c>
      <c r="CB1" s="101" t="s">
        <v>169</v>
      </c>
      <c r="CC1" s="101" t="s">
        <v>170</v>
      </c>
      <c r="CD1" s="101" t="s">
        <v>171</v>
      </c>
      <c r="CE1" s="101" t="s">
        <v>172</v>
      </c>
      <c r="CF1" s="101" t="s">
        <v>173</v>
      </c>
      <c r="CG1" s="101" t="s">
        <v>174</v>
      </c>
      <c r="CH1" s="101" t="s">
        <v>175</v>
      </c>
      <c r="CI1" s="101" t="s">
        <v>176</v>
      </c>
      <c r="CJ1" s="101" t="s">
        <v>177</v>
      </c>
      <c r="CK1" s="101" t="s">
        <v>178</v>
      </c>
      <c r="CL1" s="101" t="s">
        <v>179</v>
      </c>
      <c r="CM1" s="101" t="s">
        <v>180</v>
      </c>
      <c r="CN1" s="101" t="s">
        <v>181</v>
      </c>
      <c r="CO1" s="101" t="s">
        <v>182</v>
      </c>
      <c r="CP1" s="101" t="s">
        <v>183</v>
      </c>
      <c r="CQ1" s="101" t="s">
        <v>184</v>
      </c>
      <c r="CR1" s="101" t="s">
        <v>185</v>
      </c>
      <c r="CS1" s="101" t="s">
        <v>186</v>
      </c>
      <c r="CT1" s="101" t="s">
        <v>187</v>
      </c>
      <c r="CU1" s="101" t="s">
        <v>188</v>
      </c>
      <c r="CV1" s="101" t="s">
        <v>189</v>
      </c>
      <c r="CW1" s="101" t="s">
        <v>190</v>
      </c>
      <c r="CX1" s="101" t="s">
        <v>191</v>
      </c>
      <c r="CY1" s="101" t="s">
        <v>192</v>
      </c>
      <c r="CZ1" s="101" t="s">
        <v>193</v>
      </c>
      <c r="DA1" s="101" t="s">
        <v>194</v>
      </c>
      <c r="DB1" s="101" t="s">
        <v>195</v>
      </c>
      <c r="DC1" s="101" t="s">
        <v>196</v>
      </c>
      <c r="DD1" s="101" t="s">
        <v>197</v>
      </c>
      <c r="DE1" s="101" t="s">
        <v>198</v>
      </c>
      <c r="DF1" s="101" t="s">
        <v>199</v>
      </c>
      <c r="DG1" s="101" t="s">
        <v>200</v>
      </c>
      <c r="DH1" s="101" t="s">
        <v>201</v>
      </c>
      <c r="DI1" s="101" t="s">
        <v>202</v>
      </c>
      <c r="DJ1" s="101" t="s">
        <v>203</v>
      </c>
      <c r="DK1" s="101" t="s">
        <v>204</v>
      </c>
      <c r="DL1" s="101" t="s">
        <v>205</v>
      </c>
      <c r="DM1" s="101" t="s">
        <v>206</v>
      </c>
      <c r="DN1" s="101" t="s">
        <v>207</v>
      </c>
      <c r="DO1" s="101" t="s">
        <v>208</v>
      </c>
      <c r="DP1" s="101" t="s">
        <v>209</v>
      </c>
    </row>
    <row r="2" spans="1:120" ht="15.5" x14ac:dyDescent="0.3">
      <c r="A2" s="102">
        <v>1</v>
      </c>
      <c r="B2" s="102" t="s">
        <v>5</v>
      </c>
      <c r="C2" s="102" t="s">
        <v>6</v>
      </c>
      <c r="D2">
        <f>HCW!D2*'t_occupation age profile'!C$33</f>
        <v>3727.428417692272</v>
      </c>
      <c r="E2">
        <f>HCW!D2*'t_occupation age profile'!D$33</f>
        <v>34805.209746667846</v>
      </c>
      <c r="F2">
        <f>HCW!D2*'t_occupation age profile'!E$33</f>
        <v>52886.903284387416</v>
      </c>
      <c r="G2">
        <f>HCW!D2*'t_occupation age profile'!F$33</f>
        <v>52021.215386512449</v>
      </c>
      <c r="H2">
        <f>HCW!D2*'t_occupation age profile'!G$33</f>
        <v>53518.151301785249</v>
      </c>
      <c r="I2">
        <f>HCW!D2*'t_occupation age profile'!H$33</f>
        <v>44389.078924194655</v>
      </c>
      <c r="J2">
        <f>HCW!D2*'t_occupation age profile'!I$33</f>
        <v>39457.971544193941</v>
      </c>
      <c r="K2">
        <f>HCW!D2*'t_occupation age profile'!J$33</f>
        <v>24372.635065434904</v>
      </c>
      <c r="L2">
        <f>HCW!D2*'t_occupation age profile'!K$33</f>
        <v>17058.607840230972</v>
      </c>
      <c r="M2">
        <f>HCW!D2*'t_occupation age profile'!L$33</f>
        <v>5983.187408997097</v>
      </c>
      <c r="N2">
        <f>HCW!D2*'t_occupation age profile'!M$33</f>
        <v>2831.0893693662274</v>
      </c>
      <c r="O2">
        <f>HCW!D2*'t_occupation age profile'!N$33</f>
        <v>1041.7249106007405</v>
      </c>
      <c r="P2">
        <f>HCW!D2*'t_occupation age profile'!O$33</f>
        <v>454.79679993622796</v>
      </c>
      <c r="Q2">
        <f>'law enforcement'!I3*'t_occupation age profile'!C$39</f>
        <v>9881.2583752725604</v>
      </c>
      <c r="R2">
        <f>'law enforcement'!I3*'t_occupation age profile'!D$39</f>
        <v>40132.956219304804</v>
      </c>
      <c r="S2">
        <f>'law enforcement'!I3*'t_occupation age profile'!E$39</f>
        <v>19267.713428314604</v>
      </c>
      <c r="T2">
        <f>'law enforcement'!I3*'t_occupation age profile'!F$39</f>
        <v>11150.911742798045</v>
      </c>
      <c r="U2">
        <f>'law enforcement'!I3*'t_occupation age profile'!G$39</f>
        <v>5528.7154279411434</v>
      </c>
      <c r="V2">
        <f>'law enforcement'!I3*'t_occupation age profile'!H$39</f>
        <v>2395.5813561843001</v>
      </c>
      <c r="W2">
        <f>'law enforcement'!I3*'t_occupation age profile'!I$39</f>
        <v>1696.5929709192326</v>
      </c>
      <c r="X2">
        <f>'law enforcement'!I3*'t_occupation age profile'!J$39</f>
        <v>618.57344188264119</v>
      </c>
      <c r="Y2">
        <f>'law enforcement'!I3*'t_occupation age profile'!K$39</f>
        <v>338.44753128162432</v>
      </c>
      <c r="Z2">
        <f>'law enforcement'!I3*'t_occupation age profile'!L$39</f>
        <v>54.916556608284147</v>
      </c>
      <c r="AA2">
        <f>'law enforcement'!I3*'t_occupation age profile'!M$39</f>
        <v>0</v>
      </c>
      <c r="AB2">
        <f>'law enforcement'!I3*'t_occupation age profile'!N$39</f>
        <v>0</v>
      </c>
      <c r="AC2">
        <f>'law enforcement'!I3*'t_occupation age profile'!O$39</f>
        <v>0</v>
      </c>
      <c r="AD2">
        <f>'community workers'!D2*'t_occupation age profile'!C$35</f>
        <v>638.53449275362323</v>
      </c>
      <c r="AE2">
        <f>'community workers'!D2*'t_occupation age profile'!D$35</f>
        <v>4234.4296639828235</v>
      </c>
      <c r="AF2">
        <f>'community workers'!D2*'t_occupation age profile'!E$35</f>
        <v>5556.1369404186789</v>
      </c>
      <c r="AG2">
        <f>'community workers'!D2*'t_occupation age profile'!F$35</f>
        <v>5772.5291851851853</v>
      </c>
      <c r="AH2">
        <f>'community workers'!D2*'t_occupation age profile'!G$35</f>
        <v>8439.0019280730012</v>
      </c>
      <c r="AI2">
        <f>'community workers'!D2*'t_occupation age profile'!H$35</f>
        <v>10731.813745571659</v>
      </c>
      <c r="AJ2">
        <f>'community workers'!D2*'t_occupation age profile'!I$35</f>
        <v>12427.477565217392</v>
      </c>
      <c r="AK2">
        <f>'community workers'!D2*'t_occupation age profile'!J$35</f>
        <v>8674.6093311862587</v>
      </c>
      <c r="AL2">
        <f>'community workers'!D2*'t_occupation age profile'!K$35</f>
        <v>7262.7386194310257</v>
      </c>
      <c r="AM2">
        <f>'community workers'!D2*'t_occupation age profile'!L$35</f>
        <v>3035.1081653247452</v>
      </c>
      <c r="AN2">
        <f>'community workers'!D2*'t_occupation age profile'!M$35</f>
        <v>1345.3567020933976</v>
      </c>
      <c r="AO2">
        <f>'community workers'!D2*'t_occupation age profile'!N$35</f>
        <v>507.28018035426726</v>
      </c>
      <c r="AP2">
        <f>'community workers'!D2*'t_occupation age profile'!O$35</f>
        <v>216.98348040794417</v>
      </c>
      <c r="AQ2">
        <f>'energy, food, transport'!D2*'t_occupation age profile'!C$3</f>
        <v>688.85274322543853</v>
      </c>
      <c r="AR2">
        <f>'energy, food, transport'!D2*'t_occupation age profile'!D$3</f>
        <v>2604.755033229214</v>
      </c>
      <c r="AS2">
        <f>'energy, food, transport'!D2*'t_occupation age profile'!E$3</f>
        <v>2514.5442409296261</v>
      </c>
      <c r="AT2">
        <f>'energy, food, transport'!D2*'t_occupation age profile'!F$3</f>
        <v>2718.4650188919372</v>
      </c>
      <c r="AU2">
        <f>'energy, food, transport'!D2*'t_occupation age profile'!G$3</f>
        <v>3801.5167307839556</v>
      </c>
      <c r="AV2">
        <f>'energy, food, transport'!D2*'t_occupation age profile'!H$3</f>
        <v>4388.1479828797601</v>
      </c>
      <c r="AW2">
        <f>'energy, food, transport'!D2*'t_occupation age profile'!I$3</f>
        <v>3545.1796965144313</v>
      </c>
      <c r="AX2">
        <f>'energy, food, transport'!D2*'t_occupation age profile'!J$3</f>
        <v>1989.0108915779717</v>
      </c>
      <c r="AY2">
        <f>'energy, food, transport'!D2*'t_occupation age profile'!K$3</f>
        <v>1514.1966345684164</v>
      </c>
      <c r="AZ2">
        <f>'energy, food, transport'!D2*'t_occupation age profile'!L$3</f>
        <v>600.46966596520508</v>
      </c>
      <c r="BA2">
        <f>'energy, food, transport'!D2*'t_occupation age profile'!M$3</f>
        <v>237.86405726461649</v>
      </c>
      <c r="BB2">
        <f>'energy, food, transport'!D2*'t_occupation age profile'!N$3</f>
        <v>84.923473792883115</v>
      </c>
      <c r="BC2">
        <f>'energy, food, transport'!D2*'t_occupation age profile'!O$3</f>
        <v>34.073830376544954</v>
      </c>
      <c r="BD2">
        <f>'energy, food, transport'!E2*'t_occupation age profile'!C$5</f>
        <v>1970.2194686030298</v>
      </c>
      <c r="BE2">
        <f>'energy, food, transport'!E2*'t_occupation age profile'!D$5</f>
        <v>6870.5722886583326</v>
      </c>
      <c r="BF2">
        <f>'energy, food, transport'!E2*'t_occupation age profile'!E$5</f>
        <v>6487.6228080022684</v>
      </c>
      <c r="BG2">
        <f>'energy, food, transport'!E2*'t_occupation age profile'!F$5</f>
        <v>6180.1922281568313</v>
      </c>
      <c r="BH2">
        <f>'energy, food, transport'!E2*'t_occupation age profile'!G$5</f>
        <v>7214.6638621700195</v>
      </c>
      <c r="BI2">
        <f>'energy, food, transport'!E2*'t_occupation age profile'!H$5</f>
        <v>7121.7069606267578</v>
      </c>
      <c r="BJ2">
        <f>'energy, food, transport'!E2*'t_occupation age profile'!I$5</f>
        <v>5283.0276865265996</v>
      </c>
      <c r="BK2">
        <f>'energy, food, transport'!E2*'t_occupation age profile'!J$5</f>
        <v>2658.8145369035519</v>
      </c>
      <c r="BL2">
        <f>'energy, food, transport'!E2*'t_occupation age profile'!K$5</f>
        <v>1761.1007669037883</v>
      </c>
      <c r="BM2">
        <f>'energy, food, transport'!E2*'t_occupation age profile'!L$5</f>
        <v>598.93353697445229</v>
      </c>
      <c r="BN2">
        <f>'energy, food, transport'!E2*'t_occupation age profile'!M$5</f>
        <v>218.45558398128233</v>
      </c>
      <c r="BO2">
        <f>'energy, food, transport'!E2*'t_occupation age profile'!N$5</f>
        <v>77.578507196369912</v>
      </c>
      <c r="BP2">
        <f>'energy, food, transport'!E2*'t_occupation age profile'!O$5</f>
        <v>36.111765296717323</v>
      </c>
      <c r="BQ2">
        <f>'energy, food, transport'!J2*'t_occupation age profile'!C$7</f>
        <v>4898.6607875143281</v>
      </c>
      <c r="BR2">
        <f>'energy, food, transport'!J2*'t_occupation age profile'!D$7</f>
        <v>23427.006115554999</v>
      </c>
      <c r="BS2">
        <f>'energy, food, transport'!J2*'t_occupation age profile'!E$7</f>
        <v>25638.120368584983</v>
      </c>
      <c r="BT2">
        <f>'energy, food, transport'!J2*'t_occupation age profile'!F$7</f>
        <v>25085.908499377983</v>
      </c>
      <c r="BU2">
        <f>'energy, food, transport'!J2*'t_occupation age profile'!G$7</f>
        <v>27723.334093396108</v>
      </c>
      <c r="BV2">
        <f>'energy, food, transport'!J2*'t_occupation age profile'!H$7</f>
        <v>24894.99557036594</v>
      </c>
      <c r="BW2">
        <f>'energy, food, transport'!J2*'t_occupation age profile'!I$7</f>
        <v>17908.66538382167</v>
      </c>
      <c r="BX2">
        <f>'energy, food, transport'!J2*'t_occupation age profile'!J$7</f>
        <v>8654.1422601611921</v>
      </c>
      <c r="BY2">
        <f>'energy, food, transport'!J2*'t_occupation age profile'!K$7</f>
        <v>5633.9778010376258</v>
      </c>
      <c r="BZ2">
        <f>'energy, food, transport'!J2*'t_occupation age profile'!L$7</f>
        <v>2075.8003069723045</v>
      </c>
      <c r="CA2">
        <f>'energy, food, transport'!J2*'t_occupation age profile'!M$7</f>
        <v>875.16451198495645</v>
      </c>
      <c r="CB2">
        <f>'energy, food, transport'!J2*'t_occupation age profile'!N$7</f>
        <v>349.1779841148699</v>
      </c>
      <c r="CC2">
        <f>'energy, food, transport'!J2*'t_occupation age profile'!O$7</f>
        <v>192.04631711303816</v>
      </c>
      <c r="CD2">
        <f>'energy, food, transport'!K2*'t_occupation age profile'!C$9</f>
        <v>912.74310017722087</v>
      </c>
      <c r="CE2">
        <f>'energy, food, transport'!K2*'t_occupation age profile'!D$9</f>
        <v>7724.3139008570724</v>
      </c>
      <c r="CF2">
        <f>'energy, food, transport'!K2*'t_occupation age profile'!E$9</f>
        <v>12436.423483490627</v>
      </c>
      <c r="CG2">
        <f>'energy, food, transport'!K2*'t_occupation age profile'!F$9</f>
        <v>15141.193503511153</v>
      </c>
      <c r="CH2">
        <f>'energy, food, transport'!K2*'t_occupation age profile'!G$9</f>
        <v>20563.335090757693</v>
      </c>
      <c r="CI2">
        <f>'energy, food, transport'!K2*'t_occupation age profile'!H$9</f>
        <v>19770.306689032663</v>
      </c>
      <c r="CJ2">
        <f>'energy, food, transport'!K2*'t_occupation age profile'!I$9</f>
        <v>15995.926032932048</v>
      </c>
      <c r="CK2">
        <f>'energy, food, transport'!K2*'t_occupation age profile'!J$9</f>
        <v>8780.2366494553335</v>
      </c>
      <c r="CL2">
        <f>'energy, food, transport'!K2*'t_occupation age profile'!K$9</f>
        <v>5235.0737916615426</v>
      </c>
      <c r="CM2">
        <f>'energy, food, transport'!K2*'t_occupation age profile'!L$9</f>
        <v>816.27608363861441</v>
      </c>
      <c r="CN2">
        <f>'energy, food, transport'!K2*'t_occupation age profile'!M$9</f>
        <v>267.45697603383934</v>
      </c>
      <c r="CO2">
        <f>'energy, food, transport'!K2*'t_occupation age profile'!N$9</f>
        <v>78.868304061968857</v>
      </c>
      <c r="CP2">
        <f>'energy, food, transport'!K2*'t_occupation age profile'!O$9</f>
        <v>40.846394390220794</v>
      </c>
      <c r="CQ2">
        <f>'energy, food, transport'!O2*'t_occupation age profile'!C$17</f>
        <v>7697.2883482715479</v>
      </c>
      <c r="CR2">
        <f>'energy, food, transport'!O2*'t_occupation age profile'!D$17</f>
        <v>54814.914243857042</v>
      </c>
      <c r="CS2">
        <f>'energy, food, transport'!O2*'t_occupation age profile'!E$17</f>
        <v>82481.114130759408</v>
      </c>
      <c r="CT2">
        <f>'energy, food, transport'!O2*'t_occupation age profile'!F$17</f>
        <v>95051.761911012058</v>
      </c>
      <c r="CU2">
        <f>'energy, food, transport'!O2*'t_occupation age profile'!G$17</f>
        <v>117954.07996372074</v>
      </c>
      <c r="CV2">
        <f>'energy, food, transport'!O2*'t_occupation age profile'!H$17</f>
        <v>110338.34377632919</v>
      </c>
      <c r="CW2">
        <f>'energy, food, transport'!O2*'t_occupation age profile'!I$17</f>
        <v>84255.738577060431</v>
      </c>
      <c r="CX2">
        <f>'energy, food, transport'!O2*'t_occupation age profile'!J$17</f>
        <v>44764.475362556899</v>
      </c>
      <c r="CY2">
        <f>'energy, food, transport'!O2*'t_occupation age profile'!K$17</f>
        <v>24268.440311328941</v>
      </c>
      <c r="CZ2">
        <f>'energy, food, transport'!O2*'t_occupation age profile'!L$17</f>
        <v>4989.2623515347959</v>
      </c>
      <c r="DA2">
        <f>'energy, food, transport'!O2*'t_occupation age profile'!M$17</f>
        <v>1503.5252933150575</v>
      </c>
      <c r="DB2">
        <f>'energy, food, transport'!O2*'t_occupation age profile'!N$17</f>
        <v>463.36455045459115</v>
      </c>
      <c r="DC2">
        <f>'energy, food, transport'!O2*'t_occupation age profile'!O$17</f>
        <v>284.69117979930081</v>
      </c>
      <c r="DD2">
        <f>'social welfare'!F2*'t_occupation age profile'!C$37</f>
        <v>134.17986099338873</v>
      </c>
      <c r="DE2">
        <f>'social welfare'!F2*'t_occupation age profile'!D$37</f>
        <v>860.27371870938578</v>
      </c>
      <c r="DF2">
        <f>'social welfare'!F2*'t_occupation age profile'!E$37</f>
        <v>1305.6366615810589</v>
      </c>
      <c r="DG2">
        <f>'social welfare'!F2*'t_occupation age profile'!F$37</f>
        <v>1455.9942363112393</v>
      </c>
      <c r="DH2">
        <f>'social welfare'!F2*'t_occupation age profile'!G$37</f>
        <v>2081.2152907272421</v>
      </c>
      <c r="DI2">
        <f>'social welfare'!F2*'t_occupation age profile'!H$37</f>
        <v>2943.3922698762499</v>
      </c>
      <c r="DJ2">
        <f>'social welfare'!F2*'t_occupation age profile'!I$37</f>
        <v>3384.948691868678</v>
      </c>
      <c r="DK2">
        <f>'social welfare'!F2*'t_occupation age profile'!J$37</f>
        <v>2154.4908176527092</v>
      </c>
      <c r="DL2">
        <f>'social welfare'!F2*'t_occupation age profile'!K$37</f>
        <v>1666.3045148895292</v>
      </c>
      <c r="DM2">
        <f>'social welfare'!F2*'t_occupation age profile'!L$37</f>
        <v>502.46075606034924</v>
      </c>
      <c r="DN2">
        <f>'social welfare'!F2*'t_occupation age profile'!M$37</f>
        <v>226.48799231508164</v>
      </c>
      <c r="DO2">
        <f>'social welfare'!F2*'t_occupation age profile'!N$37</f>
        <v>82.791829123580271</v>
      </c>
      <c r="DP2">
        <f>'social welfare'!F2*'t_occupation age profile'!O$37</f>
        <v>42.823359891507032</v>
      </c>
    </row>
    <row r="3" spans="1:120" ht="15.5" x14ac:dyDescent="0.3">
      <c r="A3" s="102">
        <v>2</v>
      </c>
      <c r="B3" s="102" t="s">
        <v>8</v>
      </c>
      <c r="C3" s="102" t="s">
        <v>9</v>
      </c>
      <c r="D3">
        <f>HCW!D3*'t_occupation age profile'!C$33</f>
        <v>1437.4588252731799</v>
      </c>
      <c r="E3">
        <f>HCW!D3*'t_occupation age profile'!D$33</f>
        <v>13422.405559382158</v>
      </c>
      <c r="F3">
        <f>HCW!D3*'t_occupation age profile'!E$33</f>
        <v>20395.494520208405</v>
      </c>
      <c r="G3">
        <f>HCW!D3*'t_occupation age profile'!F$33</f>
        <v>20061.647543341984</v>
      </c>
      <c r="H3">
        <f>HCW!D3*'t_occupation age profile'!G$33</f>
        <v>20638.931263148323</v>
      </c>
      <c r="I3">
        <f>HCW!D3*'t_occupation age profile'!H$33</f>
        <v>17118.363143466038</v>
      </c>
      <c r="J3">
        <f>HCW!D3*'t_occupation age profile'!I$33</f>
        <v>15216.713258492464</v>
      </c>
      <c r="K3">
        <f>HCW!D3*'t_occupation age profile'!J$33</f>
        <v>9399.1501496526798</v>
      </c>
      <c r="L3">
        <f>HCW!D3*'t_occupation age profile'!K$33</f>
        <v>6578.5425336204735</v>
      </c>
      <c r="M3">
        <f>HCW!D3*'t_occupation age profile'!L$33</f>
        <v>2307.3777898734397</v>
      </c>
      <c r="N3">
        <f>HCW!D3*'t_occupation age profile'!M$33</f>
        <v>1091.7914291301463</v>
      </c>
      <c r="O3">
        <f>HCW!D3*'t_occupation age profile'!N$33</f>
        <v>401.73452000911738</v>
      </c>
      <c r="P3">
        <f>HCW!D3*'t_occupation age profile'!O$33</f>
        <v>175.38946440159481</v>
      </c>
      <c r="Q3">
        <f>'law enforcement'!I4*'t_occupation age profile'!C$39</f>
        <v>6284.3637336541706</v>
      </c>
      <c r="R3">
        <f>'law enforcement'!I4*'t_occupation age profile'!D$39</f>
        <v>25524.086610271726</v>
      </c>
      <c r="S3">
        <f>'law enforcement'!I4*'t_occupation age profile'!E$39</f>
        <v>12254.038392757015</v>
      </c>
      <c r="T3">
        <f>'law enforcement'!I4*'t_occupation age profile'!F$39</f>
        <v>7091.8482942397004</v>
      </c>
      <c r="U3">
        <f>'law enforcement'!I4*'t_occupation age profile'!G$39</f>
        <v>3516.1977765902961</v>
      </c>
      <c r="V3">
        <f>'law enforcement'!I4*'t_occupation age profile'!H$39</f>
        <v>1523.5614760865342</v>
      </c>
      <c r="W3">
        <f>'law enforcement'!I4*'t_occupation age profile'!I$39</f>
        <v>1079.0131107085149</v>
      </c>
      <c r="X3">
        <f>'law enforcement'!I4*'t_occupation age profile'!J$39</f>
        <v>393.40541023568562</v>
      </c>
      <c r="Y3">
        <f>'law enforcement'!I4*'t_occupation age profile'!K$39</f>
        <v>215.24863641391798</v>
      </c>
      <c r="Z3">
        <f>'law enforcement'!I4*'t_occupation age profile'!L$39</f>
        <v>34.926282019899887</v>
      </c>
      <c r="AA3">
        <f>'law enforcement'!I4*'t_occupation age profile'!M$39</f>
        <v>0</v>
      </c>
      <c r="AB3">
        <f>'law enforcement'!I4*'t_occupation age profile'!N$39</f>
        <v>0</v>
      </c>
      <c r="AC3">
        <f>'law enforcement'!I4*'t_occupation age profile'!O$39</f>
        <v>0</v>
      </c>
      <c r="AD3">
        <f>'community workers'!D3*'t_occupation age profile'!C$35</f>
        <v>431.20231884057972</v>
      </c>
      <c r="AE3">
        <f>'community workers'!D3*'t_occupation age profile'!D$35</f>
        <v>2859.5101921631776</v>
      </c>
      <c r="AF3">
        <f>'community workers'!D3*'t_occupation age profile'!E$35</f>
        <v>3752.0590660225439</v>
      </c>
      <c r="AG3">
        <f>'community workers'!D3*'t_occupation age profile'!F$35</f>
        <v>3898.1887407407412</v>
      </c>
      <c r="AH3">
        <f>'community workers'!D3*'t_occupation age profile'!G$35</f>
        <v>5698.8576833064944</v>
      </c>
      <c r="AI3">
        <f>'community workers'!D3*'t_occupation age profile'!H$35</f>
        <v>7247.193417069243</v>
      </c>
      <c r="AJ3">
        <f>'community workers'!D3*'t_occupation age profile'!I$35</f>
        <v>8392.2751304347821</v>
      </c>
      <c r="AK3">
        <f>'community workers'!D3*'t_occupation age profile'!J$35</f>
        <v>5857.9633537305417</v>
      </c>
      <c r="AL3">
        <f>'community workers'!D3*'t_occupation age profile'!K$35</f>
        <v>4904.5271154052607</v>
      </c>
      <c r="AM3">
        <f>'community workers'!D3*'t_occupation age profile'!L$35</f>
        <v>2049.6084294149223</v>
      </c>
      <c r="AN3">
        <f>'community workers'!D3*'t_occupation age profile'!M$35</f>
        <v>908.51933011272138</v>
      </c>
      <c r="AO3">
        <f>'community workers'!D3*'t_occupation age profile'!N$35</f>
        <v>342.56628663446054</v>
      </c>
      <c r="AP3">
        <f>'community workers'!D3*'t_occupation age profile'!O$35</f>
        <v>146.52893612453033</v>
      </c>
      <c r="AQ3">
        <f>'energy, food, transport'!D3*'t_occupation age profile'!C$3</f>
        <v>513.3655424797945</v>
      </c>
      <c r="AR3">
        <f>'energy, food, transport'!D3*'t_occupation age profile'!D3</f>
        <v>1941.1862605054221</v>
      </c>
      <c r="AS3">
        <f>'energy, food, transport'!D3*'t_occupation age profile'!E$3</f>
        <v>1873.9569247992652</v>
      </c>
      <c r="AT3">
        <f>'energy, food, transport'!D3*'t_occupation age profile'!F$3</f>
        <v>2025.9283030525462</v>
      </c>
      <c r="AU3">
        <f>'energy, food, transport'!D3*'t_occupation age profile'!G$3</f>
        <v>2833.069502789564</v>
      </c>
      <c r="AV3">
        <f>'energy, food, transport'!D3*'t_occupation age profile'!H$3</f>
        <v>3270.2547705111519</v>
      </c>
      <c r="AW3">
        <f>'energy, food, transport'!D3*'t_occupation age profile'!I$3</f>
        <v>2642.0350589993482</v>
      </c>
      <c r="AX3">
        <f>'energy, food, transport'!D3*'t_occupation age profile'!J$3</f>
        <v>1482.304694864192</v>
      </c>
      <c r="AY3">
        <f>'energy, food, transport'!D3*'t_occupation age profile'!K$3</f>
        <v>1128.450723860873</v>
      </c>
      <c r="AZ3">
        <f>'energy, food, transport'!D3*'t_occupation age profile'!L$3</f>
        <v>447.49830619460147</v>
      </c>
      <c r="BA3">
        <f>'energy, food, transport'!D3*'t_occupation age profile'!M$3</f>
        <v>177.26751035690049</v>
      </c>
      <c r="BB3">
        <f>'energy, food, transport'!D3*'t_occupation age profile'!N$3</f>
        <v>63.288976666939512</v>
      </c>
      <c r="BC3">
        <f>'energy, food, transport'!D3*'t_occupation age profile'!O$3</f>
        <v>25.393424919402321</v>
      </c>
      <c r="BD3">
        <f>'energy, food, transport'!E3*'t_occupation age profile'!C$5</f>
        <v>1390.6708428851653</v>
      </c>
      <c r="BE3">
        <f>'energy, food, transport'!E3*'t_occupation age profile'!D$5</f>
        <v>4849.5635679342049</v>
      </c>
      <c r="BF3">
        <f>'energy, food, transport'!E3*'t_occupation age profile'!E$5</f>
        <v>4579.2603425661136</v>
      </c>
      <c r="BG3">
        <f>'energy, food, transport'!E3*'t_occupation age profile'!F$5</f>
        <v>4362.2618048826607</v>
      </c>
      <c r="BH3">
        <f>'energy, food, transport'!E3*'t_occupation age profile'!G$5</f>
        <v>5092.4391085482011</v>
      </c>
      <c r="BI3">
        <f>'energy, food, transport'!E3*'t_occupation age profile'!H$5</f>
        <v>5026.8258838891124</v>
      </c>
      <c r="BJ3">
        <f>'energy, food, transport'!E3*'t_occupation age profile'!I$5</f>
        <v>3729.0021151891851</v>
      </c>
      <c r="BK3">
        <f>'energy, food, transport'!E3*'t_occupation age profile'!J$5</f>
        <v>1876.7126769550728</v>
      </c>
      <c r="BL3">
        <f>'energy, food, transport'!E3*'t_occupation age profile'!K$5</f>
        <v>1243.0653168057097</v>
      </c>
      <c r="BM3">
        <f>'energy, food, transport'!E3*'t_occupation age profile'!L$5</f>
        <v>422.75463214614894</v>
      </c>
      <c r="BN3">
        <f>'energy, food, transport'!E3*'t_occupation age profile'!M$5</f>
        <v>154.19592382955591</v>
      </c>
      <c r="BO3">
        <f>'energy, food, transport'!E3*'t_occupation age profile'!N$5</f>
        <v>54.758451894216911</v>
      </c>
      <c r="BP3">
        <f>'energy, food, transport'!E3*'t_occupation age profile'!O$5</f>
        <v>25.489332474653178</v>
      </c>
      <c r="BQ3">
        <f>'energy, food, transport'!J3*'t_occupation age profile'!C$7</f>
        <v>1158.6816641894552</v>
      </c>
      <c r="BR3">
        <f>'energy, food, transport'!J3*'t_occupation age profile'!D$7</f>
        <v>5541.1965862452407</v>
      </c>
      <c r="BS3">
        <f>'energy, food, transport'!J3*'t_occupation age profile'!E$7</f>
        <v>6064.1920851260275</v>
      </c>
      <c r="BT3">
        <f>'energy, food, transport'!J3*'t_occupation age profile'!F$7</f>
        <v>5933.577250714804</v>
      </c>
      <c r="BU3">
        <f>'energy, food, transport'!J3*'t_occupation age profile'!G$7</f>
        <v>6557.408295363115</v>
      </c>
      <c r="BV3">
        <f>'energy, food, transport'!J3*'t_occupation age profile'!H$7</f>
        <v>5888.4205599582674</v>
      </c>
      <c r="BW3">
        <f>'energy, food, transport'!J3*'t_occupation age profile'!I$7</f>
        <v>4235.9418441928374</v>
      </c>
      <c r="BX3">
        <f>'energy, food, transport'!J3*'t_occupation age profile'!J$7</f>
        <v>2046.966791759417</v>
      </c>
      <c r="BY3">
        <f>'energy, food, transport'!J3*'t_occupation age profile'!K$7</f>
        <v>1332.606411766908</v>
      </c>
      <c r="BZ3">
        <f>'energy, food, transport'!J3*'t_occupation age profile'!L$7</f>
        <v>490.98965177135511</v>
      </c>
      <c r="CA3">
        <f>'energy, food, transport'!J3*'t_occupation age profile'!M$7</f>
        <v>207.00291715867579</v>
      </c>
      <c r="CB3">
        <f>'energy, food, transport'!J3*'t_occupation age profile'!N$7</f>
        <v>82.591170379411224</v>
      </c>
      <c r="CC3">
        <f>'energy, food, transport'!J3*'t_occupation age profile'!O$7</f>
        <v>45.424771374484571</v>
      </c>
      <c r="CD3">
        <f>'energy, food, transport'!K3*'t_occupation age profile'!C$9</f>
        <v>410.62132175785445</v>
      </c>
      <c r="CE3">
        <f>'energy, food, transport'!K3*'t_occupation age profile'!D$9</f>
        <v>3474.9843444739927</v>
      </c>
      <c r="CF3">
        <f>'energy, food, transport'!K3*'t_occupation age profile'!E$9</f>
        <v>5594.849906550724</v>
      </c>
      <c r="CG3">
        <f>'energy, food, transport'!K3*'t_occupation age profile'!F$9</f>
        <v>6811.6613406291644</v>
      </c>
      <c r="CH3">
        <f>'energy, food, transport'!K3*'t_occupation age profile'!G$9</f>
        <v>9250.9533439114821</v>
      </c>
      <c r="CI3">
        <f>'energy, food, transport'!K3*'t_occupation age profile'!H$9</f>
        <v>8894.1888058452678</v>
      </c>
      <c r="CJ3">
        <f>'energy, food, transport'!K3*'t_occupation age profile'!I$9</f>
        <v>7196.1850920682018</v>
      </c>
      <c r="CK3">
        <f>'energy, food, transport'!K3*'t_occupation age profile'!J$9</f>
        <v>3950.0187705018843</v>
      </c>
      <c r="CL3">
        <f>'energy, food, transport'!K3*'t_occupation age profile'!K$9</f>
        <v>2355.1346697823146</v>
      </c>
      <c r="CM3">
        <f>'energy, food, transport'!K3*'t_occupation age profile'!L$9</f>
        <v>367.22311493555327</v>
      </c>
      <c r="CN3">
        <f>'energy, food, transport'!K3*'t_occupation age profile'!M$9</f>
        <v>120.32250585192071</v>
      </c>
      <c r="CO3">
        <f>'energy, food, transport'!K3*'t_occupation age profile'!N$9</f>
        <v>35.480966388503013</v>
      </c>
      <c r="CP3">
        <f>'energy, food, transport'!K3*'t_occupation age profile'!O$9</f>
        <v>18.37581730313655</v>
      </c>
      <c r="CQ3">
        <f>'energy, food, transport'!O3*'t_occupation age profile'!C$17</f>
        <v>2618.4271235475721</v>
      </c>
      <c r="CR3">
        <f>'energy, food, transport'!O3*'t_occupation age profile'!D$17</f>
        <v>18646.678120520108</v>
      </c>
      <c r="CS3">
        <f>'energy, food, transport'!O3*'t_occupation age profile'!E$17</f>
        <v>28058.035070090667</v>
      </c>
      <c r="CT3">
        <f>'energy, food, transport'!O3*'t_occupation age profile'!F$17</f>
        <v>32334.258542447376</v>
      </c>
      <c r="CU3">
        <f>'energy, food, transport'!O3*'t_occupation age profile'!G$17</f>
        <v>40125.060714330626</v>
      </c>
      <c r="CV3">
        <f>'energy, food, transport'!O3*'t_occupation age profile'!H$17</f>
        <v>37534.375618932499</v>
      </c>
      <c r="CW3">
        <f>'energy, food, transport'!O3*'t_occupation age profile'!I$17</f>
        <v>28661.718415972937</v>
      </c>
      <c r="CX3">
        <f>'energy, food, transport'!O3*'t_occupation age profile'!J$17</f>
        <v>15227.767384733155</v>
      </c>
      <c r="CY3">
        <f>'energy, food, transport'!O3*'t_occupation age profile'!K$17</f>
        <v>8255.5231767624045</v>
      </c>
      <c r="CZ3">
        <f>'energy, food, transport'!O3*'t_occupation age profile'!L$17</f>
        <v>1697.2236554821309</v>
      </c>
      <c r="DA3">
        <f>'energy, food, transport'!O3*'t_occupation age profile'!M$17</f>
        <v>511.46211897336588</v>
      </c>
      <c r="DB3">
        <f>'energy, food, transport'!O3*'t_occupation age profile'!N$17</f>
        <v>157.6251599400166</v>
      </c>
      <c r="DC3">
        <f>'energy, food, transport'!O3*'t_occupation age profile'!O$17</f>
        <v>96.844898267146192</v>
      </c>
      <c r="DD3">
        <f>'social welfare'!F3*'t_occupation age profile'!C$37</f>
        <v>51.222749618579428</v>
      </c>
      <c r="DE3">
        <f>'social welfare'!F3*'t_occupation age profile'!D$37</f>
        <v>328.40684861840987</v>
      </c>
      <c r="DF3">
        <f>'social welfare'!F3*'t_occupation age profile'!E$37</f>
        <v>498.42278352263094</v>
      </c>
      <c r="DG3">
        <f>'social welfare'!F3*'t_occupation age profile'!F$37</f>
        <v>555.82132564841504</v>
      </c>
      <c r="DH3">
        <f>'social welfare'!F3*'t_occupation age profile'!G$37</f>
        <v>794.49754195626383</v>
      </c>
      <c r="DI3">
        <f>'social welfare'!F3*'t_occupation age profile'!H$37</f>
        <v>1123.6309543990506</v>
      </c>
      <c r="DJ3">
        <f>'social welfare'!F3*'t_occupation age profile'!I$37</f>
        <v>1292.1937616545176</v>
      </c>
      <c r="DK3">
        <f>'social welfare'!F3*'t_occupation age profile'!J$37</f>
        <v>822.47024919477872</v>
      </c>
      <c r="DL3">
        <f>'social welfare'!F3*'t_occupation age profile'!K$37</f>
        <v>636.10662824207486</v>
      </c>
      <c r="DM3">
        <f>'social welfare'!F3*'t_occupation age profile'!L$37</f>
        <v>191.81284963553145</v>
      </c>
      <c r="DN3">
        <f>'social welfare'!F3*'t_occupation age profile'!M$37</f>
        <v>86.461095100864554</v>
      </c>
      <c r="DO3">
        <f>'social welfare'!F3*'t_occupation age profile'!N$37</f>
        <v>31.60552636040007</v>
      </c>
      <c r="DP3">
        <f>'social welfare'!F3*'t_occupation age profile'!O$37</f>
        <v>16.347686048482792</v>
      </c>
    </row>
    <row r="4" spans="1:120" ht="15.5" x14ac:dyDescent="0.3">
      <c r="A4" s="102">
        <v>3</v>
      </c>
      <c r="B4" s="102" t="s">
        <v>10</v>
      </c>
      <c r="C4" s="102" t="s">
        <v>11</v>
      </c>
      <c r="D4">
        <f>HCW!D4*'t_occupation age profile'!C$33</f>
        <v>5388.0859453527955</v>
      </c>
      <c r="E4">
        <f>HCW!D4*'t_occupation age profile'!D$33</f>
        <v>50311.75396177909</v>
      </c>
      <c r="F4">
        <f>HCW!D4*'t_occupation age profile'!E$33</f>
        <v>76449.269670016773</v>
      </c>
      <c r="G4">
        <f>HCW!D4*'t_occupation age profile'!F$33</f>
        <v>75197.897336892289</v>
      </c>
      <c r="H4">
        <f>HCW!D4*'t_occupation age profile'!G$33</f>
        <v>77361.753610534361</v>
      </c>
      <c r="I4">
        <f>HCW!D4*'t_occupation age profile'!H$33</f>
        <v>64165.463552130568</v>
      </c>
      <c r="J4">
        <f>HCW!D4*'t_occupation age profile'!I$33</f>
        <v>57037.431195265919</v>
      </c>
      <c r="K4">
        <f>HCW!D4*'t_occupation age profile'!J$33</f>
        <v>35231.220490771106</v>
      </c>
      <c r="L4">
        <f>HCW!D4*'t_occupation age profile'!K$33</f>
        <v>24658.621132726916</v>
      </c>
      <c r="M4">
        <f>HCW!D4*'t_occupation age profile'!L$33</f>
        <v>8648.8389243939473</v>
      </c>
      <c r="N4">
        <f>HCW!D4*'t_occupation age profile'!M$33</f>
        <v>4092.4066492372885</v>
      </c>
      <c r="O4">
        <f>HCW!D4*'t_occupation age profile'!N$33</f>
        <v>1505.837998951248</v>
      </c>
      <c r="P4">
        <f>HCW!D4*'t_occupation age profile'!O$33</f>
        <v>657.4195319477019</v>
      </c>
      <c r="Q4">
        <f>'law enforcement'!I5*'t_occupation age profile'!C$39</f>
        <v>12277.353739516431</v>
      </c>
      <c r="R4">
        <f>'law enforcement'!I5*'t_occupation age profile'!D$39</f>
        <v>49864.752180750453</v>
      </c>
      <c r="S4">
        <f>'law enforcement'!I5*'t_occupation age profile'!E$39</f>
        <v>23939.919848976137</v>
      </c>
      <c r="T4">
        <f>'law enforcement'!I5*'t_occupation age profile'!F$39</f>
        <v>13854.883941407206</v>
      </c>
      <c r="U4">
        <f>'law enforcement'!I5*'t_occupation age profile'!G$39</f>
        <v>6869.3674890454486</v>
      </c>
      <c r="V4">
        <f>'law enforcement'!I5*'t_occupation age profile'!H$39</f>
        <v>2976.4832174883686</v>
      </c>
      <c r="W4">
        <f>'law enforcement'!I5*'t_occupation age profile'!I$39</f>
        <v>2107.9979153341365</v>
      </c>
      <c r="X4">
        <f>'law enforcement'!I5*'t_occupation age profile'!J$39</f>
        <v>768.57062850093848</v>
      </c>
      <c r="Y4">
        <f>'law enforcement'!I5*'t_occupation age profile'!K$39</f>
        <v>420.51729708929281</v>
      </c>
      <c r="Z4">
        <f>'law enforcement'!I5*'t_occupation age profile'!L$39</f>
        <v>68.233211401830729</v>
      </c>
      <c r="AA4">
        <f>'law enforcement'!I5*'t_occupation age profile'!M$39</f>
        <v>0</v>
      </c>
      <c r="AB4">
        <f>'law enforcement'!I5*'t_occupation age profile'!N$39</f>
        <v>0</v>
      </c>
      <c r="AC4">
        <f>'law enforcement'!I5*'t_occupation age profile'!O$39</f>
        <v>0</v>
      </c>
      <c r="AD4">
        <f>'community workers'!D4*'t_occupation age profile'!C$35</f>
        <v>2730.750144927536</v>
      </c>
      <c r="AE4">
        <f>'community workers'!D4*'t_occupation age profile'!D$35</f>
        <v>18108.919016639829</v>
      </c>
      <c r="AF4">
        <f>'community workers'!D4*'t_occupation age profile'!E$35</f>
        <v>23761.318969404183</v>
      </c>
      <c r="AG4">
        <f>'community workers'!D4*'t_occupation age profile'!F$35</f>
        <v>24686.739851851853</v>
      </c>
      <c r="AH4">
        <f>'community workers'!D4*'t_occupation age profile'!G$35</f>
        <v>36090.150179280732</v>
      </c>
      <c r="AI4">
        <f>'community workers'!D4*'t_occupation age profile'!H$35</f>
        <v>45895.565977455713</v>
      </c>
      <c r="AJ4">
        <f>'community workers'!D4*'t_occupation age profile'!I$35</f>
        <v>53147.224695652178</v>
      </c>
      <c r="AK4">
        <f>'community workers'!D4*'t_occupation age profile'!J$35</f>
        <v>37097.746413311863</v>
      </c>
      <c r="AL4">
        <f>'community workers'!D4*'t_occupation age profile'!K$35</f>
        <v>31059.754426194311</v>
      </c>
      <c r="AM4">
        <f>'community workers'!D4*'t_occupation age profile'!L$35</f>
        <v>12979.912841653248</v>
      </c>
      <c r="AN4">
        <f>'community workers'!D4*'t_occupation age profile'!M$35</f>
        <v>5753.5388470209336</v>
      </c>
      <c r="AO4">
        <f>'community workers'!D4*'t_occupation age profile'!N$35</f>
        <v>2169.4292818035424</v>
      </c>
      <c r="AP4">
        <f>'community workers'!D4*'t_occupation age profile'!O$35</f>
        <v>927.94935480407946</v>
      </c>
      <c r="AQ4">
        <f>'energy, food, transport'!D4*'t_occupation age profile'!C$3</f>
        <v>4183.8288609653764</v>
      </c>
      <c r="AR4">
        <f>'energy, food, transport'!D4*'t_occupation age profile'!D$3</f>
        <v>15820.288720549832</v>
      </c>
      <c r="AS4">
        <f>'energy, food, transport'!D4*'t_occupation age profile'!E$3</f>
        <v>15272.382770975861</v>
      </c>
      <c r="AT4">
        <f>'energy, food, transport'!D4*'t_occupation age profile'!F$3</f>
        <v>16510.919808941919</v>
      </c>
      <c r="AU4">
        <f>'energy, food, transport'!D4*'t_occupation age profile'!G$3</f>
        <v>23088.962873581124</v>
      </c>
      <c r="AV4">
        <f>'energy, food, transport'!D4*'t_occupation age profile'!H$3</f>
        <v>26651.937380687716</v>
      </c>
      <c r="AW4">
        <f>'energy, food, transport'!D4*'t_occupation age profile'!I$3</f>
        <v>21532.069484306889</v>
      </c>
      <c r="AX4">
        <f>'energy, food, transport'!D4*'t_occupation age profile'!J$3</f>
        <v>12080.49362479636</v>
      </c>
      <c r="AY4">
        <f>'energy, food, transport'!D4*'t_occupation age profile'!K$3</f>
        <v>9196.6529032326198</v>
      </c>
      <c r="AZ4">
        <f>'energy, food, transport'!D4*'t_occupation age profile'!L$3</f>
        <v>3647.0237555217</v>
      </c>
      <c r="BA4">
        <f>'energy, food, transport'!D4*'t_occupation age profile'!M$3</f>
        <v>1444.6955718144445</v>
      </c>
      <c r="BB4">
        <f>'energy, food, transport'!D4*'t_occupation age profile'!N$3</f>
        <v>515.79279333989916</v>
      </c>
      <c r="BC4">
        <f>'energy, food, transport'!D4*'t_occupation age profile'!O$3</f>
        <v>206.95145128626234</v>
      </c>
      <c r="BD4">
        <f>'energy, food, transport'!E4*'t_occupation age profile'!C$5</f>
        <v>4592.6430884125448</v>
      </c>
      <c r="BE4">
        <f>'energy, food, transport'!E4*'t_occupation age profile'!D$5</f>
        <v>16015.518493134499</v>
      </c>
      <c r="BF4">
        <f>'energy, food, transport'!E4*'t_occupation age profile'!E$5</f>
        <v>15122.851298655258</v>
      </c>
      <c r="BG4">
        <f>'energy, food, transport'!E4*'t_occupation age profile'!F$5</f>
        <v>14406.221019544821</v>
      </c>
      <c r="BH4">
        <f>'energy, food, transport'!E4*'t_occupation age profile'!G$5</f>
        <v>16817.606692978519</v>
      </c>
      <c r="BI4">
        <f>'energy, food, transport'!E4*'t_occupation age profile'!H$5</f>
        <v>16600.921253515469</v>
      </c>
      <c r="BJ4">
        <f>'energy, food, transport'!E4*'t_occupation age profile'!I$5</f>
        <v>12314.902464963487</v>
      </c>
      <c r="BK4">
        <f>'energy, food, transport'!E4*'t_occupation age profile'!J$5</f>
        <v>6197.7796894571402</v>
      </c>
      <c r="BL4">
        <f>'energy, food, transport'!E4*'t_occupation age profile'!K$5</f>
        <v>4105.1808664003966</v>
      </c>
      <c r="BM4">
        <f>'energy, food, transport'!E4*'t_occupation age profile'!L$5</f>
        <v>1396.1327724340038</v>
      </c>
      <c r="BN4">
        <f>'energy, food, transport'!E4*'t_occupation age profile'!M$5</f>
        <v>509.22678609410815</v>
      </c>
      <c r="BO4">
        <f>'energy, food, transport'!E4*'t_occupation age profile'!N$5</f>
        <v>180.83792215158462</v>
      </c>
      <c r="BP4">
        <f>'energy, food, transport'!E4*'t_occupation age profile'!O$5</f>
        <v>84.17765225817125</v>
      </c>
      <c r="BQ4">
        <f>'energy, food, transport'!J4*'t_occupation age profile'!C$7</f>
        <v>5411.922957062442</v>
      </c>
      <c r="BR4">
        <f>'energy, food, transport'!J4*'t_occupation age profile'!D$7</f>
        <v>25881.59452378565</v>
      </c>
      <c r="BS4">
        <f>'energy, food, transport'!J4*'t_occupation age profile'!E$7</f>
        <v>28324.380523004205</v>
      </c>
      <c r="BT4">
        <f>'energy, food, transport'!J4*'t_occupation age profile'!F$7</f>
        <v>27714.310093195949</v>
      </c>
      <c r="BU4">
        <f>'energy, food, transport'!J4*'t_occupation age profile'!G$7</f>
        <v>30628.074638026454</v>
      </c>
      <c r="BV4">
        <f>'energy, food, transport'!J4*'t_occupation age profile'!H$7</f>
        <v>27503.394067747984</v>
      </c>
      <c r="BW4">
        <f>'energy, food, transport'!J4*'t_occupation age profile'!I$7</f>
        <v>19785.064025678974</v>
      </c>
      <c r="BX4">
        <f>'energy, food, transport'!J4*'t_occupation age profile'!J$7</f>
        <v>9560.8888230891025</v>
      </c>
      <c r="BY4">
        <f>'energy, food, transport'!J4*'t_occupation age profile'!K$7</f>
        <v>6224.2835590351688</v>
      </c>
      <c r="BZ4">
        <f>'energy, food, transport'!J4*'t_occupation age profile'!L$7</f>
        <v>2293.2943967490055</v>
      </c>
      <c r="CA4">
        <f>'energy, food, transport'!J4*'t_occupation age profile'!M$7</f>
        <v>966.86076441333546</v>
      </c>
      <c r="CB4">
        <f>'energy, food, transport'!J4*'t_occupation age profile'!N$7</f>
        <v>385.76346277100163</v>
      </c>
      <c r="CC4">
        <f>'energy, food, transport'!J4*'t_occupation age profile'!O$7</f>
        <v>212.16816544072759</v>
      </c>
      <c r="CD4">
        <f>'energy, food, transport'!K4*'t_occupation age profile'!C$9</f>
        <v>2057.4855531652788</v>
      </c>
      <c r="CE4">
        <f>'energy, food, transport'!K4*'t_occupation age profile'!D$9</f>
        <v>17411.979620597955</v>
      </c>
      <c r="CF4">
        <f>'energy, food, transport'!K4*'t_occupation age profile'!E$9</f>
        <v>28033.914083118445</v>
      </c>
      <c r="CG4">
        <f>'energy, food, transport'!K4*'t_occupation age profile'!F$9</f>
        <v>34130.94756356466</v>
      </c>
      <c r="CH4">
        <f>'energy, food, transport'!K4*'t_occupation age profile'!G$9</f>
        <v>46353.420656826434</v>
      </c>
      <c r="CI4">
        <f>'energy, food, transport'!K4*'t_occupation age profile'!H$9</f>
        <v>44565.793361169861</v>
      </c>
      <c r="CJ4">
        <f>'energy, food, transport'!K4*'t_occupation age profile'!I$9</f>
        <v>36057.666955650398</v>
      </c>
      <c r="CK4">
        <f>'energy, food, transport'!K4*'t_occupation age profile'!J$9</f>
        <v>19792.217608787258</v>
      </c>
      <c r="CL4">
        <f>'energy, food, transport'!K4*'t_occupation age profile'!K$9</f>
        <v>11800.788955847989</v>
      </c>
      <c r="CM4">
        <f>'energy, food, transport'!K4*'t_occupation age profile'!L$9</f>
        <v>1840.0317122689726</v>
      </c>
      <c r="CN4">
        <f>'energy, food, transport'!K4*'t_occupation age profile'!M$9</f>
        <v>602.89567149403922</v>
      </c>
      <c r="CO4">
        <f>'energy, food, transport'!K4*'t_occupation age profile'!N$9</f>
        <v>177.78320775981823</v>
      </c>
      <c r="CP4">
        <f>'energy, food, transport'!K4*'t_occupation age profile'!O$9</f>
        <v>92.07504974888657</v>
      </c>
      <c r="CQ4">
        <f>'energy, food, transport'!O4*'t_occupation age profile'!C$17</f>
        <v>5943.6245516177914</v>
      </c>
      <c r="CR4">
        <f>'energy, food, transport'!O4*'t_occupation age profile'!D$17</f>
        <v>42326.499327230202</v>
      </c>
      <c r="CS4">
        <f>'energy, food, transport'!O4*'t_occupation age profile'!E$17</f>
        <v>63689.542707914159</v>
      </c>
      <c r="CT4">
        <f>'energy, food, transport'!O4*'t_occupation age profile'!F$17</f>
        <v>73396.235168412517</v>
      </c>
      <c r="CU4">
        <f>'energy, food, transport'!O4*'t_occupation age profile'!G$17</f>
        <v>91080.746090704459</v>
      </c>
      <c r="CV4">
        <f>'energy, food, transport'!O4*'t_occupation age profile'!H$17</f>
        <v>85200.093770827574</v>
      </c>
      <c r="CW4">
        <f>'energy, food, transport'!O4*'t_occupation age profile'!I$17</f>
        <v>65059.856635585122</v>
      </c>
      <c r="CX4">
        <f>'energy, food, transport'!O4*'t_occupation age profile'!J$17</f>
        <v>34565.839652470386</v>
      </c>
      <c r="CY4">
        <f>'energy, food, transport'!O4*'t_occupation age profile'!K$17</f>
        <v>18739.391216424385</v>
      </c>
      <c r="CZ4">
        <f>'energy, food, transport'!O4*'t_occupation age profile'!L$17</f>
        <v>3852.5648079305101</v>
      </c>
      <c r="DA4">
        <f>'energy, food, transport'!O4*'t_occupation age profile'!M$17</f>
        <v>1160.9789633686275</v>
      </c>
      <c r="DB4">
        <f>'energy, food, transport'!O4*'t_occupation age profile'!N$17</f>
        <v>357.79677125512433</v>
      </c>
      <c r="DC4">
        <f>'energy, food, transport'!O4*'t_occupation age profile'!O$17</f>
        <v>219.8303362591484</v>
      </c>
      <c r="DD4">
        <f>'social welfare'!F4*'t_occupation age profile'!C$37</f>
        <v>161.76318020003393</v>
      </c>
      <c r="DE4">
        <f>'social welfare'!F4*'t_occupation age profile'!D$37</f>
        <v>1037.1199638356784</v>
      </c>
      <c r="DF4">
        <f>'social welfare'!F4*'t_occupation age profile'!E$37</f>
        <v>1574.0360513081314</v>
      </c>
      <c r="DG4">
        <f>'social welfare'!F4*'t_occupation age profile'!F$37</f>
        <v>1755.3025936599424</v>
      </c>
      <c r="DH4">
        <f>'social welfare'!F4*'t_occupation age profile'!G$37</f>
        <v>2509.0501779962706</v>
      </c>
      <c r="DI4">
        <f>'social welfare'!F4*'t_occupation age profile'!H$37</f>
        <v>3548.4646550262755</v>
      </c>
      <c r="DJ4">
        <f>'social welfare'!F4*'t_occupation age profile'!I$37</f>
        <v>4080.791716110075</v>
      </c>
      <c r="DK4">
        <f>'social welfare'!F4*'t_occupation age profile'!J$37</f>
        <v>2597.3889359778491</v>
      </c>
      <c r="DL4">
        <f>'social welfare'!F4*'t_occupation age profile'!K$37</f>
        <v>2008.8463016330452</v>
      </c>
      <c r="DM4">
        <f>'social welfare'!F4*'t_occupation age profile'!L$37</f>
        <v>605.75148330225466</v>
      </c>
      <c r="DN4">
        <f>'social welfare'!F4*'t_occupation age profile'!M$37</f>
        <v>273.04707012487989</v>
      </c>
      <c r="DO4">
        <f>'social welfare'!F4*'t_occupation age profile'!N$37</f>
        <v>99.811323953212408</v>
      </c>
      <c r="DP4">
        <f>'social welfare'!F4*'t_occupation age profile'!O$37</f>
        <v>51.626546872351241</v>
      </c>
    </row>
    <row r="5" spans="1:120" ht="15.5" x14ac:dyDescent="0.3">
      <c r="A5" s="102">
        <v>4</v>
      </c>
      <c r="B5" s="102" t="s">
        <v>12</v>
      </c>
      <c r="C5" s="102" t="s">
        <v>13</v>
      </c>
      <c r="D5">
        <f>HCW!D5*'t_occupation age profile'!C$33</f>
        <v>2957.2567088367941</v>
      </c>
      <c r="E5">
        <f>HCW!D5*'t_occupation age profile'!D$33</f>
        <v>27613.659738509501</v>
      </c>
      <c r="F5">
        <f>HCW!D5*'t_occupation age profile'!E$33</f>
        <v>41959.263068608554</v>
      </c>
      <c r="G5">
        <f>HCW!D5*'t_occupation age profile'!F$33</f>
        <v>41272.446030996725</v>
      </c>
      <c r="H5">
        <f>HCW!D5*'t_occupation age profile'!G$33</f>
        <v>42460.080851058534</v>
      </c>
      <c r="I5">
        <f>HCW!D5*'t_occupation age profile'!H$33</f>
        <v>35217.282999879179</v>
      </c>
      <c r="J5">
        <f>HCW!D5*'t_occupation age profile'!I$33</f>
        <v>31305.054850228997</v>
      </c>
      <c r="K5">
        <f>HCW!D5*'t_occupation age profile'!J$33</f>
        <v>19336.692883806496</v>
      </c>
      <c r="L5">
        <f>HCW!D5*'t_occupation age profile'!K$33</f>
        <v>13533.910467466889</v>
      </c>
      <c r="M5">
        <f>HCW!D5*'t_occupation age profile'!L$33</f>
        <v>4746.9244537334707</v>
      </c>
      <c r="N5">
        <f>HCW!D5*'t_occupation age profile'!M$33</f>
        <v>2246.121747405211</v>
      </c>
      <c r="O5">
        <f>HCW!D5*'t_occupation age profile'!N$33</f>
        <v>826.48078927931306</v>
      </c>
      <c r="P5">
        <f>HCW!D5*'t_occupation age profile'!O$33</f>
        <v>360.82541019033232</v>
      </c>
      <c r="Q5">
        <f>'law enforcement'!I6*'t_occupation age profile'!C$39</f>
        <v>8921.7094867456526</v>
      </c>
      <c r="R5">
        <f>'law enforcement'!I6*'t_occupation age profile'!D$39</f>
        <v>36235.726527396182</v>
      </c>
      <c r="S5">
        <f>'law enforcement'!I6*'t_occupation age profile'!E$39</f>
        <v>17396.664994760784</v>
      </c>
      <c r="T5">
        <f>'law enforcement'!I6*'t_occupation age profile'!F$39</f>
        <v>10068.069400000953</v>
      </c>
      <c r="U5">
        <f>'law enforcement'!I6*'t_occupation age profile'!G$39</f>
        <v>4991.8331258713761</v>
      </c>
      <c r="V5">
        <f>'law enforcement'!I6*'t_occupation age profile'!H$39</f>
        <v>2162.9513266472954</v>
      </c>
      <c r="W5">
        <f>'law enforcement'!I6*'t_occupation age profile'!I$39</f>
        <v>1531.8402807555965</v>
      </c>
      <c r="X5">
        <f>'law enforcement'!I6*'t_occupation age profile'!J$39</f>
        <v>558.50503398470676</v>
      </c>
      <c r="Y5">
        <f>'law enforcement'!I6*'t_occupation age profile'!K$39</f>
        <v>305.581580394372</v>
      </c>
      <c r="Z5">
        <f>'law enforcement'!I6*'t_occupation age profile'!L$39</f>
        <v>49.583721573115803</v>
      </c>
      <c r="AA5">
        <f>'law enforcement'!I6*'t_occupation age profile'!M$39</f>
        <v>0</v>
      </c>
      <c r="AB5">
        <f>'law enforcement'!I6*'t_occupation age profile'!N$39</f>
        <v>0</v>
      </c>
      <c r="AC5">
        <f>'law enforcement'!I6*'t_occupation age profile'!O$39</f>
        <v>0</v>
      </c>
      <c r="AD5">
        <f>'community workers'!D5*'t_occupation age profile'!C$35</f>
        <v>1833.2382608695652</v>
      </c>
      <c r="AE5">
        <f>'community workers'!D5*'t_occupation age profile'!D$35</f>
        <v>12157.085578099839</v>
      </c>
      <c r="AF5">
        <f>'community workers'!D5*'t_occupation age profile'!E$35</f>
        <v>15951.719033816424</v>
      </c>
      <c r="AG5">
        <f>'community workers'!D5*'t_occupation age profile'!F$35</f>
        <v>16572.983111111113</v>
      </c>
      <c r="AH5">
        <f>'community workers'!D5*'t_occupation age profile'!G$35</f>
        <v>24228.450293075683</v>
      </c>
      <c r="AI5">
        <f>'community workers'!D5*'t_occupation age profile'!H$35</f>
        <v>30811.133603864731</v>
      </c>
      <c r="AJ5">
        <f>'community workers'!D5*'t_occupation age profile'!I$35</f>
        <v>35679.399652173917</v>
      </c>
      <c r="AK5">
        <f>'community workers'!D5*'t_occupation age profile'!J$35</f>
        <v>24904.88126247987</v>
      </c>
      <c r="AL5">
        <f>'community workers'!D5*'t_occupation age profile'!K$35</f>
        <v>20851.387774557166</v>
      </c>
      <c r="AM5">
        <f>'community workers'!D5*'t_occupation age profile'!L$35</f>
        <v>8713.8227890499202</v>
      </c>
      <c r="AN5">
        <f>'community workers'!D5*'t_occupation age profile'!M$35</f>
        <v>3862.5311690821254</v>
      </c>
      <c r="AO5">
        <f>'community workers'!D5*'t_occupation age profile'!N$35</f>
        <v>1456.4059516908212</v>
      </c>
      <c r="AP5">
        <f>'community workers'!D5*'t_occupation age profile'!O$35</f>
        <v>622.96152012882453</v>
      </c>
      <c r="AQ5">
        <f>'energy, food, transport'!D5*'t_occupation age profile'!C$3</f>
        <v>1184.0788497437509</v>
      </c>
      <c r="AR5">
        <f>'energy, food, transport'!D5*'t_occupation age profile'!D$3</f>
        <v>4477.3507457760479</v>
      </c>
      <c r="AS5">
        <f>'energy, food, transport'!D5*'t_occupation age profile'!E$3</f>
        <v>4322.2861224134158</v>
      </c>
      <c r="AT5">
        <f>'energy, food, transport'!D5*'t_occupation age profile'!F$3</f>
        <v>4672.8084692910306</v>
      </c>
      <c r="AU5">
        <f>'energy, food, transport'!D5*'t_occupation age profile'!G$3</f>
        <v>6534.4815740904533</v>
      </c>
      <c r="AV5">
        <f>'energy, food, transport'!D5*'t_occupation age profile'!H$3</f>
        <v>7542.8504381714829</v>
      </c>
      <c r="AW5">
        <f>'energy, food, transport'!D5*'t_occupation age profile'!I$3</f>
        <v>6093.8601732619027</v>
      </c>
      <c r="AX5">
        <f>'energy, food, transport'!D5*'t_occupation age profile'!J$3</f>
        <v>3418.9393187284973</v>
      </c>
      <c r="AY5">
        <f>'energy, food, transport'!D5*'t_occupation age profile'!K$3</f>
        <v>2602.7742895390684</v>
      </c>
      <c r="AZ5">
        <f>'energy, food, transport'!D5*'t_occupation age profile'!L$3</f>
        <v>1032.1559119485232</v>
      </c>
      <c r="BA5">
        <f>'energy, food, transport'!D5*'t_occupation age profile'!M$3</f>
        <v>408.86793598656573</v>
      </c>
      <c r="BB5">
        <f>'energy, food, transport'!D5*'t_occupation age profile'!N$3</f>
        <v>145.97617582835403</v>
      </c>
      <c r="BC5">
        <f>'energy, food, transport'!D5*'t_occupation age profile'!O$3</f>
        <v>58.5699952209076</v>
      </c>
      <c r="BD5">
        <f>'energy, food, transport'!E5*'t_occupation age profile'!C$5</f>
        <v>1287.1981837733085</v>
      </c>
      <c r="BE5">
        <f>'energy, food, transport'!E5*'t_occupation age profile'!D$5</f>
        <v>4488.7325053765981</v>
      </c>
      <c r="BF5">
        <f>'energy, food, transport'!E5*'t_occupation age profile'!E$5</f>
        <v>4238.5411516555196</v>
      </c>
      <c r="BG5">
        <f>'energy, food, transport'!E5*'t_occupation age profile'!F$5</f>
        <v>4037.688358187791</v>
      </c>
      <c r="BH5">
        <f>'energy, food, transport'!E5*'t_occupation age profile'!G$5</f>
        <v>4713.5369271854988</v>
      </c>
      <c r="BI5">
        <f>'energy, food, transport'!E5*'t_occupation age profile'!H$5</f>
        <v>4652.8056448372845</v>
      </c>
      <c r="BJ5">
        <f>'energy, food, transport'!E5*'t_occupation age profile'!I$5</f>
        <v>3451.5462623779927</v>
      </c>
      <c r="BK5">
        <f>'energy, food, transport'!E5*'t_occupation age profile'!J$5</f>
        <v>1737.0761468106728</v>
      </c>
      <c r="BL5">
        <f>'energy, food, transport'!E5*'t_occupation age profile'!K$5</f>
        <v>1150.5752251081228</v>
      </c>
      <c r="BM5">
        <f>'energy, food, transport'!E5*'t_occupation age profile'!L$5</f>
        <v>391.29963604565972</v>
      </c>
      <c r="BN5">
        <f>'energy, food, transport'!E5*'t_occupation age profile'!M$5</f>
        <v>142.72299884196346</v>
      </c>
      <c r="BO5">
        <f>'energy, food, transport'!E5*'t_occupation age profile'!N$5</f>
        <v>50.684157351168672</v>
      </c>
      <c r="BP5">
        <f>'energy, food, transport'!E5*'t_occupation age profile'!O$5</f>
        <v>23.592802448420109</v>
      </c>
      <c r="BQ5">
        <f>'energy, food, transport'!J5*'t_occupation age profile'!C$7</f>
        <v>2283.4970991136029</v>
      </c>
      <c r="BR5">
        <f>'energy, food, transport'!J5*'t_occupation age profile'!D$7</f>
        <v>10920.433732038649</v>
      </c>
      <c r="BS5">
        <f>'energy, food, transport'!J5*'t_occupation age profile'!E$7</f>
        <v>11951.138490259866</v>
      </c>
      <c r="BT5">
        <f>'energy, food, transport'!J5*'t_occupation age profile'!F$7</f>
        <v>11693.726463559784</v>
      </c>
      <c r="BU5">
        <f>'energy, food, transport'!J5*'t_occupation age profile'!G$7</f>
        <v>12923.155067479163</v>
      </c>
      <c r="BV5">
        <f>'energy, food, transport'!J5*'t_occupation age profile'!H$7</f>
        <v>11604.732932778183</v>
      </c>
      <c r="BW5">
        <f>'energy, food, transport'!J5*'t_occupation age profile'!I$7</f>
        <v>8348.0745507393167</v>
      </c>
      <c r="BX5">
        <f>'energy, food, transport'!J5*'t_occupation age profile'!J$7</f>
        <v>4034.104340672664</v>
      </c>
      <c r="BY5">
        <f>'energy, food, transport'!J5*'t_occupation age profile'!K$7</f>
        <v>2626.2630794788884</v>
      </c>
      <c r="BZ5">
        <f>'energy, food, transport'!J5*'t_occupation age profile'!L$7</f>
        <v>967.62853867977083</v>
      </c>
      <c r="CA5">
        <f>'energy, food, transport'!J5*'t_occupation age profile'!M$7</f>
        <v>407.95550274851013</v>
      </c>
      <c r="CB5">
        <f>'energy, food, transport'!J5*'t_occupation age profile'!N$7</f>
        <v>162.76834595955557</v>
      </c>
      <c r="CC5">
        <f>'energy, food, transport'!J5*'t_occupation age profile'!O$7</f>
        <v>89.521856492046609</v>
      </c>
      <c r="CD5">
        <f>'energy, food, transport'!K5*'t_occupation age profile'!C$9</f>
        <v>1381.7814032915919</v>
      </c>
      <c r="CE5">
        <f>'energy, food, transport'!K5*'t_occupation age profile'!D$9</f>
        <v>11693.666377010873</v>
      </c>
      <c r="CF5">
        <f>'energy, food, transport'!K5*'t_occupation age profile'!E$9</f>
        <v>18827.223881078487</v>
      </c>
      <c r="CG5">
        <f>'energy, food, transport'!K5*'t_occupation age profile'!F$9</f>
        <v>22921.914833132054</v>
      </c>
      <c r="CH5">
        <f>'energy, food, transport'!K5*'t_occupation age profile'!G$9</f>
        <v>31130.373938236782</v>
      </c>
      <c r="CI5">
        <f>'energy, food, transport'!K5*'t_occupation age profile'!H$9</f>
        <v>29929.825944422377</v>
      </c>
      <c r="CJ5">
        <f>'energy, food, transport'!K5*'t_occupation age profile'!I$9</f>
        <v>24215.875328382972</v>
      </c>
      <c r="CK5">
        <f>'energy, food, transport'!K5*'t_occupation age profile'!J$9</f>
        <v>13292.204253706217</v>
      </c>
      <c r="CL5">
        <f>'energy, food, transport'!K5*'t_occupation age profile'!K$9</f>
        <v>7925.2613454679622</v>
      </c>
      <c r="CM5">
        <f>'energy, food, transport'!K5*'t_occupation age profile'!L$9</f>
        <v>1235.7421404823879</v>
      </c>
      <c r="CN5">
        <f>'energy, food, transport'!K5*'t_occupation age profile'!M$9</f>
        <v>404.89714531110445</v>
      </c>
      <c r="CO5">
        <f>'energy, food, transport'!K5*'t_occupation age profile'!N$9</f>
        <v>119.3969648642818</v>
      </c>
      <c r="CP5">
        <f>'energy, food, transport'!K5*'t_occupation age profile'!O$9</f>
        <v>61.836444612906284</v>
      </c>
      <c r="CQ5">
        <f>'energy, food, transport'!O5*'t_occupation age profile'!C$17</f>
        <v>3526.4953244070825</v>
      </c>
      <c r="CR5">
        <f>'energy, food, transport'!O5*'t_occupation age profile'!D$17</f>
        <v>25113.329531450414</v>
      </c>
      <c r="CS5">
        <f>'energy, food, transport'!O5*'t_occupation age profile'!E$17</f>
        <v>37788.536712324894</v>
      </c>
      <c r="CT5">
        <f>'energy, food, transport'!O5*'t_occupation age profile'!F$17</f>
        <v>43547.750686916828</v>
      </c>
      <c r="CU5">
        <f>'energy, food, transport'!O5*'t_occupation age profile'!G$17</f>
        <v>54040.396132516791</v>
      </c>
      <c r="CV5">
        <f>'energy, food, transport'!O5*'t_occupation age profile'!H$17</f>
        <v>50551.263746981967</v>
      </c>
      <c r="CW5">
        <f>'energy, food, transport'!O5*'t_occupation age profile'!I$17</f>
        <v>38601.576906390685</v>
      </c>
      <c r="CX5">
        <f>'energy, food, transport'!O5*'t_occupation age profile'!J$17</f>
        <v>20508.743589038251</v>
      </c>
      <c r="CY5">
        <f>'energy, food, transport'!O5*'t_occupation age profile'!K$17</f>
        <v>11118.531282223787</v>
      </c>
      <c r="CZ5">
        <f>'energy, food, transport'!O5*'t_occupation age profile'!L$17</f>
        <v>2285.8193117942205</v>
      </c>
      <c r="DA5">
        <f>'energy, food, transport'!O5*'t_occupation age profile'!M$17</f>
        <v>688.83672757224417</v>
      </c>
      <c r="DB5">
        <f>'energy, food, transport'!O5*'t_occupation age profile'!N$17</f>
        <v>212.28942541057819</v>
      </c>
      <c r="DC5">
        <f>'energy, food, transport'!O5*'t_occupation age profile'!O$17</f>
        <v>130.43062297225924</v>
      </c>
      <c r="DD5">
        <f>'social welfare'!F5*'t_occupation age profile'!C$37</f>
        <v>49.222919138837099</v>
      </c>
      <c r="DE5">
        <f>'social welfare'!F5*'t_occupation age profile'!D$37</f>
        <v>315.58524043623214</v>
      </c>
      <c r="DF5">
        <f>'social welfare'!F5*'t_occupation age profile'!E$37</f>
        <v>478.96344013109569</v>
      </c>
      <c r="DG5">
        <f>'social welfare'!F5*'t_occupation age profile'!F$37</f>
        <v>534.12103746397702</v>
      </c>
      <c r="DH5">
        <f>'social welfare'!F5*'t_occupation age profile'!G$37</f>
        <v>763.47889472791996</v>
      </c>
      <c r="DI5">
        <f>'social welfare'!F5*'t_occupation age profile'!H$37</f>
        <v>1079.7623325987454</v>
      </c>
      <c r="DJ5">
        <f>'social welfare'!F5*'t_occupation age profile'!I$37</f>
        <v>1241.7441374244222</v>
      </c>
      <c r="DK5">
        <f>'social welfare'!F5*'t_occupation age profile'!J$37</f>
        <v>790.35949595976717</v>
      </c>
      <c r="DL5">
        <f>'social welfare'!F5*'t_occupation age profile'!K$37</f>
        <v>611.27185398655138</v>
      </c>
      <c r="DM5">
        <f>'social welfare'!F5*'t_occupation age profile'!L$37</f>
        <v>184.32412273266655</v>
      </c>
      <c r="DN5">
        <f>'social welfare'!F5*'t_occupation age profile'!M$37</f>
        <v>83.085494716618626</v>
      </c>
      <c r="DO5">
        <f>'social welfare'!F5*'t_occupation age profile'!N$37</f>
        <v>30.371588404814375</v>
      </c>
      <c r="DP5">
        <f>'social welfare'!F5*'t_occupation age profile'!O$37</f>
        <v>15.709442278352261</v>
      </c>
    </row>
    <row r="6" spans="1:120" ht="15.5" x14ac:dyDescent="0.3">
      <c r="A6" s="102">
        <v>5</v>
      </c>
      <c r="B6" s="102" t="s">
        <v>14</v>
      </c>
      <c r="C6" s="102" t="s">
        <v>15</v>
      </c>
      <c r="D6">
        <f>HCW!D6*'t_occupation age profile'!C$33</f>
        <v>2207.3503168053167</v>
      </c>
      <c r="E6">
        <f>HCW!D6*'t_occupation age profile'!D$33</f>
        <v>20611.339012205131</v>
      </c>
      <c r="F6">
        <f>HCW!D6*'t_occupation age profile'!E$33</f>
        <v>31319.158851056036</v>
      </c>
      <c r="G6">
        <f>HCW!D6*'t_occupation age profile'!F$33</f>
        <v>30806.506093847114</v>
      </c>
      <c r="H6">
        <f>HCW!D6*'t_occupation age profile'!G$33</f>
        <v>31692.978373537571</v>
      </c>
      <c r="I6">
        <f>HCW!D6*'t_occupation age profile'!H$33</f>
        <v>26286.822024788908</v>
      </c>
      <c r="J6">
        <f>HCW!D6*'t_occupation age profile'!I$33</f>
        <v>23366.663615902668</v>
      </c>
      <c r="K6">
        <f>HCW!D6*'t_occupation age profile'!J$33</f>
        <v>14433.260066836145</v>
      </c>
      <c r="L6">
        <f>HCW!D6*'t_occupation age profile'!K$33</f>
        <v>10101.957489422177</v>
      </c>
      <c r="M6">
        <f>HCW!D6*'t_occupation age profile'!L$33</f>
        <v>3543.1909463554625</v>
      </c>
      <c r="N6">
        <f>HCW!D6*'t_occupation age profile'!M$33</f>
        <v>1676.5462179535884</v>
      </c>
      <c r="O6">
        <f>HCW!D6*'t_occupation age profile'!N$33</f>
        <v>616.90032745475855</v>
      </c>
      <c r="P6">
        <f>HCW!D6*'t_occupation age profile'!O$33</f>
        <v>269.32666383511923</v>
      </c>
      <c r="Q6">
        <f>'law enforcement'!I7*'t_occupation age profile'!C$39</f>
        <v>6947.2611170544124</v>
      </c>
      <c r="R6">
        <f>'law enforcement'!I7*'t_occupation age profile'!D$39</f>
        <v>28216.459449389982</v>
      </c>
      <c r="S6">
        <f>'law enforcement'!I7*'t_occupation age profile'!E$39</f>
        <v>13546.638619434434</v>
      </c>
      <c r="T6">
        <f>'law enforcement'!I7*'t_occupation age profile'!F$39</f>
        <v>7839.9220654231158</v>
      </c>
      <c r="U6">
        <f>'law enforcement'!I7*'t_occupation age profile'!G$39</f>
        <v>3887.099017258</v>
      </c>
      <c r="V6">
        <f>'law enforcement'!I7*'t_occupation age profile'!H$39</f>
        <v>1684.2722431190957</v>
      </c>
      <c r="W6">
        <f>'law enforcement'!I7*'t_occupation age profile'!I$39</f>
        <v>1192.8313106183598</v>
      </c>
      <c r="X6">
        <f>'law enforcement'!I7*'t_occupation age profile'!J$39</f>
        <v>434.9032337407383</v>
      </c>
      <c r="Y6">
        <f>'law enforcement'!I7*'t_occupation age profile'!K$39</f>
        <v>237.95383998053069</v>
      </c>
      <c r="Z6">
        <f>'law enforcement'!I7*'t_occupation age profile'!L$39</f>
        <v>38.610432388043527</v>
      </c>
      <c r="AA6">
        <f>'law enforcement'!I7*'t_occupation age profile'!M$39</f>
        <v>0</v>
      </c>
      <c r="AB6">
        <f>'law enforcement'!I7*'t_occupation age profile'!N$39</f>
        <v>0</v>
      </c>
      <c r="AC6">
        <f>'law enforcement'!I7*'t_occupation age profile'!O$39</f>
        <v>0</v>
      </c>
      <c r="AD6">
        <f>'community workers'!D6*'t_occupation age profile'!C$35</f>
        <v>796.20637681159417</v>
      </c>
      <c r="AE6">
        <f>'community workers'!D6*'t_occupation age profile'!D$35</f>
        <v>5280.0278432635532</v>
      </c>
      <c r="AF6">
        <f>'community workers'!D6*'t_occupation age profile'!E$35</f>
        <v>6928.1013204508854</v>
      </c>
      <c r="AG6">
        <f>'community workers'!D6*'t_occupation age profile'!F$35</f>
        <v>7197.9268148148158</v>
      </c>
      <c r="AH6">
        <f>'community workers'!D6*'t_occupation age profile'!G$35</f>
        <v>10522.825666129898</v>
      </c>
      <c r="AI6">
        <f>'community workers'!D6*'t_occupation age profile'!H$35</f>
        <v>13381.796341384863</v>
      </c>
      <c r="AJ6">
        <f>'community workers'!D6*'t_occupation age profile'!I$35</f>
        <v>15496.166608695652</v>
      </c>
      <c r="AK6">
        <f>'community workers'!D6*'t_occupation age profile'!J$35</f>
        <v>10816.611074610842</v>
      </c>
      <c r="AL6">
        <f>'community workers'!D6*'t_occupation age profile'!K$35</f>
        <v>9056.1103081052061</v>
      </c>
      <c r="AM6">
        <f>'community workers'!D6*'t_occupation age profile'!L$35</f>
        <v>3784.5605882984437</v>
      </c>
      <c r="AN6">
        <f>'community workers'!D6*'t_occupation age profile'!M$35</f>
        <v>1677.5626022544284</v>
      </c>
      <c r="AO6">
        <f>'community workers'!D6*'t_occupation age profile'!N$35</f>
        <v>632.5417326892109</v>
      </c>
      <c r="AP6">
        <f>'community workers'!D6*'t_occupation age profile'!O$35</f>
        <v>270.56272249060657</v>
      </c>
      <c r="AQ6">
        <f>'energy, food, transport'!D6*'t_occupation age profile'!C$3</f>
        <v>1494.399738074052</v>
      </c>
      <c r="AR6">
        <f>'energy, food, transport'!D6*'t_occupation age profile'!D$3</f>
        <v>5650.7653888095301</v>
      </c>
      <c r="AS6">
        <f>'energy, food, transport'!D6*'t_occupation age profile'!E$3</f>
        <v>5455.0617559071961</v>
      </c>
      <c r="AT6">
        <f>'energy, food, transport'!D6*'t_occupation age profile'!F$3</f>
        <v>5897.4482603839642</v>
      </c>
      <c r="AU6">
        <f>'energy, food, transport'!D6*'t_occupation age profile'!G$3</f>
        <v>8247.0247271824737</v>
      </c>
      <c r="AV6">
        <f>'energy, food, transport'!D6*'t_occupation age profile'!H$3</f>
        <v>9519.6647770328964</v>
      </c>
      <c r="AW6">
        <f>'energy, food, transport'!D6*'t_occupation age profile'!I$3</f>
        <v>7690.9261986676629</v>
      </c>
      <c r="AX6">
        <f>'energy, food, transport'!D6*'t_occupation age profile'!J$3</f>
        <v>4314.9677266042299</v>
      </c>
      <c r="AY6">
        <f>'energy, food, transport'!D6*'t_occupation age profile'!K$3</f>
        <v>3284.9038874352118</v>
      </c>
      <c r="AZ6">
        <f>'energy, food, transport'!D6*'t_occupation age profile'!L$3</f>
        <v>1302.6611570684361</v>
      </c>
      <c r="BA6">
        <f>'energy, food, transport'!D6*'t_occupation age profile'!M$3</f>
        <v>516.02318255868909</v>
      </c>
      <c r="BB6">
        <f>'energy, food, transport'!D6*'t_occupation age profile'!N$3</f>
        <v>184.23330420111267</v>
      </c>
      <c r="BC6">
        <f>'energy, food, transport'!D6*'t_occupation age profile'!O$3</f>
        <v>73.919896074543274</v>
      </c>
      <c r="BD6">
        <f>'energy, food, transport'!E6*'t_occupation age profile'!C$5</f>
        <v>2359.7785580081772</v>
      </c>
      <c r="BE6">
        <f>'energy, food, transport'!E6*'t_occupation age profile'!D$5</f>
        <v>8229.0472845224886</v>
      </c>
      <c r="BF6">
        <f>'energy, food, transport'!E6*'t_occupation age profile'!E$5</f>
        <v>7770.3796144210992</v>
      </c>
      <c r="BG6">
        <f>'energy, food, transport'!E6*'t_occupation age profile'!F$5</f>
        <v>7402.1627218585309</v>
      </c>
      <c r="BH6">
        <f>'energy, food, transport'!E6*'t_occupation age profile'!G$5</f>
        <v>8641.1739181811736</v>
      </c>
      <c r="BI6">
        <f>'energy, food, transport'!E6*'t_occupation age profile'!H$5</f>
        <v>8529.8372338288464</v>
      </c>
      <c r="BJ6">
        <f>'energy, food, transport'!E6*'t_occupation age profile'!I$5</f>
        <v>6327.6074846973743</v>
      </c>
      <c r="BK6">
        <f>'energy, food, transport'!E6*'t_occupation age profile'!J$5</f>
        <v>3184.5251932030342</v>
      </c>
      <c r="BL6">
        <f>'energy, food, transport'!E6*'t_occupation age profile'!K$5</f>
        <v>2109.3121322052325</v>
      </c>
      <c r="BM6">
        <f>'energy, food, transport'!E6*'t_occupation age profile'!L$5</f>
        <v>717.35689386240631</v>
      </c>
      <c r="BN6">
        <f>'energy, food, transport'!E6*'t_occupation age profile'!M$5</f>
        <v>261.64943102592582</v>
      </c>
      <c r="BO6">
        <f>'energy, food, transport'!E6*'t_occupation age profile'!N$5</f>
        <v>92.917616926240171</v>
      </c>
      <c r="BP6">
        <f>'energy, food, transport'!E6*'t_occupation age profile'!O$5</f>
        <v>43.251917259471085</v>
      </c>
      <c r="BQ6">
        <f>'energy, food, transport'!J6*'t_occupation age profile'!C$7</f>
        <v>1218.0426952612304</v>
      </c>
      <c r="BR6">
        <f>'energy, food, transport'!J6*'t_occupation age profile'!D$7</f>
        <v>5825.0805492844056</v>
      </c>
      <c r="BS6">
        <f>'energy, food, transport'!J6*'t_occupation age profile'!E$7</f>
        <v>6374.8699062359328</v>
      </c>
      <c r="BT6">
        <f>'energy, food, transport'!J6*'t_occupation age profile'!F$7</f>
        <v>6237.5634743967448</v>
      </c>
      <c r="BU6">
        <f>'energy, food, transport'!J6*'t_occupation age profile'!G$7</f>
        <v>6893.3543361107822</v>
      </c>
      <c r="BV6">
        <f>'energy, food, transport'!J6*'t_occupation age profile'!H$7</f>
        <v>6190.0933374142578</v>
      </c>
      <c r="BW6">
        <f>'energy, food, transport'!J6*'t_occupation age profile'!I$7</f>
        <v>4452.9556135505009</v>
      </c>
      <c r="BX6">
        <f>'energy, food, transport'!J6*'t_occupation age profile'!J$7</f>
        <v>2151.8360264111311</v>
      </c>
      <c r="BY6">
        <f>'energy, food, transport'!J6*'t_occupation age profile'!K$7</f>
        <v>1400.8778732564442</v>
      </c>
      <c r="BZ6">
        <f>'energy, food, transport'!J6*'t_occupation age profile'!L$7</f>
        <v>516.14380141875461</v>
      </c>
      <c r="CA6">
        <f>'energy, food, transport'!J6*'t_occupation age profile'!M$7</f>
        <v>217.60799271754391</v>
      </c>
      <c r="CB6">
        <f>'energy, food, transport'!J6*'t_occupation age profile'!N$7</f>
        <v>86.822442162395845</v>
      </c>
      <c r="CC6">
        <f>'energy, food, transport'!J6*'t_occupation age profile'!O$7</f>
        <v>47.75195177987689</v>
      </c>
      <c r="CD6">
        <f>'energy, food, transport'!K6*'t_occupation age profile'!C$9</f>
        <v>1583.907377351605</v>
      </c>
      <c r="CE6">
        <f>'energy, food, transport'!K6*'t_occupation age profile'!D$9</f>
        <v>13404.207350536602</v>
      </c>
      <c r="CF6">
        <f>'energy, food, transport'!K6*'t_occupation age profile'!E$9</f>
        <v>21581.256434088522</v>
      </c>
      <c r="CG6">
        <f>'energy, food, transport'!K6*'t_occupation age profile'!F$9</f>
        <v>26274.915786778391</v>
      </c>
      <c r="CH6">
        <f>'energy, food, transport'!K6*'t_occupation age profile'!G$9</f>
        <v>35684.102292178686</v>
      </c>
      <c r="CI6">
        <f>'energy, food, transport'!K6*'t_occupation age profile'!H$9</f>
        <v>34307.93901502245</v>
      </c>
      <c r="CJ6">
        <f>'energy, food, transport'!K6*'t_occupation age profile'!I$9</f>
        <v>27758.155877828427</v>
      </c>
      <c r="CK6">
        <f>'energy, food, transport'!K6*'t_occupation age profile'!J$9</f>
        <v>15236.578179846007</v>
      </c>
      <c r="CL6">
        <f>'energy, food, transport'!K6*'t_occupation age profile'!K$9</f>
        <v>9084.5627844053633</v>
      </c>
      <c r="CM6">
        <f>'energy, food, transport'!K6*'t_occupation age profile'!L$9</f>
        <v>1416.5055978838327</v>
      </c>
      <c r="CN6">
        <f>'energy, food, transport'!K6*'t_occupation age profile'!M$9</f>
        <v>464.12520388474792</v>
      </c>
      <c r="CO6">
        <f>'energy, food, transport'!K6*'t_occupation age profile'!N$9</f>
        <v>136.86226564594921</v>
      </c>
      <c r="CP6">
        <f>'energy, food, transport'!K6*'t_occupation age profile'!O$9</f>
        <v>70.881834549417235</v>
      </c>
      <c r="CQ6">
        <f>'energy, food, transport'!O6*'t_occupation age profile'!C$17</f>
        <v>2207.8019364924176</v>
      </c>
      <c r="CR6">
        <f>'energy, food, transport'!O6*'t_occupation age profile'!D$17</f>
        <v>15722.481520837</v>
      </c>
      <c r="CS6">
        <f>'energy, food, transport'!O6*'t_occupation age profile'!E$17</f>
        <v>23657.937089343202</v>
      </c>
      <c r="CT6">
        <f>'energy, food, transport'!O6*'t_occupation age profile'!F$17</f>
        <v>27263.557569760571</v>
      </c>
      <c r="CU6">
        <f>'energy, food, transport'!O6*'t_occupation age profile'!G$17</f>
        <v>33832.595893274818</v>
      </c>
      <c r="CV6">
        <f>'energy, food, transport'!O6*'t_occupation age profile'!H$17</f>
        <v>31648.18544357222</v>
      </c>
      <c r="CW6">
        <f>'energy, food, transport'!O6*'t_occupation age profile'!I$17</f>
        <v>24166.950018548327</v>
      </c>
      <c r="CX6">
        <f>'energy, food, transport'!O6*'t_occupation age profile'!J$17</f>
        <v>12839.728865518347</v>
      </c>
      <c r="CY6">
        <f>'energy, food, transport'!O6*'t_occupation age profile'!K$17</f>
        <v>6960.8811688903697</v>
      </c>
      <c r="CZ6">
        <f>'energy, food, transport'!O6*'t_occupation age profile'!L$17</f>
        <v>1431.0628084838158</v>
      </c>
      <c r="DA6">
        <f>'energy, food, transport'!O6*'t_occupation age profile'!M$17</f>
        <v>431.25395645230253</v>
      </c>
      <c r="DB6">
        <f>'energy, food, transport'!O6*'t_occupation age profile'!N$17</f>
        <v>132.90617494215437</v>
      </c>
      <c r="DC6">
        <f>'energy, food, transport'!O6*'t_occupation age profile'!O$17</f>
        <v>81.657553884459645</v>
      </c>
      <c r="DD6">
        <f>'social welfare'!F6*'t_occupation age profile'!C$37</f>
        <v>60.536701135785734</v>
      </c>
      <c r="DE6">
        <f>'social welfare'!F6*'t_occupation age profile'!D$37</f>
        <v>388.12182855851273</v>
      </c>
      <c r="DF6">
        <f>'social welfare'!F6*'t_occupation age profile'!E$37</f>
        <v>589.05215573261</v>
      </c>
      <c r="DG6">
        <f>'social welfare'!F6*'t_occupation age profile'!F$37</f>
        <v>656.88760806916434</v>
      </c>
      <c r="DH6">
        <f>'social welfare'!F6*'t_occupation age profile'!G$37</f>
        <v>938.9628750635701</v>
      </c>
      <c r="DI6">
        <f>'social welfare'!F6*'t_occupation age profile'!H$37</f>
        <v>1327.9433802339379</v>
      </c>
      <c r="DJ6">
        <f>'social welfare'!F6*'t_occupation age profile'!I$37</f>
        <v>1527.156354184325</v>
      </c>
      <c r="DK6">
        <f>'social welfare'!F6*'t_occupation age profile'!J$37</f>
        <v>972.02192461999198</v>
      </c>
      <c r="DL6">
        <f>'social welfare'!F6*'t_occupation age profile'!K$37</f>
        <v>751.77137367915464</v>
      </c>
      <c r="DM6">
        <f>'social welfare'!F6*'t_occupation age profile'!L$37</f>
        <v>226.6906255297508</v>
      </c>
      <c r="DN6">
        <f>'social welfare'!F6*'t_occupation age profile'!M$37</f>
        <v>102.18251681075888</v>
      </c>
      <c r="DO6">
        <f>'social welfare'!F6*'t_occupation age profile'!N$37</f>
        <v>37.352432615697573</v>
      </c>
      <c r="DP6">
        <f>'social welfare'!F6*'t_occupation age profile'!O$37</f>
        <v>19.320223766740124</v>
      </c>
    </row>
    <row r="7" spans="1:120" ht="15.5" x14ac:dyDescent="0.3">
      <c r="A7" s="102">
        <v>6</v>
      </c>
      <c r="B7" s="102" t="s">
        <v>16</v>
      </c>
      <c r="C7" s="102" t="s">
        <v>17</v>
      </c>
      <c r="D7">
        <f>HCW!D7*'t_occupation age profile'!C$33</f>
        <v>4087.1265826253425</v>
      </c>
      <c r="E7">
        <f>HCW!D7*'t_occupation age profile'!D$33</f>
        <v>38163.92483736248</v>
      </c>
      <c r="F7">
        <f>HCW!D7*'t_occupation age profile'!E$33</f>
        <v>57990.508217507675</v>
      </c>
      <c r="G7">
        <f>HCW!D7*'t_occupation age profile'!F$33</f>
        <v>57041.281130310555</v>
      </c>
      <c r="H7">
        <f>HCW!D7*'t_occupation age profile'!G$33</f>
        <v>58682.671892573919</v>
      </c>
      <c r="I7">
        <f>HCW!D7*'t_occupation age profile'!H$33</f>
        <v>48672.640791222366</v>
      </c>
      <c r="J7">
        <f>HCW!D7*'t_occupation age profile'!I$33</f>
        <v>43265.679799317193</v>
      </c>
      <c r="K7">
        <f>HCW!D7*'t_occupation age profile'!J$33</f>
        <v>26724.602997537553</v>
      </c>
      <c r="L7">
        <f>HCW!D7*'t_occupation age profile'!K$33</f>
        <v>18704.769549821325</v>
      </c>
      <c r="M7">
        <f>HCW!D7*'t_occupation age profile'!L$33</f>
        <v>6560.5671170155656</v>
      </c>
      <c r="N7">
        <f>HCW!D7*'t_occupation age profile'!M$33</f>
        <v>3104.2904980824778</v>
      </c>
      <c r="O7">
        <f>HCW!D7*'t_occupation age profile'!N$33</f>
        <v>1142.2517341152056</v>
      </c>
      <c r="P7">
        <f>HCW!D7*'t_occupation age profile'!O$33</f>
        <v>498.68485250834834</v>
      </c>
      <c r="Q7">
        <f>'law enforcement'!I8*'t_occupation age profile'!C$39</f>
        <v>13382.430148146426</v>
      </c>
      <c r="R7">
        <f>'law enforcement'!I8*'t_occupation age profile'!D$39</f>
        <v>54353.045214107231</v>
      </c>
      <c r="S7">
        <f>'law enforcement'!I8*'t_occupation age profile'!E$39</f>
        <v>26094.736042342451</v>
      </c>
      <c r="T7">
        <f>'law enforcement'!I8*'t_occupation age profile'!F$39</f>
        <v>15101.952789694598</v>
      </c>
      <c r="U7">
        <f>'law enforcement'!I8*'t_occupation age profile'!G$39</f>
        <v>7487.6746678897543</v>
      </c>
      <c r="V7">
        <f>'law enforcement'!I8*'t_occupation age profile'!H$39</f>
        <v>3244.3944835572611</v>
      </c>
      <c r="W7">
        <f>'law enforcement'!I8*'t_occupation age profile'!I$39</f>
        <v>2297.7373995178605</v>
      </c>
      <c r="X7">
        <f>'law enforcement'!I8*'t_occupation age profile'!J$39</f>
        <v>837.74915735513503</v>
      </c>
      <c r="Y7">
        <f>'law enforcement'!I8*'t_occupation age profile'!K$39</f>
        <v>458.36777808818368</v>
      </c>
      <c r="Z7">
        <f>'law enforcement'!I8*'t_occupation age profile'!L$39</f>
        <v>74.374837179259558</v>
      </c>
      <c r="AA7">
        <f>'law enforcement'!I8*'t_occupation age profile'!M$39</f>
        <v>0</v>
      </c>
      <c r="AB7">
        <f>'law enforcement'!I8*'t_occupation age profile'!N$39</f>
        <v>0</v>
      </c>
      <c r="AC7">
        <f>'law enforcement'!I8*'t_occupation age profile'!O$39</f>
        <v>0</v>
      </c>
      <c r="AD7">
        <f>'community workers'!D7*'t_occupation age profile'!C$35</f>
        <v>1004.6330434782608</v>
      </c>
      <c r="AE7">
        <f>'community workers'!D7*'t_occupation age profile'!D$35</f>
        <v>6662.205423510467</v>
      </c>
      <c r="AF7">
        <f>'community workers'!D7*'t_occupation age profile'!E$35</f>
        <v>8741.7028019323661</v>
      </c>
      <c r="AG7">
        <f>'community workers'!D7*'t_occupation age profile'!F$35</f>
        <v>9082.1617777777792</v>
      </c>
      <c r="AH7">
        <f>'community workers'!D7*'t_occupation age profile'!G$35</f>
        <v>13277.434950080515</v>
      </c>
      <c r="AI7">
        <f>'community workers'!D7*'t_occupation age profile'!H$35</f>
        <v>16884.811748792268</v>
      </c>
      <c r="AJ7">
        <f>'community workers'!D7*'t_occupation age profile'!I$35</f>
        <v>19552.670608695651</v>
      </c>
      <c r="AK7">
        <f>'community workers'!D7*'t_occupation age profile'!J$35</f>
        <v>13648.125938808373</v>
      </c>
      <c r="AL7">
        <f>'community workers'!D7*'t_occupation age profile'!K$35</f>
        <v>11426.770653784219</v>
      </c>
      <c r="AM7">
        <f>'community workers'!D7*'t_occupation age profile'!L$35</f>
        <v>4775.2627117552338</v>
      </c>
      <c r="AN7">
        <f>'community workers'!D7*'t_occupation age profile'!M$35</f>
        <v>2116.7060096618357</v>
      </c>
      <c r="AO7">
        <f>'community workers'!D7*'t_occupation age profile'!N$35</f>
        <v>798.12514009661834</v>
      </c>
      <c r="AP7">
        <f>'community workers'!D7*'t_occupation age profile'!O$35</f>
        <v>341.389191626409</v>
      </c>
      <c r="AQ7">
        <f>'energy, food, transport'!D7*'t_occupation age profile'!C$3</f>
        <v>4474.3384759183909</v>
      </c>
      <c r="AR7">
        <f>'energy, food, transport'!D7*'t_occupation age profile'!D$3</f>
        <v>16918.791106135457</v>
      </c>
      <c r="AS7">
        <f>'energy, food, transport'!D7*'t_occupation age profile'!E$3</f>
        <v>16332.840592184997</v>
      </c>
      <c r="AT7">
        <f>'energy, food, transport'!D7*'t_occupation age profile'!F$3</f>
        <v>17657.377065109195</v>
      </c>
      <c r="AU7">
        <f>'energy, food, transport'!D7*'t_occupation age profile'!G$3</f>
        <v>24692.175131293021</v>
      </c>
      <c r="AV7">
        <f>'energy, food, transport'!D7*'t_occupation age profile'!H$3</f>
        <v>28502.549421360167</v>
      </c>
      <c r="AW7">
        <f>'energy, food, transport'!D7*'t_occupation age profile'!I$3</f>
        <v>23027.176818497464</v>
      </c>
      <c r="AX7">
        <f>'energy, food, transport'!D7*'t_occupation age profile'!J$3</f>
        <v>12919.318459178367</v>
      </c>
      <c r="AY7">
        <f>'energy, food, transport'!D7*'t_occupation age profile'!K$3</f>
        <v>9835.2344950136376</v>
      </c>
      <c r="AZ7">
        <f>'energy, food, transport'!D7*'t_occupation age profile'!L$3</f>
        <v>3900.2596076919626</v>
      </c>
      <c r="BA7">
        <f>'energy, food, transport'!D7*'t_occupation age profile'!M$3</f>
        <v>1545.0098935133722</v>
      </c>
      <c r="BB7">
        <f>'energy, food, transport'!D7*'t_occupation age profile'!N$3</f>
        <v>551.60753882022425</v>
      </c>
      <c r="BC7">
        <f>'energy, food, transport'!D7*'t_occupation age profile'!O$3</f>
        <v>221.3213952837487</v>
      </c>
      <c r="BD7">
        <f>'energy, food, transport'!E7*'t_occupation age profile'!C$5</f>
        <v>1952.0343925034858</v>
      </c>
      <c r="BE7">
        <f>'energy, food, transport'!E7*'t_occupation age profile'!D$5</f>
        <v>6807.1570793845867</v>
      </c>
      <c r="BF7">
        <f>'energy, food, transport'!E7*'t_occupation age profile'!E$5</f>
        <v>6427.7422127951213</v>
      </c>
      <c r="BG7">
        <f>'energy, food, transport'!E7*'t_occupation age profile'!F$5</f>
        <v>6123.1492094628129</v>
      </c>
      <c r="BH7">
        <f>'energy, food, transport'!E7*'t_occupation age profile'!G$5</f>
        <v>7148.0726963344605</v>
      </c>
      <c r="BI7">
        <f>'energy, food, transport'!E7*'t_occupation age profile'!H$5</f>
        <v>7055.9737846524713</v>
      </c>
      <c r="BJ7">
        <f>'energy, food, transport'!E7*'t_occupation age profile'!I$5</f>
        <v>5234.265473967811</v>
      </c>
      <c r="BK7">
        <f>'energy, food, transport'!E7*'t_occupation age profile'!J$5</f>
        <v>2634.2737456573627</v>
      </c>
      <c r="BL7">
        <f>'energy, food, transport'!E7*'t_occupation age profile'!K$5</f>
        <v>1744.8458511568547</v>
      </c>
      <c r="BM7">
        <f>'energy, food, transport'!E7*'t_occupation age profile'!L$5</f>
        <v>593.40539550492758</v>
      </c>
      <c r="BN7">
        <f>'energy, food, transport'!E7*'t_occupation age profile'!M$5</f>
        <v>216.43924444024293</v>
      </c>
      <c r="BO7">
        <f>'energy, food, transport'!E7*'t_occupation age profile'!N$5</f>
        <v>76.862459527804702</v>
      </c>
      <c r="BP7">
        <f>'energy, food, transport'!E7*'t_occupation age profile'!O$5</f>
        <v>35.778454612057757</v>
      </c>
      <c r="BQ7">
        <f>'energy, food, transport'!J7*'t_occupation age profile'!C$7</f>
        <v>1977.3545823583293</v>
      </c>
      <c r="BR7">
        <f>'energy, food, transport'!J7*'t_occupation age profile'!D$7</f>
        <v>9456.3595853785773</v>
      </c>
      <c r="BS7">
        <f>'energy, food, transport'!J7*'t_occupation age profile'!E$7</f>
        <v>10348.880437504198</v>
      </c>
      <c r="BT7">
        <f>'energy, food, transport'!J7*'t_occupation age profile'!F$7</f>
        <v>10125.978971701097</v>
      </c>
      <c r="BU7">
        <f>'energy, food, transport'!J7*'t_occupation age profile'!G$7</f>
        <v>11190.581280408232</v>
      </c>
      <c r="BV7">
        <f>'energy, food, transport'!J7*'t_occupation age profile'!H$7</f>
        <v>10048.916572121278</v>
      </c>
      <c r="BW7">
        <f>'energy, food, transport'!J7*'t_occupation age profile'!I$7</f>
        <v>7228.8699088695957</v>
      </c>
      <c r="BX7">
        <f>'energy, food, transport'!J7*'t_occupation age profile'!J$7</f>
        <v>3493.2624643303184</v>
      </c>
      <c r="BY7">
        <f>'energy, food, transport'!J7*'t_occupation age profile'!K$7</f>
        <v>2274.1668192623897</v>
      </c>
      <c r="BZ7">
        <f>'energy, food, transport'!J7*'t_occupation age profile'!L$7</f>
        <v>837.90109727831566</v>
      </c>
      <c r="CA7">
        <f>'energy, food, transport'!J7*'t_occupation age profile'!M$7</f>
        <v>353.26196957779928</v>
      </c>
      <c r="CB7">
        <f>'energy, food, transport'!J7*'t_occupation age profile'!N$7</f>
        <v>140.94641717344311</v>
      </c>
      <c r="CC7">
        <f>'energy, food, transport'!J7*'t_occupation age profile'!O$7</f>
        <v>77.519894036426194</v>
      </c>
      <c r="CD7">
        <f>'energy, food, transport'!K7*'t_occupation age profile'!C$9</f>
        <v>1616.8383942450566</v>
      </c>
      <c r="CE7">
        <f>'energy, food, transport'!K7*'t_occupation age profile'!D$9</f>
        <v>13682.894213806299</v>
      </c>
      <c r="CF7">
        <f>'energy, food, transport'!K7*'t_occupation age profile'!E$9</f>
        <v>22029.952317683183</v>
      </c>
      <c r="CG7">
        <f>'energy, food, transport'!K7*'t_occupation age profile'!F$9</f>
        <v>26821.197537858548</v>
      </c>
      <c r="CH7">
        <f>'energy, food, transport'!K7*'t_occupation age profile'!G$9</f>
        <v>36426.010431640898</v>
      </c>
      <c r="CI7">
        <f>'energy, food, transport'!K7*'t_occupation age profile'!H$9</f>
        <v>35021.235344996181</v>
      </c>
      <c r="CJ7">
        <f>'energy, food, transport'!K7*'t_occupation age profile'!I$9</f>
        <v>28335.275672340827</v>
      </c>
      <c r="CK7">
        <f>'energy, food, transport'!K7*'t_occupation age profile'!J$9</f>
        <v>15553.361863420911</v>
      </c>
      <c r="CL7">
        <f>'energy, food, transport'!K7*'t_occupation age profile'!K$9</f>
        <v>9273.4399212888948</v>
      </c>
      <c r="CM7">
        <f>'energy, food, transport'!K7*'t_occupation age profile'!L$9</f>
        <v>1445.956164527179</v>
      </c>
      <c r="CN7">
        <f>'energy, food, transport'!K7*'t_occupation age profile'!M$9</f>
        <v>473.77483059168418</v>
      </c>
      <c r="CO7">
        <f>'energy, food, transport'!K7*'t_occupation age profile'!N$9</f>
        <v>139.70776889096777</v>
      </c>
      <c r="CP7">
        <f>'energy, food, transport'!K7*'t_occupation age profile'!O$9</f>
        <v>72.355538709371743</v>
      </c>
      <c r="CQ7">
        <f>'energy, food, transport'!O7*'t_occupation age profile'!C$17</f>
        <v>4235.6401754388726</v>
      </c>
      <c r="CR7">
        <f>'energy, food, transport'!O7*'t_occupation age profile'!D$17</f>
        <v>30163.382541938077</v>
      </c>
      <c r="CS7">
        <f>'energy, food, transport'!O7*'t_occupation age profile'!E$17</f>
        <v>45387.453986396846</v>
      </c>
      <c r="CT7">
        <f>'energy, food, transport'!O7*'t_occupation age profile'!F$17</f>
        <v>52304.791412282138</v>
      </c>
      <c r="CU7">
        <f>'energy, food, transport'!O7*'t_occupation age profile'!G$17</f>
        <v>64907.408602336458</v>
      </c>
      <c r="CV7">
        <f>'energy, food, transport'!O7*'t_occupation age profile'!H$17</f>
        <v>60716.644699344208</v>
      </c>
      <c r="CW7">
        <f>'energy, food, transport'!O7*'t_occupation age profile'!I$17</f>
        <v>46363.988872576141</v>
      </c>
      <c r="CX7">
        <f>'energy, food, transport'!O7*'t_occupation age profile'!J$17</f>
        <v>24632.857923357686</v>
      </c>
      <c r="CY7">
        <f>'energy, food, transport'!O7*'t_occupation age profile'!K$17</f>
        <v>13354.362747887377</v>
      </c>
      <c r="CZ7">
        <f>'energy, food, transport'!O7*'t_occupation age profile'!L$17</f>
        <v>2745.4759528023692</v>
      </c>
      <c r="DA7">
        <f>'energy, food, transport'!O7*'t_occupation age profile'!M$17</f>
        <v>827.35527747038554</v>
      </c>
      <c r="DB7">
        <f>'energy, food, transport'!O7*'t_occupation age profile'!N$17</f>
        <v>254.97882071942354</v>
      </c>
      <c r="DC7">
        <f>'energy, food, transport'!O7*'t_occupation age profile'!O$17</f>
        <v>156.65898745001383</v>
      </c>
      <c r="DD7">
        <f>'social welfare'!F7*'t_occupation age profile'!C$37</f>
        <v>141.41430750974743</v>
      </c>
      <c r="DE7">
        <f>'social welfare'!F7*'t_occupation age profile'!D$37</f>
        <v>906.65626942419613</v>
      </c>
      <c r="DF7">
        <f>'social welfare'!F7*'t_occupation age profile'!E$37</f>
        <v>1376.0314177544217</v>
      </c>
      <c r="DG7">
        <f>'social welfare'!F7*'t_occupation age profile'!F$37</f>
        <v>1534.4956772334294</v>
      </c>
      <c r="DH7">
        <f>'social welfare'!F7*'t_occupation age profile'!G$37</f>
        <v>2193.4261739277845</v>
      </c>
      <c r="DI7">
        <f>'social welfare'!F7*'t_occupation age profile'!H$37</f>
        <v>3102.0883200542462</v>
      </c>
      <c r="DJ7">
        <f>'social welfare'!F7*'t_occupation age profile'!I$37</f>
        <v>3567.4517149799399</v>
      </c>
      <c r="DK7">
        <f>'social welfare'!F7*'t_occupation age profile'!J$37</f>
        <v>2270.6524269650222</v>
      </c>
      <c r="DL7">
        <f>'social welfare'!F7*'t_occupation age profile'!K$37</f>
        <v>1756.1450528338137</v>
      </c>
      <c r="DM7">
        <f>'social welfare'!F7*'t_occupation age profile'!L$37</f>
        <v>529.55144939820309</v>
      </c>
      <c r="DN7">
        <f>'social welfare'!F7*'t_occupation age profile'!M$37</f>
        <v>238.69932756964457</v>
      </c>
      <c r="DO7">
        <f>'social welfare'!F7*'t_occupation age profile'!N$37</f>
        <v>87.255636548567551</v>
      </c>
      <c r="DP7">
        <f>'social welfare'!F7*'t_occupation age profile'!O$37</f>
        <v>45.132225800983214</v>
      </c>
    </row>
    <row r="8" spans="1:120" ht="15.5" x14ac:dyDescent="0.3">
      <c r="A8" s="102">
        <v>7</v>
      </c>
      <c r="B8" s="102" t="s">
        <v>18</v>
      </c>
      <c r="C8" s="102" t="s">
        <v>19</v>
      </c>
      <c r="D8">
        <f>HCW!D8*'t_occupation age profile'!C$33</f>
        <v>2327.6420093690172</v>
      </c>
      <c r="E8">
        <f>HCW!D8*'t_occupation age profile'!D$33</f>
        <v>21734.57388657286</v>
      </c>
      <c r="F8">
        <f>HCW!D8*'t_occupation age profile'!E$33</f>
        <v>33025.926734333174</v>
      </c>
      <c r="G8">
        <f>HCW!D8*'t_occupation age profile'!F$33</f>
        <v>32485.336468794645</v>
      </c>
      <c r="H8">
        <f>HCW!D8*'t_occupation age profile'!G$33</f>
        <v>33420.117913606249</v>
      </c>
      <c r="I8">
        <f>HCW!D8*'t_occupation age profile'!H$33</f>
        <v>27719.34784065446</v>
      </c>
      <c r="J8">
        <f>HCW!D8*'t_occupation age profile'!I$33</f>
        <v>24640.052572120385</v>
      </c>
      <c r="K8">
        <f>HCW!D8*'t_occupation age profile'!J$33</f>
        <v>15219.814547759945</v>
      </c>
      <c r="L8">
        <f>HCW!D8*'t_occupation age profile'!K$33</f>
        <v>10652.473443032961</v>
      </c>
      <c r="M8">
        <f>HCW!D8*'t_occupation age profile'!L$33</f>
        <v>3736.2805673225312</v>
      </c>
      <c r="N8">
        <f>HCW!D8*'t_occupation age profile'!M$33</f>
        <v>1767.9112272516097</v>
      </c>
      <c r="O8">
        <f>HCW!D8*'t_occupation age profile'!N$33</f>
        <v>650.51890805234791</v>
      </c>
      <c r="P8">
        <f>HCW!D8*'t_occupation age profile'!O$33</f>
        <v>284.00388112981233</v>
      </c>
      <c r="Q8">
        <f>'law enforcement'!I9*'t_occupation age profile'!C$39</f>
        <v>7767.2481616261448</v>
      </c>
      <c r="R8">
        <f>'law enforcement'!I9*'t_occupation age profile'!D$39</f>
        <v>31546.855529564007</v>
      </c>
      <c r="S8">
        <f>'law enforcement'!I9*'t_occupation age profile'!E$39</f>
        <v>15145.551914655598</v>
      </c>
      <c r="T8">
        <f>'law enforcement'!I9*'t_occupation age profile'!F$39</f>
        <v>8765.2701149325476</v>
      </c>
      <c r="U8">
        <f>'law enforcement'!I9*'t_occupation age profile'!G$39</f>
        <v>4345.894329743749</v>
      </c>
      <c r="V8">
        <f>'law enforcement'!I9*'t_occupation age profile'!H$39</f>
        <v>1883.0673359793734</v>
      </c>
      <c r="W8">
        <f>'law enforcement'!I9*'t_occupation age profile'!I$39</f>
        <v>1333.6215018298979</v>
      </c>
      <c r="X8">
        <f>'law enforcement'!I9*'t_occupation age profile'!J$39</f>
        <v>486.23497603473743</v>
      </c>
      <c r="Y8">
        <f>'law enforcement'!I9*'t_occupation age profile'!K$39</f>
        <v>266.03959387729213</v>
      </c>
      <c r="Z8">
        <f>'law enforcement'!I9*'t_occupation age profile'!L$39</f>
        <v>43.167631809523186</v>
      </c>
      <c r="AA8">
        <f>'law enforcement'!I9*'t_occupation age profile'!M$39</f>
        <v>0</v>
      </c>
      <c r="AB8">
        <f>'law enforcement'!I9*'t_occupation age profile'!N$39</f>
        <v>0</v>
      </c>
      <c r="AC8">
        <f>'law enforcement'!I9*'t_occupation age profile'!O$39</f>
        <v>0</v>
      </c>
      <c r="AD8">
        <f>'community workers'!D8*'t_occupation age profile'!C$35</f>
        <v>782.5715942028985</v>
      </c>
      <c r="AE8">
        <f>'community workers'!D8*'t_occupation age profile'!D$35</f>
        <v>5189.6090348899625</v>
      </c>
      <c r="AF8">
        <f>'community workers'!D8*'t_occupation age profile'!E$35</f>
        <v>6809.4597745571655</v>
      </c>
      <c r="AG8">
        <f>'community workers'!D8*'t_occupation age profile'!F$35</f>
        <v>7074.6645925925932</v>
      </c>
      <c r="AH8">
        <f>'community workers'!D8*'t_occupation age profile'!G$35</f>
        <v>10342.62560171766</v>
      </c>
      <c r="AI8">
        <f>'community workers'!D8*'t_occupation age profile'!H$35</f>
        <v>13152.637307568437</v>
      </c>
      <c r="AJ8">
        <f>'community workers'!D8*'t_occupation age profile'!I$35</f>
        <v>15230.799652173913</v>
      </c>
      <c r="AK8">
        <f>'community workers'!D8*'t_occupation age profile'!J$35</f>
        <v>10631.38002791197</v>
      </c>
      <c r="AL8">
        <f>'community workers'!D8*'t_occupation age profile'!K$35</f>
        <v>8901.0272807300062</v>
      </c>
      <c r="AM8">
        <f>'community workers'!D8*'t_occupation age profile'!L$35</f>
        <v>3719.7511841116479</v>
      </c>
      <c r="AN8">
        <f>'community workers'!D8*'t_occupation age profile'!M$35</f>
        <v>1648.8348727858292</v>
      </c>
      <c r="AO8">
        <f>'community workers'!D8*'t_occupation age profile'!N$35</f>
        <v>621.70965539452493</v>
      </c>
      <c r="AP8">
        <f>'community workers'!D8*'t_occupation age profile'!O$35</f>
        <v>265.92942136339241</v>
      </c>
      <c r="AQ8">
        <f>'energy, food, transport'!D8*'t_occupation age profile'!C$3</f>
        <v>2459.3007026057935</v>
      </c>
      <c r="AR8">
        <f>'energy, food, transport'!D8*'t_occupation age profile'!D$3</f>
        <v>9299.3400205421767</v>
      </c>
      <c r="AS8">
        <f>'energy, food, transport'!D8*'t_occupation age profile'!E$3</f>
        <v>8977.2748664626542</v>
      </c>
      <c r="AT8">
        <f>'energy, food, transport'!D8*'t_occupation age profile'!F$3</f>
        <v>9705.3005837885794</v>
      </c>
      <c r="AU8">
        <f>'energy, food, transport'!D8*'t_occupation age profile'!G$3</f>
        <v>13571.946775168786</v>
      </c>
      <c r="AV8">
        <f>'energy, food, transport'!D8*'t_occupation age profile'!H$3</f>
        <v>15666.302447898652</v>
      </c>
      <c r="AW8">
        <f>'energy, food, transport'!D8*'t_occupation age profile'!I$3</f>
        <v>12656.787686840071</v>
      </c>
      <c r="AX8">
        <f>'energy, food, transport'!D8*'t_occupation age profile'!J$3</f>
        <v>7101.0472575666763</v>
      </c>
      <c r="AY8">
        <f>'energy, food, transport'!D8*'t_occupation age profile'!K$3</f>
        <v>5405.8939067892161</v>
      </c>
      <c r="AZ8">
        <f>'energy, food, transport'!D8*'t_occupation age profile'!L$3</f>
        <v>2143.7607470170278</v>
      </c>
      <c r="BA8">
        <f>'energy, food, transport'!D8*'t_occupation age profile'!M$3</f>
        <v>849.20797501141965</v>
      </c>
      <c r="BB8">
        <f>'energy, food, transport'!D8*'t_occupation age profile'!N$3</f>
        <v>303.18868701697505</v>
      </c>
      <c r="BC8">
        <f>'energy, food, transport'!D8*'t_occupation age profile'!O$3</f>
        <v>121.64834329197613</v>
      </c>
      <c r="BD8">
        <f>'energy, food, transport'!E8*'t_occupation age profile'!C$5</f>
        <v>1238.3655318696381</v>
      </c>
      <c r="BE8">
        <f>'energy, food, transport'!E8*'t_occupation age profile'!D$5</f>
        <v>4318.4427126415048</v>
      </c>
      <c r="BF8">
        <f>'energy, food, transport'!E8*'t_occupation age profile'!E$5</f>
        <v>4077.742909980384</v>
      </c>
      <c r="BG8">
        <f>'energy, food, transport'!E8*'t_occupation age profile'!F$5</f>
        <v>3884.5099023940634</v>
      </c>
      <c r="BH8">
        <f>'energy, food, transport'!E8*'t_occupation age profile'!G$5</f>
        <v>4534.7186916550472</v>
      </c>
      <c r="BI8">
        <f>'energy, food, transport'!E8*'t_occupation age profile'!H$5</f>
        <v>4476.2913820811573</v>
      </c>
      <c r="BJ8">
        <f>'energy, food, transport'!E8*'t_occupation age profile'!I$5</f>
        <v>3320.6043769054427</v>
      </c>
      <c r="BK8">
        <f>'energy, food, transport'!E8*'t_occupation age profile'!J$5</f>
        <v>1671.1763996880391</v>
      </c>
      <c r="BL8">
        <f>'energy, food, transport'!E8*'t_occupation age profile'!K$5</f>
        <v>1106.9256611443291</v>
      </c>
      <c r="BM8">
        <f>'energy, food, transport'!E8*'t_occupation age profile'!L$5</f>
        <v>376.45483657504781</v>
      </c>
      <c r="BN8">
        <f>'energy, food, transport'!E8*'t_occupation age profile'!M$5</f>
        <v>137.30849266182969</v>
      </c>
      <c r="BO8">
        <f>'energy, food, transport'!E8*'t_occupation age profile'!N$5</f>
        <v>48.761344031385157</v>
      </c>
      <c r="BP8">
        <f>'energy, food, transport'!E8*'t_occupation age profile'!O$5</f>
        <v>22.697758372131496</v>
      </c>
      <c r="BQ8">
        <f>'energy, food, transport'!J8*'t_occupation age profile'!C$7</f>
        <v>657.44976277275111</v>
      </c>
      <c r="BR8">
        <f>'energy, food, transport'!J8*'t_occupation age profile'!D$7</f>
        <v>3144.1408746660186</v>
      </c>
      <c r="BS8">
        <f>'energy, food, transport'!J8*'t_occupation age profile'!E$7</f>
        <v>3440.8947435648784</v>
      </c>
      <c r="BT8">
        <f>'energy, food, transport'!J8*'t_occupation age profile'!F$7</f>
        <v>3366.7823324063465</v>
      </c>
      <c r="BU8">
        <f>'energy, food, transport'!J8*'t_occupation age profile'!G$7</f>
        <v>3720.7514897600336</v>
      </c>
      <c r="BV8">
        <f>'energy, food, transport'!J8*'t_occupation age profile'!H$7</f>
        <v>3341.1598887766236</v>
      </c>
      <c r="BW8">
        <f>'energy, food, transport'!J8*'t_occupation age profile'!I$7</f>
        <v>2403.5238035219231</v>
      </c>
      <c r="BX8">
        <f>'energy, food, transport'!J8*'t_occupation age profile'!J$7</f>
        <v>1161.4733133689092</v>
      </c>
      <c r="BY8">
        <f>'energy, food, transport'!J8*'t_occupation age profile'!K$7</f>
        <v>756.13673398248125</v>
      </c>
      <c r="BZ8">
        <f>'energy, food, transport'!J8*'t_occupation age profile'!L$7</f>
        <v>278.59337042911221</v>
      </c>
      <c r="CA8">
        <f>'energy, food, transport'!J8*'t_occupation age profile'!M$7</f>
        <v>117.4559182089432</v>
      </c>
      <c r="CB8">
        <f>'energy, food, transport'!J8*'t_occupation age profile'!N$7</f>
        <v>46.863212779890247</v>
      </c>
      <c r="CC8">
        <f>'energy, food, transport'!J8*'t_occupation age profile'!O$7</f>
        <v>25.774555762089125</v>
      </c>
      <c r="CD8">
        <f>'energy, food, transport'!K8*'t_occupation age profile'!C$9</f>
        <v>1028.4251548919233</v>
      </c>
      <c r="CE8">
        <f>'energy, food, transport'!K8*'t_occupation age profile'!D$9</f>
        <v>8703.3018582998484</v>
      </c>
      <c r="CF8">
        <f>'energy, food, transport'!K8*'t_occupation age profile'!E$9</f>
        <v>14012.629342064674</v>
      </c>
      <c r="CG8">
        <f>'energy, food, transport'!K8*'t_occupation age profile'!F$9</f>
        <v>17060.204860572067</v>
      </c>
      <c r="CH8">
        <f>'energy, food, transport'!K8*'t_occupation age profile'!G$9</f>
        <v>23169.554578611303</v>
      </c>
      <c r="CI8">
        <f>'energy, food, transport'!K8*'t_occupation age profile'!H$9</f>
        <v>22276.016893451695</v>
      </c>
      <c r="CJ8">
        <f>'energy, food, transport'!K8*'t_occupation age profile'!I$9</f>
        <v>18023.26712178245</v>
      </c>
      <c r="CK8">
        <f>'energy, food, transport'!K8*'t_occupation age profile'!J$9</f>
        <v>9893.053406211</v>
      </c>
      <c r="CL8">
        <f>'energy, food, transport'!K8*'t_occupation age profile'!K$9</f>
        <v>5898.5727462796704</v>
      </c>
      <c r="CM8">
        <f>'energy, food, transport'!K8*'t_occupation age profile'!L$9</f>
        <v>919.73180360127503</v>
      </c>
      <c r="CN8">
        <f>'energy, food, transport'!K8*'t_occupation age profile'!M$9</f>
        <v>301.35476450177526</v>
      </c>
      <c r="CO8">
        <f>'energy, food, transport'!K8*'t_occupation age profile'!N$9</f>
        <v>88.864158825462553</v>
      </c>
      <c r="CP8">
        <f>'energy, food, transport'!K8*'t_occupation age profile'!O$9</f>
        <v>46.023310906851137</v>
      </c>
      <c r="CQ8">
        <f>'energy, food, transport'!O8*'t_occupation age profile'!C$17</f>
        <v>1714.2879403655593</v>
      </c>
      <c r="CR8">
        <f>'energy, food, transport'!O8*'t_occupation age profile'!D$17</f>
        <v>12208.00653278338</v>
      </c>
      <c r="CS8">
        <f>'energy, food, transport'!O8*'t_occupation age profile'!E$17</f>
        <v>18369.635235768088</v>
      </c>
      <c r="CT8">
        <f>'energy, food, transport'!O8*'t_occupation age profile'!F$17</f>
        <v>21169.28478990091</v>
      </c>
      <c r="CU8">
        <f>'energy, food, transport'!O8*'t_occupation age profile'!G$17</f>
        <v>26269.93398839315</v>
      </c>
      <c r="CV8">
        <f>'energy, food, transport'!O8*'t_occupation age profile'!H$17</f>
        <v>24573.808793085562</v>
      </c>
      <c r="CW8">
        <f>'energy, food, transport'!O8*'t_occupation age profile'!I$17</f>
        <v>18764.867575953824</v>
      </c>
      <c r="CX8">
        <f>'energy, food, transport'!O8*'t_occupation age profile'!J$17</f>
        <v>9969.6408395632643</v>
      </c>
      <c r="CY8">
        <f>'energy, food, transport'!O8*'t_occupation age profile'!K$17</f>
        <v>5404.9026975239558</v>
      </c>
      <c r="CZ8">
        <f>'energy, food, transport'!O8*'t_occupation age profile'!L$17</f>
        <v>1111.174727198134</v>
      </c>
      <c r="DA8">
        <f>'energy, food, transport'!O8*'t_occupation age profile'!M$17</f>
        <v>334.85497252332686</v>
      </c>
      <c r="DB8">
        <f>'energy, food, transport'!O8*'t_occupation age profile'!N$17</f>
        <v>103.1974151021101</v>
      </c>
      <c r="DC8">
        <f>'energy, food, transport'!O8*'t_occupation age profile'!O$17</f>
        <v>63.404491838736448</v>
      </c>
      <c r="DD8">
        <f>'social welfare'!F8*'t_occupation age profile'!C$37</f>
        <v>133.94880488218342</v>
      </c>
      <c r="DE8">
        <f>'social welfare'!F8*'t_occupation age profile'!D$37</f>
        <v>858.79233768435324</v>
      </c>
      <c r="DF8">
        <f>'social welfare'!F8*'t_occupation age profile'!E$37</f>
        <v>1303.3883709103238</v>
      </c>
      <c r="DG8">
        <f>'social welfare'!F8*'t_occupation age profile'!F$37</f>
        <v>1453.4870317002883</v>
      </c>
      <c r="DH8">
        <f>'social welfare'!F8*'t_occupation age profile'!G$37</f>
        <v>2077.6314629598237</v>
      </c>
      <c r="DI8">
        <f>'social welfare'!F8*'t_occupation age profile'!H$37</f>
        <v>2938.3237836921512</v>
      </c>
      <c r="DJ8">
        <f>'social welfare'!F8*'t_occupation age profile'!I$37</f>
        <v>3379.1198508221732</v>
      </c>
      <c r="DK8">
        <f>'social welfare'!F8*'t_occupation age profile'!J$37</f>
        <v>2150.7808103068314</v>
      </c>
      <c r="DL8">
        <f>'social welfare'!F8*'t_occupation age profile'!K$37</f>
        <v>1663.4351585014408</v>
      </c>
      <c r="DM8">
        <f>'social welfare'!F8*'t_occupation age profile'!L$37</f>
        <v>501.5955246651975</v>
      </c>
      <c r="DN8">
        <f>'social welfare'!F8*'t_occupation age profile'!M$37</f>
        <v>226.0979827089337</v>
      </c>
      <c r="DO8">
        <f>'social welfare'!F8*'t_occupation age profile'!N$37</f>
        <v>82.649262586879132</v>
      </c>
      <c r="DP8">
        <f>'social welfare'!F8*'t_occupation age profile'!O$37</f>
        <v>42.749618579420236</v>
      </c>
    </row>
    <row r="9" spans="1:120" ht="15.5" x14ac:dyDescent="0.3">
      <c r="A9" s="102">
        <v>8</v>
      </c>
      <c r="B9" s="102" t="s">
        <v>20</v>
      </c>
      <c r="C9" s="102" t="s">
        <v>21</v>
      </c>
      <c r="D9">
        <f>HCW!D9*'t_occupation age profile'!C$33</f>
        <v>2849.6084219022268</v>
      </c>
      <c r="E9">
        <f>HCW!D9*'t_occupation age profile'!D$33</f>
        <v>26608.48384087368</v>
      </c>
      <c r="F9">
        <f>HCW!D9*'t_occupation age profile'!E$33</f>
        <v>40431.887113428384</v>
      </c>
      <c r="G9">
        <f>HCW!D9*'t_occupation age profile'!F$33</f>
        <v>39770.071178127168</v>
      </c>
      <c r="H9">
        <f>HCW!D9*'t_occupation age profile'!G$33</f>
        <v>40914.474427016452</v>
      </c>
      <c r="I9">
        <f>HCW!D9*'t_occupation age profile'!H$33</f>
        <v>33935.324563839975</v>
      </c>
      <c r="J9">
        <f>HCW!D9*'t_occupation age profile'!I$33</f>
        <v>30165.506999361034</v>
      </c>
      <c r="K9">
        <f>HCW!D9*'t_occupation age profile'!J$33</f>
        <v>18632.810174638387</v>
      </c>
      <c r="L9">
        <f>HCW!D9*'t_occupation age profile'!K$33</f>
        <v>13041.257167198723</v>
      </c>
      <c r="M9">
        <f>HCW!D9*'t_occupation age profile'!L$33</f>
        <v>4574.1297537923847</v>
      </c>
      <c r="N9">
        <f>HCW!D9*'t_occupation age profile'!M$33</f>
        <v>2164.3597692745552</v>
      </c>
      <c r="O9">
        <f>HCW!D9*'t_occupation age profile'!N$33</f>
        <v>796.39573075720637</v>
      </c>
      <c r="P9">
        <f>HCW!D9*'t_occupation age profile'!O$33</f>
        <v>347.69085978982611</v>
      </c>
      <c r="Q9">
        <f>'law enforcement'!I10*'t_occupation age profile'!C$39</f>
        <v>11505.98209750764</v>
      </c>
      <c r="R9">
        <f>'law enforcement'!I10*'t_occupation age profile'!D$39</f>
        <v>46731.80866669138</v>
      </c>
      <c r="S9">
        <f>'law enforcement'!I10*'t_occupation age profile'!E$39</f>
        <v>22435.802945996773</v>
      </c>
      <c r="T9">
        <f>'law enforcement'!I10*'t_occupation age profile'!F$39</f>
        <v>12984.397939091741</v>
      </c>
      <c r="U9">
        <f>'law enforcement'!I10*'t_occupation age profile'!G$39</f>
        <v>6437.7732390132351</v>
      </c>
      <c r="V9">
        <f>'law enforcement'!I10*'t_occupation age profile'!H$39</f>
        <v>2789.4742906790279</v>
      </c>
      <c r="W9">
        <f>'law enforcement'!I10*'t_occupation age profile'!I$39</f>
        <v>1975.5548948102</v>
      </c>
      <c r="X9">
        <f>'law enforcement'!I10*'t_occupation age profile'!J$39</f>
        <v>720.28224321166294</v>
      </c>
      <c r="Y9">
        <f>'law enforcement'!I10*'t_occupation age profile'!K$39</f>
        <v>394.09669173483292</v>
      </c>
      <c r="Z9">
        <f>'law enforcement'!I10*'t_occupation age profile'!L$39</f>
        <v>63.946199278920595</v>
      </c>
      <c r="AA9">
        <f>'law enforcement'!I10*'t_occupation age profile'!M$39</f>
        <v>0</v>
      </c>
      <c r="AB9">
        <f>'law enforcement'!I10*'t_occupation age profile'!N$39</f>
        <v>0</v>
      </c>
      <c r="AC9">
        <f>'law enforcement'!I10*'t_occupation age profile'!O$39</f>
        <v>0</v>
      </c>
      <c r="AD9">
        <f>'community workers'!D9*'t_occupation age profile'!C$35</f>
        <v>753.96637681159416</v>
      </c>
      <c r="AE9">
        <f>'community workers'!D9*'t_occupation age profile'!D$35</f>
        <v>4999.9140654857756</v>
      </c>
      <c r="AF9">
        <f>'community workers'!D9*'t_occupation age profile'!E$35</f>
        <v>6560.5546537842183</v>
      </c>
      <c r="AG9">
        <f>'community workers'!D9*'t_occupation age profile'!F$35</f>
        <v>6816.0654814814816</v>
      </c>
      <c r="AH9">
        <f>'community workers'!D9*'t_occupation age profile'!G$35</f>
        <v>9964.573221685454</v>
      </c>
      <c r="AI9">
        <f>'community workers'!D9*'t_occupation age profile'!H$35</f>
        <v>12671.87100805153</v>
      </c>
      <c r="AJ9">
        <f>'community workers'!D9*'t_occupation age profile'!I$35</f>
        <v>14674.070608695652</v>
      </c>
      <c r="AK9">
        <f>'community workers'!D9*'t_occupation age profile'!J$35</f>
        <v>10242.77285238862</v>
      </c>
      <c r="AL9">
        <f>'community workers'!D9*'t_occupation age profile'!K$35</f>
        <v>8575.6694192163177</v>
      </c>
      <c r="AM9">
        <f>'community workers'!D9*'t_occupation age profile'!L$35</f>
        <v>3583.7836994095546</v>
      </c>
      <c r="AN9">
        <f>'community workers'!D9*'t_occupation age profile'!M$35</f>
        <v>1588.5652689210949</v>
      </c>
      <c r="AO9">
        <f>'community workers'!D9*'t_occupation age profile'!N$35</f>
        <v>598.9843993558776</v>
      </c>
      <c r="AP9">
        <f>'community workers'!D9*'t_occupation age profile'!O$35</f>
        <v>256.20894471282878</v>
      </c>
      <c r="AQ9">
        <f>'energy, food, transport'!D9*'t_occupation age profile'!C$3</f>
        <v>2975.814872218687</v>
      </c>
      <c r="AR9">
        <f>'energy, food, transport'!D9*'t_occupation age profile'!D$3</f>
        <v>11252.432167252391</v>
      </c>
      <c r="AS9">
        <f>'energy, food, transport'!D9*'t_occupation age profile'!E$3</f>
        <v>10862.725339487186</v>
      </c>
      <c r="AT9">
        <f>'energy, food, transport'!D9*'t_occupation age profile'!F$3</f>
        <v>11743.654521787117</v>
      </c>
      <c r="AU9">
        <f>'energy, food, transport'!D9*'t_occupation age profile'!G$3</f>
        <v>16422.392355564472</v>
      </c>
      <c r="AV9">
        <f>'energy, food, transport'!D9*'t_occupation age profile'!H$3</f>
        <v>18956.614686335757</v>
      </c>
      <c r="AW9">
        <f>'energy, food, transport'!D9*'t_occupation age profile'!I$3</f>
        <v>15315.027151053646</v>
      </c>
      <c r="AX9">
        <f>'energy, food, transport'!D9*'t_occupation age profile'!J$3</f>
        <v>8592.4433783166496</v>
      </c>
      <c r="AY9">
        <f>'energy, food, transport'!D9*'t_occupation age profile'!K$3</f>
        <v>6541.2657624236599</v>
      </c>
      <c r="AZ9">
        <f>'energy, food, transport'!D9*'t_occupation age profile'!L$3</f>
        <v>2594.0036965355539</v>
      </c>
      <c r="BA9">
        <f>'energy, food, transport'!D9*'t_occupation age profile'!M$3</f>
        <v>1027.5627209670135</v>
      </c>
      <c r="BB9">
        <f>'energy, food, transport'!D9*'t_occupation age profile'!N$3</f>
        <v>366.86583424206503</v>
      </c>
      <c r="BC9">
        <f>'energy, food, transport'!D9*'t_occupation age profile'!O$3</f>
        <v>147.19751381580161</v>
      </c>
      <c r="BD9">
        <f>'energy, food, transport'!E9*'t_occupation age profile'!C$5</f>
        <v>1511.0568944532413</v>
      </c>
      <c r="BE9">
        <f>'energy, food, transport'!E9*'t_occupation age profile'!D$5</f>
        <v>5269.3752097464139</v>
      </c>
      <c r="BF9">
        <f>'energy, food, transport'!E9*'t_occupation age profile'!E$5</f>
        <v>4975.6726744735652</v>
      </c>
      <c r="BG9">
        <f>'energy, food, transport'!E9*'t_occupation age profile'!F$5</f>
        <v>4739.889247985253</v>
      </c>
      <c r="BH9">
        <f>'energy, food, transport'!E9*'t_occupation age profile'!G$5</f>
        <v>5533.2757308628561</v>
      </c>
      <c r="BI9">
        <f>'energy, food, transport'!E9*'t_occupation age profile'!H$5</f>
        <v>5461.9825733226198</v>
      </c>
      <c r="BJ9">
        <f>'energy, food, transport'!E9*'t_occupation age profile'!I$5</f>
        <v>4051.8102356249851</v>
      </c>
      <c r="BK9">
        <f>'energy, food, transport'!E9*'t_occupation age profile'!J$5</f>
        <v>2039.1738590976768</v>
      </c>
      <c r="BL9">
        <f>'energy, food, transport'!E9*'t_occupation age profile'!K$5</f>
        <v>1350.67361685534</v>
      </c>
      <c r="BM9">
        <f>'energy, food, transport'!E9*'t_occupation age profile'!L$5</f>
        <v>459.35118639661567</v>
      </c>
      <c r="BN9">
        <f>'energy, food, transport'!E9*'t_occupation age profile'!M$5</f>
        <v>167.54418559308013</v>
      </c>
      <c r="BO9">
        <f>'energy, food, transport'!E9*'t_occupation age profile'!N$5</f>
        <v>59.498720842294333</v>
      </c>
      <c r="BP9">
        <f>'energy, food, transport'!E9*'t_occupation age profile'!O$5</f>
        <v>27.695864746059129</v>
      </c>
      <c r="BQ9">
        <f>'energy, food, transport'!J9*'t_occupation age profile'!C$7</f>
        <v>1114.8048468439963</v>
      </c>
      <c r="BR9">
        <f>'energy, food, transport'!J9*'t_occupation age profile'!D$7</f>
        <v>5331.3632230323665</v>
      </c>
      <c r="BS9">
        <f>'energy, food, transport'!J9*'t_occupation age profile'!E$7</f>
        <v>5834.5539915147119</v>
      </c>
      <c r="BT9">
        <f>'energy, food, transport'!J9*'t_occupation age profile'!F$7</f>
        <v>5708.8852638808648</v>
      </c>
      <c r="BU9">
        <f>'energy, food, transport'!J9*'t_occupation age profile'!G$7</f>
        <v>6309.0931498597856</v>
      </c>
      <c r="BV9">
        <f>'energy, food, transport'!J9*'t_occupation age profile'!H$7</f>
        <v>5665.4385612370997</v>
      </c>
      <c r="BW9">
        <f>'energy, food, transport'!J9*'t_occupation age profile'!I$7</f>
        <v>4075.5357099388257</v>
      </c>
      <c r="BX9">
        <f>'energy, food, transport'!J9*'t_occupation age profile'!J$7</f>
        <v>1969.4525004660643</v>
      </c>
      <c r="BY9">
        <f>'energy, food, transport'!J9*'t_occupation age profile'!K$7</f>
        <v>1282.143433082088</v>
      </c>
      <c r="BZ9">
        <f>'energy, food, transport'!J9*'t_occupation age profile'!L$7</f>
        <v>472.39691492645778</v>
      </c>
      <c r="CA9">
        <f>'energy, food, transport'!J9*'t_occupation age profile'!M$7</f>
        <v>199.16415568789506</v>
      </c>
      <c r="CB9">
        <f>'energy, food, transport'!J9*'t_occupation age profile'!N$7</f>
        <v>79.463617912599616</v>
      </c>
      <c r="CC9">
        <f>'energy, food, transport'!J9*'t_occupation age profile'!O$7</f>
        <v>43.704631617244395</v>
      </c>
      <c r="CD9">
        <f>'energy, food, transport'!K9*'t_occupation age profile'!C$9</f>
        <v>1349.9684147494611</v>
      </c>
      <c r="CE9">
        <f>'energy, food, transport'!K9*'t_occupation age profile'!D$9</f>
        <v>11424.44110477811</v>
      </c>
      <c r="CF9">
        <f>'energy, food, transport'!K9*'t_occupation age profile'!E$9</f>
        <v>18393.761499704633</v>
      </c>
      <c r="CG9">
        <f>'energy, food, transport'!K9*'t_occupation age profile'!F$9</f>
        <v>22394.17968471202</v>
      </c>
      <c r="CH9">
        <f>'energy, food, transport'!K9*'t_occupation age profile'!G$9</f>
        <v>30413.6540380773</v>
      </c>
      <c r="CI9">
        <f>'energy, food, transport'!K9*'t_occupation age profile'!H$9</f>
        <v>29240.746465157634</v>
      </c>
      <c r="CJ9">
        <f>'energy, food, transport'!K9*'t_occupation age profile'!I$9</f>
        <v>23658.349107141054</v>
      </c>
      <c r="CK9">
        <f>'energy, food, transport'!K9*'t_occupation age profile'!J$9</f>
        <v>12986.175571734166</v>
      </c>
      <c r="CL9">
        <f>'energy, food, transport'!K9*'t_occupation age profile'!K$9</f>
        <v>7742.7967039724517</v>
      </c>
      <c r="CM9">
        <f>'energy, food, transport'!K9*'t_occupation age profile'!L$9</f>
        <v>1207.2914387559451</v>
      </c>
      <c r="CN9">
        <f>'energy, food, transport'!K9*'t_occupation age profile'!M$9</f>
        <v>395.57512938742843</v>
      </c>
      <c r="CO9">
        <f>'energy, food, transport'!K9*'t_occupation age profile'!N$9</f>
        <v>116.64806821091511</v>
      </c>
      <c r="CP9">
        <f>'energy, food, transport'!K9*'t_occupation age profile'!O$9</f>
        <v>60.412773618876152</v>
      </c>
      <c r="CQ9">
        <f>'energy, food, transport'!O9*'t_occupation age profile'!C$17</f>
        <v>2275.549951585725</v>
      </c>
      <c r="CR9">
        <f>'energy, food, transport'!O9*'t_occupation age profile'!D$17</f>
        <v>16204.937350670254</v>
      </c>
      <c r="CS9">
        <f>'energy, food, transport'!O9*'t_occupation age profile'!E$17</f>
        <v>24383.898169688891</v>
      </c>
      <c r="CT9">
        <f>'energy, food, transport'!O9*'t_occupation age profile'!F$17</f>
        <v>28100.159748245769</v>
      </c>
      <c r="CU9">
        <f>'energy, food, transport'!O9*'t_occupation age profile'!G$17</f>
        <v>34870.773811020852</v>
      </c>
      <c r="CV9">
        <f>'energy, food, transport'!O9*'t_occupation age profile'!H$17</f>
        <v>32619.333131083222</v>
      </c>
      <c r="CW9">
        <f>'energy, food, transport'!O9*'t_occupation age profile'!I$17</f>
        <v>24908.530532431276</v>
      </c>
      <c r="CX9">
        <f>'energy, food, transport'!O9*'t_occupation age profile'!J$17</f>
        <v>13233.725324438519</v>
      </c>
      <c r="CY9">
        <f>'energy, food, transport'!O9*'t_occupation age profile'!K$17</f>
        <v>7174.4808920801788</v>
      </c>
      <c r="CZ9">
        <f>'energy, food, transport'!O9*'t_occupation age profile'!L$17</f>
        <v>1474.9760160710246</v>
      </c>
      <c r="DA9">
        <f>'energy, food, transport'!O9*'t_occupation age profile'!M$17</f>
        <v>444.48729911219539</v>
      </c>
      <c r="DB9">
        <f>'energy, food, transport'!O9*'t_occupation age profile'!N$17</f>
        <v>136.98449800055329</v>
      </c>
      <c r="DC9">
        <f>'energy, food, transport'!O9*'t_occupation age profile'!O$17</f>
        <v>84.163275571539955</v>
      </c>
      <c r="DD9">
        <f>'social welfare'!F9*'t_occupation age profile'!C$37</f>
        <v>104.87557213086964</v>
      </c>
      <c r="DE9">
        <f>'social welfare'!F9*'t_occupation age profile'!D$37</f>
        <v>672.39373905181662</v>
      </c>
      <c r="DF9">
        <f>'social welfare'!F9*'t_occupation age profile'!E$37</f>
        <v>1020.491382720235</v>
      </c>
      <c r="DG9">
        <f>'social welfare'!F9*'t_occupation age profile'!F$37</f>
        <v>1138.0115273775216</v>
      </c>
      <c r="DH9">
        <f>'social welfare'!F9*'t_occupation age profile'!G$37</f>
        <v>1626.6870656043398</v>
      </c>
      <c r="DI9">
        <f>'social welfare'!F9*'t_occupation age profile'!H$37</f>
        <v>2300.56840142397</v>
      </c>
      <c r="DJ9">
        <f>'social welfare'!F9*'t_occupation age profile'!I$37</f>
        <v>2645.6908515567611</v>
      </c>
      <c r="DK9">
        <f>'social welfare'!F9*'t_occupation age profile'!J$37</f>
        <v>1683.9595411651692</v>
      </c>
      <c r="DL9">
        <f>'social welfare'!F9*'t_occupation age profile'!K$37</f>
        <v>1302.3909702209414</v>
      </c>
      <c r="DM9">
        <f>'social welfare'!F9*'t_occupation age profile'!L$37</f>
        <v>392.72554670283102</v>
      </c>
      <c r="DN9">
        <f>'social welfare'!F9*'t_occupation age profile'!M$37</f>
        <v>177.02401536983669</v>
      </c>
      <c r="DO9">
        <f>'social welfare'!F9*'t_occupation age profile'!N$37</f>
        <v>64.710459399898284</v>
      </c>
      <c r="DP9">
        <f>'social welfare'!F9*'t_occupation age profile'!O$37</f>
        <v>33.470927275809458</v>
      </c>
    </row>
    <row r="10" spans="1:120" ht="15.5" x14ac:dyDescent="0.3">
      <c r="A10" s="102">
        <v>9</v>
      </c>
      <c r="B10" s="102" t="s">
        <v>22</v>
      </c>
      <c r="C10" s="102" t="s">
        <v>23</v>
      </c>
      <c r="D10">
        <f>HCW!D10*'t_occupation age profile'!C$33</f>
        <v>2796.0196609865493</v>
      </c>
      <c r="E10">
        <f>HCW!D10*'t_occupation age profile'!D$33</f>
        <v>26108.093798537477</v>
      </c>
      <c r="F10">
        <f>HCW!D10*'t_occupation age profile'!E$33</f>
        <v>39671.538879180524</v>
      </c>
      <c r="G10">
        <f>HCW!D10*'t_occupation age profile'!F$33</f>
        <v>39022.168827901289</v>
      </c>
      <c r="H10">
        <f>HCW!D10*'t_occupation age profile'!G$33</f>
        <v>40145.050820878889</v>
      </c>
      <c r="I10">
        <f>HCW!D10*'t_occupation age profile'!H$33</f>
        <v>33297.148461934157</v>
      </c>
      <c r="J10">
        <f>HCW!D10*'t_occupation age profile'!I$33</f>
        <v>29598.224796633032</v>
      </c>
      <c r="K10">
        <f>HCW!D10*'t_occupation age profile'!J$33</f>
        <v>18282.407922188082</v>
      </c>
      <c r="L10">
        <f>HCW!D10*'t_occupation age profile'!K$33</f>
        <v>12796.007747313039</v>
      </c>
      <c r="M10">
        <f>HCW!D10*'t_occupation age profile'!L$33</f>
        <v>4488.1102347983897</v>
      </c>
      <c r="N10">
        <f>HCW!D10*'t_occupation age profile'!M$33</f>
        <v>2123.65756004479</v>
      </c>
      <c r="O10">
        <f>HCW!D10*'t_occupation age profile'!N$33</f>
        <v>781.41898515181367</v>
      </c>
      <c r="P10">
        <f>HCW!D10*'t_occupation age profile'!O$33</f>
        <v>341.15230445196482</v>
      </c>
      <c r="Q10">
        <f>'law enforcement'!I11*'t_occupation age profile'!C$39</f>
        <v>8467.575790616258</v>
      </c>
      <c r="R10">
        <f>'law enforcement'!I11*'t_occupation age profile'!D$39</f>
        <v>34391.25216468938</v>
      </c>
      <c r="S10">
        <f>'law enforcement'!I11*'t_occupation age profile'!E$39</f>
        <v>16511.138315582019</v>
      </c>
      <c r="T10">
        <f>'law enforcement'!I11*'t_occupation age profile'!F$39</f>
        <v>9555.5835836557399</v>
      </c>
      <c r="U10">
        <f>'law enforcement'!I11*'t_occupation age profile'!G$39</f>
        <v>4737.7383661976864</v>
      </c>
      <c r="V10">
        <f>'law enforcement'!I11*'t_occupation age profile'!H$39</f>
        <v>2052.8525746113096</v>
      </c>
      <c r="W10">
        <f>'law enforcement'!I11*'t_occupation age profile'!I$39</f>
        <v>1453.8664025865166</v>
      </c>
      <c r="X10">
        <f>'law enforcement'!I11*'t_occupation age profile'!J$39</f>
        <v>530.07595817057529</v>
      </c>
      <c r="Y10">
        <f>'law enforcement'!I11*'t_occupation age profile'!K$39</f>
        <v>290.02683802356</v>
      </c>
      <c r="Z10">
        <f>'law enforcement'!I11*'t_occupation age profile'!L$39</f>
        <v>47.059806310093315</v>
      </c>
      <c r="AA10">
        <f>'law enforcement'!I11*'t_occupation age profile'!M$39</f>
        <v>0</v>
      </c>
      <c r="AB10">
        <f>'law enforcement'!I11*'t_occupation age profile'!N$39</f>
        <v>0</v>
      </c>
      <c r="AC10">
        <f>'law enforcement'!I11*'t_occupation age profile'!O$39</f>
        <v>0</v>
      </c>
      <c r="AD10">
        <f>'community workers'!D10*'t_occupation age profile'!C$35</f>
        <v>489.02492753623187</v>
      </c>
      <c r="AE10">
        <f>'community workers'!D10*'t_occupation age profile'!D$35</f>
        <v>3242.9597509393452</v>
      </c>
      <c r="AF10">
        <f>'community workers'!D10*'t_occupation age profile'!E$35</f>
        <v>4255.1960708534616</v>
      </c>
      <c r="AG10">
        <f>'community workers'!D10*'t_occupation age profile'!F$35</f>
        <v>4420.9211851851851</v>
      </c>
      <c r="AH10">
        <f>'community workers'!D10*'t_occupation age profile'!G$35</f>
        <v>6463.0530585077831</v>
      </c>
      <c r="AI10">
        <f>'community workers'!D10*'t_occupation age profile'!H$35</f>
        <v>8219.0147890499193</v>
      </c>
      <c r="AJ10">
        <f>'community workers'!D10*'t_occupation age profile'!I$35</f>
        <v>9517.6476521739132</v>
      </c>
      <c r="AK10">
        <f>'community workers'!D10*'t_occupation age profile'!J$35</f>
        <v>6643.4942007514755</v>
      </c>
      <c r="AL10">
        <f>'community workers'!D10*'t_occupation age profile'!K$35</f>
        <v>5562.2057498658078</v>
      </c>
      <c r="AM10">
        <f>'community workers'!D10*'t_occupation age profile'!L$35</f>
        <v>2324.453208803006</v>
      </c>
      <c r="AN10">
        <f>'community workers'!D10*'t_occupation age profile'!M$35</f>
        <v>1030.3483542673107</v>
      </c>
      <c r="AO10">
        <f>'community workers'!D10*'t_occupation age profile'!N$35</f>
        <v>388.50313687600641</v>
      </c>
      <c r="AP10">
        <f>'community workers'!D10*'t_occupation age profile'!O$35</f>
        <v>166.17791519055288</v>
      </c>
      <c r="AQ10">
        <f>'energy, food, transport'!D10*'t_occupation age profile'!C$3</f>
        <v>824.10439016404689</v>
      </c>
      <c r="AR10">
        <f>'energy, food, transport'!D10*'t_occupation age profile'!D$3</f>
        <v>3116.1813309112222</v>
      </c>
      <c r="AS10">
        <f>'energy, food, transport'!D10*'t_occupation age profile'!E$3</f>
        <v>3008.2582505353375</v>
      </c>
      <c r="AT10">
        <f>'energy, food, transport'!D10*'t_occupation age profile'!F$3</f>
        <v>3252.2175147135317</v>
      </c>
      <c r="AU10">
        <f>'energy, food, transport'!D10*'t_occupation age profile'!G$3</f>
        <v>4547.9192148558477</v>
      </c>
      <c r="AV10">
        <f>'energy, food, transport'!D10*'t_occupation age profile'!H$3</f>
        <v>5249.7316051149492</v>
      </c>
      <c r="AW10">
        <f>'energy, food, transport'!D10*'t_occupation age profile'!I$3</f>
        <v>4241.2521116459357</v>
      </c>
      <c r="AX10">
        <f>'energy, food, transport'!D10*'t_occupation age profile'!J$3</f>
        <v>2379.5399291849403</v>
      </c>
      <c r="AY10">
        <f>'energy, food, transport'!D10*'t_occupation age profile'!K$3</f>
        <v>1811.4990560632425</v>
      </c>
      <c r="AZ10">
        <f>'energy, food, transport'!D10*'t_occupation age profile'!L$3</f>
        <v>718.36788449910625</v>
      </c>
      <c r="BA10">
        <f>'energy, food, transport'!D10*'t_occupation age profile'!M$3</f>
        <v>284.56708023858494</v>
      </c>
      <c r="BB10">
        <f>'energy, food, transport'!D10*'t_occupation age profile'!N$3</f>
        <v>101.59763210493936</v>
      </c>
      <c r="BC10">
        <f>'energy, food, transport'!D10*'t_occupation age profile'!O$3</f>
        <v>40.76399996831541</v>
      </c>
      <c r="BD10">
        <f>'energy, food, transport'!E10*'t_occupation age profile'!C$5</f>
        <v>2951.2386205185167</v>
      </c>
      <c r="BE10">
        <f>'energy, food, transport'!E10*'t_occupation age profile'!D$5</f>
        <v>10291.593706425921</v>
      </c>
      <c r="BF10">
        <f>'energy, food, transport'!E10*'t_occupation age profile'!E$5</f>
        <v>9717.9645676269702</v>
      </c>
      <c r="BG10">
        <f>'energy, food, transport'!E10*'t_occupation age profile'!F$5</f>
        <v>9257.4569872143311</v>
      </c>
      <c r="BH10">
        <f>'energy, food, transport'!E10*'t_occupation age profile'!G$5</f>
        <v>10807.016661546098</v>
      </c>
      <c r="BI10">
        <f>'energy, food, transport'!E10*'t_occupation age profile'!H$5</f>
        <v>10667.774306950583</v>
      </c>
      <c r="BJ10">
        <f>'energy, food, transport'!E10*'t_occupation age profile'!I$5</f>
        <v>7913.5728735849498</v>
      </c>
      <c r="BK10">
        <f>'energy, food, transport'!E10*'t_occupation age profile'!J$5</f>
        <v>3982.7015574409752</v>
      </c>
      <c r="BL10">
        <f>'energy, food, transport'!E10*'t_occupation age profile'!K$5</f>
        <v>2637.9947415687848</v>
      </c>
      <c r="BM10">
        <f>'energy, food, transport'!E10*'t_occupation age profile'!L$5</f>
        <v>897.15679578380161</v>
      </c>
      <c r="BN10">
        <f>'energy, food, transport'!E10*'t_occupation age profile'!M$5</f>
        <v>327.22981707749386</v>
      </c>
      <c r="BO10">
        <f>'energy, food, transport'!E10*'t_occupation age profile'!N$5</f>
        <v>116.20669179684731</v>
      </c>
      <c r="BP10">
        <f>'energy, food, transport'!E10*'t_occupation age profile'!O$5</f>
        <v>54.092672464727151</v>
      </c>
      <c r="BQ10">
        <f>'energy, food, transport'!J10*'t_occupation age profile'!C$7</f>
        <v>3121.1081766036991</v>
      </c>
      <c r="BR10">
        <f>'energy, food, transport'!J10*'t_occupation age profile'!D$7</f>
        <v>14926.165234173141</v>
      </c>
      <c r="BS10">
        <f>'energy, food, transport'!J10*'t_occupation age profile'!E$7</f>
        <v>16334.943484777143</v>
      </c>
      <c r="BT10">
        <f>'energy, food, transport'!J10*'t_occupation age profile'!F$7</f>
        <v>15983.109982732572</v>
      </c>
      <c r="BU10">
        <f>'energy, food, transport'!J10*'t_occupation age profile'!G$7</f>
        <v>17663.506103985692</v>
      </c>
      <c r="BV10">
        <f>'energy, food, transport'!J10*'t_occupation age profile'!H$7</f>
        <v>15861.472676210436</v>
      </c>
      <c r="BW10">
        <f>'energy, food, transport'!J10*'t_occupation age profile'!I$7</f>
        <v>11410.237284436986</v>
      </c>
      <c r="BX10">
        <f>'energy, food, transport'!J10*'t_occupation age profile'!J$7</f>
        <v>5513.8568154228842</v>
      </c>
      <c r="BY10">
        <f>'energy, food, transport'!J10*'t_occupation age profile'!K$7</f>
        <v>3589.6043723706866</v>
      </c>
      <c r="BZ10">
        <f>'energy, food, transport'!J10*'t_occupation age profile'!L$7</f>
        <v>1322.5650013572774</v>
      </c>
      <c r="CA10">
        <f>'energy, food, transport'!J10*'t_occupation age profile'!M$7</f>
        <v>557.59792986516209</v>
      </c>
      <c r="CB10">
        <f>'energy, food, transport'!J10*'t_occupation age profile'!N$7</f>
        <v>222.47351032932272</v>
      </c>
      <c r="CC10">
        <f>'energy, food, transport'!J10*'t_occupation age profile'!O$7</f>
        <v>122.3594277349985</v>
      </c>
      <c r="CD10">
        <f>'energy, food, transport'!K10*'t_occupation age profile'!C$9</f>
        <v>313.10722775211644</v>
      </c>
      <c r="CE10">
        <f>'energy, food, transport'!K10*'t_occupation age profile'!D$9</f>
        <v>2649.7472413813962</v>
      </c>
      <c r="CF10">
        <f>'energy, food, transport'!K10*'t_occupation age profile'!E$9</f>
        <v>4266.1884590647815</v>
      </c>
      <c r="CG10">
        <f>'energy, food, transport'!K10*'t_occupation age profile'!F$9</f>
        <v>5194.0322767953448</v>
      </c>
      <c r="CH10">
        <f>'energy, food, transport'!K10*'t_occupation age profile'!G$9</f>
        <v>7054.0427447272223</v>
      </c>
      <c r="CI10">
        <f>'energy, food, transport'!K10*'t_occupation age profile'!H$9</f>
        <v>6782.0024254472355</v>
      </c>
      <c r="CJ10">
        <f>'energy, food, transport'!K10*'t_occupation age profile'!I$9</f>
        <v>5487.2395688631441</v>
      </c>
      <c r="CK10">
        <f>'energy, food, transport'!K10*'t_occupation age profile'!J$9</f>
        <v>3011.9707897925568</v>
      </c>
      <c r="CL10">
        <f>'energy, food, transport'!K10*'t_occupation age profile'!K$9</f>
        <v>1795.8387652195302</v>
      </c>
      <c r="CM10">
        <f>'energy, food, transport'!K10*'t_occupation age profile'!L$9</f>
        <v>280.01519987257836</v>
      </c>
      <c r="CN10">
        <f>'energy, food, transport'!K10*'t_occupation age profile'!M$9</f>
        <v>91.748392611962728</v>
      </c>
      <c r="CO10">
        <f>'energy, food, transport'!K10*'t_occupation age profile'!N$9</f>
        <v>27.054968739352123</v>
      </c>
      <c r="CP10">
        <f>'energy, food, transport'!K10*'t_occupation age profile'!O$9</f>
        <v>14.01193973277741</v>
      </c>
      <c r="CQ10">
        <f>'energy, food, transport'!O10*'t_occupation age profile'!C$17</f>
        <v>8339.4195800376001</v>
      </c>
      <c r="CR10">
        <f>'energy, food, transport'!O10*'t_occupation age profile'!D$17</f>
        <v>59387.741298005581</v>
      </c>
      <c r="CS10">
        <f>'energy, food, transport'!O10*'t_occupation age profile'!E$17</f>
        <v>89361.939821291598</v>
      </c>
      <c r="CT10">
        <f>'energy, food, transport'!O10*'t_occupation age profile'!F$17</f>
        <v>102981.26931619552</v>
      </c>
      <c r="CU10">
        <f>'energy, food, transport'!O10*'t_occupation age profile'!G$17</f>
        <v>127794.16847696235</v>
      </c>
      <c r="CV10">
        <f>'energy, food, transport'!O10*'t_occupation age profile'!H$17</f>
        <v>119543.10438738651</v>
      </c>
      <c r="CW10">
        <f>'energy, food, transport'!O10*'t_occupation age profile'!I$17</f>
        <v>91284.608842521557</v>
      </c>
      <c r="CX10">
        <f>'energy, food, transport'!O10*'t_occupation age profile'!J$17</f>
        <v>48498.8642022805</v>
      </c>
      <c r="CY10">
        <f>'energy, food, transport'!O10*'t_occupation age profile'!K$17</f>
        <v>26292.987497956539</v>
      </c>
      <c r="CZ10">
        <f>'energy, food, transport'!O10*'t_occupation age profile'!L$17</f>
        <v>5405.4818088862203</v>
      </c>
      <c r="DA10">
        <f>'energy, food, transport'!O10*'t_occupation age profile'!M$17</f>
        <v>1628.9539514222479</v>
      </c>
      <c r="DB10">
        <f>'energy, food, transport'!O10*'t_occupation age profile'!N$17</f>
        <v>502.01983216908525</v>
      </c>
      <c r="DC10">
        <f>'energy, food, transport'!O10*'t_occupation age profile'!O$17</f>
        <v>308.44098488468597</v>
      </c>
      <c r="DD10">
        <f>'social welfare'!F10*'t_occupation age profile'!C$37</f>
        <v>215.76657060518735</v>
      </c>
      <c r="DE10">
        <f>'social welfare'!F10*'t_occupation age profile'!D$37</f>
        <v>1383.3544668587895</v>
      </c>
      <c r="DF10">
        <f>'social welfare'!F10*'t_occupation age profile'!E$37</f>
        <v>2099.5158501440924</v>
      </c>
      <c r="DG10">
        <f>'social welfare'!F10*'t_occupation age profile'!F$37</f>
        <v>2341.2968299711815</v>
      </c>
      <c r="DH10">
        <f>'social welfare'!F10*'t_occupation age profile'!G$37</f>
        <v>3346.6772334293951</v>
      </c>
      <c r="DI10">
        <f>'social welfare'!F10*'t_occupation age profile'!H$37</f>
        <v>4733.0922190201727</v>
      </c>
      <c r="DJ10">
        <f>'social welfare'!F10*'t_occupation age profile'!I$37</f>
        <v>5443.1325648414986</v>
      </c>
      <c r="DK10">
        <f>'social welfare'!F10*'t_occupation age profile'!J$37</f>
        <v>3464.5072046109508</v>
      </c>
      <c r="DL10">
        <f>'social welfare'!F10*'t_occupation age profile'!K$37</f>
        <v>2679.4841498559076</v>
      </c>
      <c r="DM10">
        <f>'social welfare'!F10*'t_occupation age profile'!L$37</f>
        <v>807.97694524495682</v>
      </c>
      <c r="DN10">
        <f>'social welfare'!F10*'t_occupation age profile'!M$37</f>
        <v>364.20172910662825</v>
      </c>
      <c r="DO10">
        <f>'social welfare'!F10*'t_occupation age profile'!N$37</f>
        <v>133.13256484149855</v>
      </c>
      <c r="DP10">
        <f>'social welfare'!F10*'t_occupation age profile'!O$37</f>
        <v>68.861671469740628</v>
      </c>
    </row>
    <row r="11" spans="1:120" ht="15.5" x14ac:dyDescent="0.3">
      <c r="A11" s="102">
        <v>10</v>
      </c>
      <c r="B11" s="102" t="s">
        <v>24</v>
      </c>
      <c r="C11" s="102" t="s">
        <v>25</v>
      </c>
      <c r="D11">
        <f>HCW!D11*'t_occupation age profile'!C$33</f>
        <v>7315.2861909750027</v>
      </c>
      <c r="E11">
        <f>HCW!D11*'t_occupation age profile'!D$33</f>
        <v>68307.165611894496</v>
      </c>
      <c r="F11">
        <f>HCW!D11*'t_occupation age profile'!E$33</f>
        <v>103793.49780222928</v>
      </c>
      <c r="G11">
        <f>HCW!D11*'t_occupation age profile'!F$33</f>
        <v>102094.53701334854</v>
      </c>
      <c r="H11">
        <f>HCW!D11*'t_occupation age profile'!G$33</f>
        <v>105032.35724828395</v>
      </c>
      <c r="I11">
        <f>HCW!D11*'t_occupation age profile'!H$33</f>
        <v>87116.043474632519</v>
      </c>
      <c r="J11">
        <f>HCW!D11*'t_occupation age profile'!I$33</f>
        <v>77438.470177204217</v>
      </c>
      <c r="K11">
        <f>HCW!D11*'t_occupation age profile'!J$33</f>
        <v>47832.655856134144</v>
      </c>
      <c r="L11">
        <f>HCW!D11*'t_occupation age profile'!K$33</f>
        <v>33478.469439839369</v>
      </c>
      <c r="M11">
        <f>HCW!D11*'t_occupation age profile'!L$33</f>
        <v>11742.339040852754</v>
      </c>
      <c r="N11">
        <f>HCW!D11*'t_occupation age profile'!M$33</f>
        <v>5556.170809569302</v>
      </c>
      <c r="O11">
        <f>HCW!D11*'t_occupation age profile'!N$33</f>
        <v>2044.4432459497868</v>
      </c>
      <c r="P11">
        <f>HCW!D11*'t_occupation age profile'!O$33</f>
        <v>892.56408908662672</v>
      </c>
      <c r="Q11">
        <f>'law enforcement'!I12*'t_occupation age profile'!C$39</f>
        <v>15783.325258346422</v>
      </c>
      <c r="R11">
        <f>'law enforcement'!I12*'t_occupation age profile'!D$39</f>
        <v>64104.335453205102</v>
      </c>
      <c r="S11">
        <f>'law enforcement'!I12*'t_occupation age profile'!E$39</f>
        <v>30776.301607973084</v>
      </c>
      <c r="T11">
        <f>'law enforcement'!I12*'t_occupation age profile'!F$39</f>
        <v>17811.341458707826</v>
      </c>
      <c r="U11">
        <f>'law enforcement'!I12*'t_occupation age profile'!G$39</f>
        <v>8831.0122603818672</v>
      </c>
      <c r="V11">
        <f>'law enforcement'!I12*'t_occupation age profile'!H$39</f>
        <v>3826.4599802496814</v>
      </c>
      <c r="W11">
        <f>'law enforcement'!I12*'t_occupation age profile'!I$39</f>
        <v>2709.9664510395814</v>
      </c>
      <c r="X11">
        <f>'law enforcement'!I12*'t_occupation age profile'!J$39</f>
        <v>988.04681130901713</v>
      </c>
      <c r="Y11">
        <f>'law enforcement'!I12*'t_occupation age profile'!K$39</f>
        <v>540.60194220504889</v>
      </c>
      <c r="Z11">
        <f>'law enforcement'!I12*'t_occupation age profile'!L$39</f>
        <v>87.718167271689595</v>
      </c>
      <c r="AA11">
        <f>'law enforcement'!I12*'t_occupation age profile'!M$39</f>
        <v>0</v>
      </c>
      <c r="AB11">
        <f>'law enforcement'!I12*'t_occupation age profile'!N$39</f>
        <v>0</v>
      </c>
      <c r="AC11">
        <f>'law enforcement'!I12*'t_occupation age profile'!O$39</f>
        <v>0</v>
      </c>
      <c r="AD11">
        <f>'community workers'!D11*'t_occupation age profile'!C$35</f>
        <v>1917.8944927536231</v>
      </c>
      <c r="AE11">
        <f>'community workers'!D11*'t_occupation age profile'!D$35</f>
        <v>12718.481812130971</v>
      </c>
      <c r="AF11">
        <f>'community workers'!D11*'t_occupation age profile'!E$35</f>
        <v>16688.345829307567</v>
      </c>
      <c r="AG11">
        <f>'community workers'!D11*'t_occupation age profile'!F$35</f>
        <v>17338.298962962963</v>
      </c>
      <c r="AH11">
        <f>'community workers'!D11*'t_occupation age profile'!G$35</f>
        <v>25347.28429844337</v>
      </c>
      <c r="AI11">
        <f>'community workers'!D11*'t_occupation age profile'!H$35</f>
        <v>32233.9461900161</v>
      </c>
      <c r="AJ11">
        <f>'community workers'!D11*'t_occupation age profile'!I$35</f>
        <v>37327.021565217394</v>
      </c>
      <c r="AK11">
        <f>'community workers'!D11*'t_occupation age profile'!J$35</f>
        <v>26054.951849704776</v>
      </c>
      <c r="AL11">
        <f>'community workers'!D11*'t_occupation age profile'!K$35</f>
        <v>21814.274026838433</v>
      </c>
      <c r="AM11">
        <f>'community workers'!D11*'t_occupation age profile'!L$35</f>
        <v>9116.2142393988197</v>
      </c>
      <c r="AN11">
        <f>'community workers'!D11*'t_occupation age profile'!M$35</f>
        <v>4040.8971465378422</v>
      </c>
      <c r="AO11">
        <f>'community workers'!D11*'t_occupation age profile'!N$35</f>
        <v>1523.6606247987118</v>
      </c>
      <c r="AP11">
        <f>'community workers'!D11*'t_occupation age profile'!O$35</f>
        <v>651.7289618894257</v>
      </c>
      <c r="AQ11">
        <f>'energy, food, transport'!D11*'t_occupation age profile'!C$3</f>
        <v>5879.3785041176761</v>
      </c>
      <c r="AR11">
        <f>'energy, food, transport'!D11*'t_occupation age profile'!D$3</f>
        <v>22231.661122743462</v>
      </c>
      <c r="AS11">
        <f>'energy, food, transport'!D11*'t_occupation age profile'!E$3</f>
        <v>21461.70934669015</v>
      </c>
      <c r="AT11">
        <f>'energy, food, transport'!D11*'t_occupation age profile'!F$3</f>
        <v>23202.179208043661</v>
      </c>
      <c r="AU11">
        <f>'energy, food, transport'!D11*'t_occupation age profile'!G$3</f>
        <v>32446.057549777808</v>
      </c>
      <c r="AV11">
        <f>'energy, food, transport'!D11*'t_occupation age profile'!H$3</f>
        <v>37452.972608671545</v>
      </c>
      <c r="AW11">
        <f>'energy, food, transport'!D11*'t_occupation age profile'!I$3</f>
        <v>30258.213393076388</v>
      </c>
      <c r="AX11">
        <f>'energy, food, transport'!D11*'t_occupation age profile'!J$3</f>
        <v>16976.266691838315</v>
      </c>
      <c r="AY11">
        <f>'energy, food, transport'!D11*'t_occupation age profile'!K$3</f>
        <v>12923.71298777767</v>
      </c>
      <c r="AZ11">
        <f>'energy, food, transport'!D11*'t_occupation age profile'!L$3</f>
        <v>5125.0263298946757</v>
      </c>
      <c r="BA11">
        <f>'energy, food, transport'!D11*'t_occupation age profile'!M$3</f>
        <v>2030.1767524879003</v>
      </c>
      <c r="BB11">
        <f>'energy, food, transport'!D11*'t_occupation age profile'!N$3</f>
        <v>724.82435647276577</v>
      </c>
      <c r="BC11">
        <f>'energy, food, transport'!D11*'t_occupation age profile'!O$3</f>
        <v>290.82114840798135</v>
      </c>
      <c r="BD11">
        <f>'energy, food, transport'!E11*'t_occupation age profile'!C$5</f>
        <v>5439.0333319547181</v>
      </c>
      <c r="BE11">
        <f>'energy, food, transport'!E11*'t_occupation age profile'!D$5</f>
        <v>18967.060412875479</v>
      </c>
      <c r="BF11">
        <f>'energy, food, transport'!E11*'t_occupation age profile'!E$5</f>
        <v>17909.881239217259</v>
      </c>
      <c r="BG11">
        <f>'energy, food, transport'!E11*'t_occupation age profile'!F$5</f>
        <v>17061.181285893224</v>
      </c>
      <c r="BH11">
        <f>'energy, food, transport'!E11*'t_occupation age profile'!G$5</f>
        <v>19916.967551343561</v>
      </c>
      <c r="BI11">
        <f>'energy, food, transport'!E11*'t_occupation age profile'!H$5</f>
        <v>19660.34858376858</v>
      </c>
      <c r="BJ11">
        <f>'energy, food, transport'!E11*'t_occupation age profile'!I$5</f>
        <v>14584.44814832321</v>
      </c>
      <c r="BK11">
        <f>'energy, food, transport'!E11*'t_occupation age profile'!J$5</f>
        <v>7339.9847682745249</v>
      </c>
      <c r="BL11">
        <f>'energy, food, transport'!E11*'t_occupation age profile'!K$5</f>
        <v>4861.7354181929904</v>
      </c>
      <c r="BM11">
        <f>'energy, food, transport'!E11*'t_occupation age profile'!L$5</f>
        <v>1653.4297438139579</v>
      </c>
      <c r="BN11">
        <f>'energy, food, transport'!E11*'t_occupation age profile'!M$5</f>
        <v>603.07352645758976</v>
      </c>
      <c r="BO11">
        <f>'energy, food, transport'!E11*'t_occupation age profile'!N$5</f>
        <v>214.16501725238106</v>
      </c>
      <c r="BP11">
        <f>'energy, food, transport'!E11*'t_occupation age profile'!O$5</f>
        <v>99.690972632524279</v>
      </c>
      <c r="BQ11">
        <f>'energy, food, transport'!J11*'t_occupation age profile'!C$7</f>
        <v>8738.2481893092445</v>
      </c>
      <c r="BR11">
        <f>'energy, food, transport'!J11*'t_occupation age profile'!D$7</f>
        <v>41789.175174560165</v>
      </c>
      <c r="BS11">
        <f>'energy, food, transport'!J11*'t_occupation age profile'!E$7</f>
        <v>45733.368486973428</v>
      </c>
      <c r="BT11">
        <f>'energy, food, transport'!J11*'t_occupation age profile'!F$7</f>
        <v>44748.331029692861</v>
      </c>
      <c r="BU11">
        <f>'energy, food, transport'!J11*'t_occupation age profile'!G$7</f>
        <v>49452.979998265546</v>
      </c>
      <c r="BV11">
        <f>'energy, food, transport'!J11*'t_occupation age profile'!H$7</f>
        <v>44407.779881406124</v>
      </c>
      <c r="BW11">
        <f>'energy, food, transport'!J11*'t_occupation age profile'!I$7</f>
        <v>31945.539740572851</v>
      </c>
      <c r="BX11">
        <f>'energy, food, transport'!J11*'t_occupation age profile'!J$7</f>
        <v>15437.289131679228</v>
      </c>
      <c r="BY11">
        <f>'energy, food, transport'!J11*'t_occupation age profile'!K$7</f>
        <v>10049.909241318644</v>
      </c>
      <c r="BZ11">
        <f>'energy, food, transport'!J11*'t_occupation age profile'!L$7</f>
        <v>3702.8198237364199</v>
      </c>
      <c r="CA11">
        <f>'energy, food, transport'!J11*'t_occupation age profile'!M$7</f>
        <v>1561.121507268253</v>
      </c>
      <c r="CB11">
        <f>'energy, food, transport'!J11*'t_occupation age profile'!N$7</f>
        <v>622.86490528499155</v>
      </c>
      <c r="CC11">
        <f>'energy, food, transport'!J11*'t_occupation age profile'!O$7</f>
        <v>342.57288993223767</v>
      </c>
      <c r="CD11">
        <f>'energy, food, transport'!K11*'t_occupation age profile'!C$9</f>
        <v>1668.90294178725</v>
      </c>
      <c r="CE11">
        <f>'energy, food, transport'!K11*'t_occupation age profile'!D$9</f>
        <v>14123.503305503527</v>
      </c>
      <c r="CF11">
        <f>'energy, food, transport'!K11*'t_occupation age profile'!E$9</f>
        <v>22739.348818829374</v>
      </c>
      <c r="CG11">
        <f>'energy, food, transport'!K11*'t_occupation age profile'!F$9</f>
        <v>27684.879102645009</v>
      </c>
      <c r="CH11">
        <f>'energy, food, transport'!K11*'t_occupation age profile'!G$9</f>
        <v>37598.980939170266</v>
      </c>
      <c r="CI11">
        <f>'energy, food, transport'!K11*'t_occupation age profile'!H$9</f>
        <v>36148.970051875942</v>
      </c>
      <c r="CJ11">
        <f>'energy, food, transport'!K11*'t_occupation age profile'!I$9</f>
        <v>29247.712754868535</v>
      </c>
      <c r="CK11">
        <f>'energy, food, transport'!K11*'t_occupation age profile'!J$9</f>
        <v>16054.202733517342</v>
      </c>
      <c r="CL11">
        <f>'energy, food, transport'!K11*'t_occupation age profile'!K$9</f>
        <v>9572.0581724265157</v>
      </c>
      <c r="CM11">
        <f>'energy, food, transport'!K11*'t_occupation age profile'!L$9</f>
        <v>1492.5180557711733</v>
      </c>
      <c r="CN11">
        <f>'energy, food, transport'!K11*'t_occupation age profile'!M$9</f>
        <v>489.03106911214121</v>
      </c>
      <c r="CO11">
        <f>'energy, food, transport'!K11*'t_occupation age profile'!N$9</f>
        <v>144.20656221584665</v>
      </c>
      <c r="CP11">
        <f>'energy, food, transport'!K11*'t_occupation age profile'!O$9</f>
        <v>74.685492277077614</v>
      </c>
      <c r="CQ11">
        <f>'energy, food, transport'!O11*'t_occupation age profile'!C$17</f>
        <v>12671.130969653053</v>
      </c>
      <c r="CR11">
        <f>'energy, food, transport'!O11*'t_occupation age profile'!D$17</f>
        <v>90235.278457533757</v>
      </c>
      <c r="CS11">
        <f>'energy, food, transport'!O11*'t_occupation age profile'!E$17</f>
        <v>135778.85514818225</v>
      </c>
      <c r="CT11">
        <f>'energy, food, transport'!O11*'t_occupation age profile'!F$17</f>
        <v>156472.41854219587</v>
      </c>
      <c r="CU11">
        <f>'energy, food, transport'!O11*'t_occupation age profile'!G$17</f>
        <v>194173.78276608989</v>
      </c>
      <c r="CV11">
        <f>'energy, food, transport'!O11*'t_occupation age profile'!H$17</f>
        <v>181636.90142625626</v>
      </c>
      <c r="CW11">
        <f>'energy, food, transport'!O11*'t_occupation age profile'!I$17</f>
        <v>138700.20845646487</v>
      </c>
      <c r="CX11">
        <f>'energy, food, transport'!O11*'t_occupation age profile'!J$17</f>
        <v>73690.435442000322</v>
      </c>
      <c r="CY11">
        <f>'energy, food, transport'!O11*'t_occupation age profile'!K$17</f>
        <v>39950.248931899347</v>
      </c>
      <c r="CZ11">
        <f>'energy, food, transport'!O11*'t_occupation age profile'!L$17</f>
        <v>8213.2296255281562</v>
      </c>
      <c r="DA11">
        <f>'energy, food, transport'!O11*'t_occupation age profile'!M$17</f>
        <v>2475.0749933980533</v>
      </c>
      <c r="DB11">
        <f>'energy, food, transport'!O11*'t_occupation age profile'!N$17</f>
        <v>762.78198761034673</v>
      </c>
      <c r="DC11">
        <f>'energy, food, transport'!O11*'t_occupation age profile'!O$17</f>
        <v>468.65325318779708</v>
      </c>
      <c r="DD11">
        <f>'social welfare'!F11*'t_occupation age profile'!C$37</f>
        <v>301.20155958637059</v>
      </c>
      <c r="DE11">
        <f>'social welfare'!F11*'t_occupation age profile'!D$37</f>
        <v>1931.1078713906311</v>
      </c>
      <c r="DF11">
        <f>'social welfare'!F11*'t_occupation age profile'!E$37</f>
        <v>2930.840707464542</v>
      </c>
      <c r="DG11">
        <f>'social welfare'!F11*'t_occupation age profile'!F$37</f>
        <v>3268.3573487031704</v>
      </c>
      <c r="DH11">
        <f>'social welfare'!F11*'t_occupation age profile'!G$37</f>
        <v>4671.8284454992372</v>
      </c>
      <c r="DI11">
        <f>'social welfare'!F11*'t_occupation age profile'!H$37</f>
        <v>6607.2086794371926</v>
      </c>
      <c r="DJ11">
        <f>'social welfare'!F11*'t_occupation age profile'!I$37</f>
        <v>7598.3967904164547</v>
      </c>
      <c r="DK11">
        <f>'social welfare'!F11*'t_occupation age profile'!J$37</f>
        <v>4836.3144035712266</v>
      </c>
      <c r="DL11">
        <f>'social welfare'!F11*'t_occupation age profile'!K$37</f>
        <v>3740.4534101825166</v>
      </c>
      <c r="DM11">
        <f>'social welfare'!F11*'t_occupation age profile'!L$37</f>
        <v>1127.9037124936431</v>
      </c>
      <c r="DN11">
        <f>'social welfare'!F11*'t_occupation age profile'!M$37</f>
        <v>508.41114313160421</v>
      </c>
      <c r="DO11">
        <f>'social welfare'!F11*'t_occupation age profile'!N$37</f>
        <v>185.84777080861164</v>
      </c>
      <c r="DP11">
        <f>'social welfare'!F11*'t_occupation age profile'!O$37</f>
        <v>96.128157314799111</v>
      </c>
    </row>
    <row r="12" spans="1:120" ht="15.5" x14ac:dyDescent="0.3">
      <c r="A12" s="102">
        <v>11</v>
      </c>
      <c r="B12" s="102" t="s">
        <v>26</v>
      </c>
      <c r="C12" s="102" t="s">
        <v>27</v>
      </c>
      <c r="D12">
        <f>HCW!D12*'t_occupation age profile'!C$33</f>
        <v>6098.7619121165726</v>
      </c>
      <c r="E12">
        <f>HCW!D12*'t_occupation age profile'!D$33</f>
        <v>56947.756941131629</v>
      </c>
      <c r="F12">
        <f>HCW!D12*'t_occupation age profile'!E$33</f>
        <v>86532.749997197505</v>
      </c>
      <c r="G12">
        <f>HCW!D12*'t_occupation age profile'!F$33</f>
        <v>85116.32457255882</v>
      </c>
      <c r="H12">
        <f>HCW!D12*'t_occupation age profile'!G$33</f>
        <v>87565.588440809661</v>
      </c>
      <c r="I12">
        <f>HCW!D12*'t_occupation age profile'!H$33</f>
        <v>72628.738508256109</v>
      </c>
      <c r="J12">
        <f>HCW!D12*'t_occupation age profile'!I$33</f>
        <v>64560.535311928994</v>
      </c>
      <c r="K12">
        <f>HCW!D12*'t_occupation age profile'!J$33</f>
        <v>39878.136285449873</v>
      </c>
      <c r="L12">
        <f>HCW!D12*'t_occupation age profile'!K$33</f>
        <v>27911.035736038331</v>
      </c>
      <c r="M12">
        <f>HCW!D12*'t_occupation age profile'!L$33</f>
        <v>9789.6006023473619</v>
      </c>
      <c r="N12">
        <f>HCW!D12*'t_occupation age profile'!M$33</f>
        <v>4632.1855394284676</v>
      </c>
      <c r="O12">
        <f>HCW!D12*'t_occupation age profile'!N$33</f>
        <v>1704.4545181657052</v>
      </c>
      <c r="P12">
        <f>HCW!D12*'t_occupation age profile'!O$33</f>
        <v>744.13163457095209</v>
      </c>
      <c r="Q12">
        <f>'law enforcement'!I13*'t_occupation age profile'!C$39</f>
        <v>11859.530995992811</v>
      </c>
      <c r="R12">
        <f>'law enforcement'!I13*'t_occupation age profile'!D$39</f>
        <v>48167.755580071971</v>
      </c>
      <c r="S12">
        <f>'law enforcement'!I13*'t_occupation age profile'!E$39</f>
        <v>23125.196806596097</v>
      </c>
      <c r="T12">
        <f>'law enforcement'!I13*'t_occupation age profile'!F$39</f>
        <v>13383.374710475158</v>
      </c>
      <c r="U12">
        <f>'law enforcement'!I13*'t_occupation age profile'!G$39</f>
        <v>6635.589263587397</v>
      </c>
      <c r="V12">
        <f>'law enforcement'!I13*'t_occupation age profile'!H$39</f>
        <v>2875.1875791636244</v>
      </c>
      <c r="W12">
        <f>'law enforcement'!I13*'t_occupation age profile'!I$39</f>
        <v>2036.2585575691078</v>
      </c>
      <c r="X12">
        <f>'law enforcement'!I13*'t_occupation age profile'!J$39</f>
        <v>742.41464282152094</v>
      </c>
      <c r="Y12">
        <f>'law enforcement'!I13*'t_occupation age profile'!K$39</f>
        <v>406.20625787866356</v>
      </c>
      <c r="Z12">
        <f>'law enforcement'!I13*'t_occupation age profile'!L$39</f>
        <v>65.911099634734015</v>
      </c>
      <c r="AA12">
        <f>'law enforcement'!I13*'t_occupation age profile'!M$39</f>
        <v>0</v>
      </c>
      <c r="AB12">
        <f>'law enforcement'!I13*'t_occupation age profile'!N$39</f>
        <v>0</v>
      </c>
      <c r="AC12">
        <f>'law enforcement'!I13*'t_occupation age profile'!O$39</f>
        <v>0</v>
      </c>
      <c r="AD12">
        <f>'community workers'!D12*'t_occupation age profile'!C$35</f>
        <v>1782.6226086956522</v>
      </c>
      <c r="AE12">
        <f>'community workers'!D12*'t_occupation age profile'!D$35</f>
        <v>11821.428818035427</v>
      </c>
      <c r="AF12">
        <f>'community workers'!D12*'t_occupation age profile'!E$35</f>
        <v>15511.292560386471</v>
      </c>
      <c r="AG12">
        <f>'community workers'!D12*'t_occupation age profile'!F$35</f>
        <v>16115.403555555557</v>
      </c>
      <c r="AH12">
        <f>'community workers'!D12*'t_occupation age profile'!G$35</f>
        <v>23559.503523349435</v>
      </c>
      <c r="AI12">
        <f>'community workers'!D12*'t_occupation age profile'!H$35</f>
        <v>29960.439149758455</v>
      </c>
      <c r="AJ12">
        <f>'community workers'!D12*'t_occupation age profile'!I$35</f>
        <v>34694.292521739131</v>
      </c>
      <c r="AK12">
        <f>'community workers'!D12*'t_occupation age profile'!J$35</f>
        <v>24217.25825442834</v>
      </c>
      <c r="AL12">
        <f>'community workers'!D12*'t_occupation age profile'!K$35</f>
        <v>20275.681597423511</v>
      </c>
      <c r="AM12">
        <f>'community workers'!D12*'t_occupation age profile'!L$35</f>
        <v>8473.2344090177139</v>
      </c>
      <c r="AN12">
        <f>'community workers'!D12*'t_occupation age profile'!M$35</f>
        <v>3755.8868019323672</v>
      </c>
      <c r="AO12">
        <f>'community workers'!D12*'t_occupation age profile'!N$35</f>
        <v>1416.1946280193235</v>
      </c>
      <c r="AP12">
        <f>'community workers'!D12*'t_occupation age profile'!O$35</f>
        <v>605.76157165861514</v>
      </c>
      <c r="AQ12">
        <f>'energy, food, transport'!D12*'t_occupation age profile'!C$3</f>
        <v>3041.9639059706969</v>
      </c>
      <c r="AR12">
        <f>'energy, food, transport'!D12*'t_occupation age profile'!D$3</f>
        <v>11502.561139377873</v>
      </c>
      <c r="AS12">
        <f>'energy, food, transport'!D12*'t_occupation age profile'!E$3</f>
        <v>11104.191565033943</v>
      </c>
      <c r="AT12">
        <f>'energy, food, transport'!D12*'t_occupation age profile'!F$3</f>
        <v>12004.70281702413</v>
      </c>
      <c r="AU12">
        <f>'energy, food, transport'!D12*'t_occupation age profile'!G$3</f>
        <v>16787.443755891352</v>
      </c>
      <c r="AV12">
        <f>'energy, food, transport'!D12*'t_occupation age profile'!H$3</f>
        <v>19377.99901249693</v>
      </c>
      <c r="AW12">
        <f>'energy, food, transport'!D12*'t_occupation age profile'!I$3</f>
        <v>15655.463062368477</v>
      </c>
      <c r="AX12">
        <f>'energy, food, transport'!D12*'t_occupation age profile'!J$3</f>
        <v>8783.4437770144141</v>
      </c>
      <c r="AY12">
        <f>'energy, food, transport'!D12*'t_occupation age profile'!K$3</f>
        <v>6686.6707786224069</v>
      </c>
      <c r="AZ12">
        <f>'energy, food, transport'!D12*'t_occupation age profile'!L$3</f>
        <v>2651.665495216947</v>
      </c>
      <c r="BA12">
        <f>'energy, food, transport'!D12*'t_occupation age profile'!M$3</f>
        <v>1050.4042900935488</v>
      </c>
      <c r="BB12">
        <f>'energy, food, transport'!D12*'t_occupation age profile'!N$3</f>
        <v>375.02085110090752</v>
      </c>
      <c r="BC12">
        <f>'energy, food, transport'!D12*'t_occupation age profile'!O$3</f>
        <v>150.46954978837334</v>
      </c>
      <c r="BD12">
        <f>'energy, food, transport'!E12*'t_occupation age profile'!C$5</f>
        <v>4109.5304723134732</v>
      </c>
      <c r="BE12">
        <f>'energy, food, transport'!E12*'t_occupation age profile'!D$5</f>
        <v>14330.802548862053</v>
      </c>
      <c r="BF12">
        <f>'energy, food, transport'!E12*'t_occupation age profile'!E$5</f>
        <v>13532.037444166095</v>
      </c>
      <c r="BG12">
        <f>'energy, food, transport'!E12*'t_occupation age profile'!F$5</f>
        <v>12890.791452981353</v>
      </c>
      <c r="BH12">
        <f>'energy, food, transport'!E12*'t_occupation age profile'!G$5</f>
        <v>15048.516909696784</v>
      </c>
      <c r="BI12">
        <f>'energy, food, transport'!E12*'t_occupation age profile'!H$5</f>
        <v>14854.625200883889</v>
      </c>
      <c r="BJ12">
        <f>'energy, food, transport'!E12*'t_occupation age profile'!I$5</f>
        <v>11019.46438446813</v>
      </c>
      <c r="BK12">
        <f>'energy, food, transport'!E12*'t_occupation age profile'!J$5</f>
        <v>5545.8183891475428</v>
      </c>
      <c r="BL12">
        <f>'energy, food, transport'!E12*'t_occupation age profile'!K$5</f>
        <v>3673.3457270815115</v>
      </c>
      <c r="BM12">
        <f>'energy, food, transport'!E12*'t_occupation age profile'!L$5</f>
        <v>1249.2697693380285</v>
      </c>
      <c r="BN12">
        <f>'energy, food, transport'!E12*'t_occupation age profile'!M$5</f>
        <v>455.65983562971189</v>
      </c>
      <c r="BO12">
        <f>'energy, food, transport'!E12*'t_occupation age profile'!N$5</f>
        <v>161.81508933424718</v>
      </c>
      <c r="BP12">
        <f>'energy, food, transport'!E12*'t_occupation age profile'!O$5</f>
        <v>75.322776097180537</v>
      </c>
      <c r="BQ12">
        <f>'energy, food, transport'!J12*'t_occupation age profile'!C$7</f>
        <v>4296.4741542600732</v>
      </c>
      <c r="BR12">
        <f>'energy, food, transport'!J12*'t_occupation age profile'!D$7</f>
        <v>20547.151691686784</v>
      </c>
      <c r="BS12">
        <f>'energy, food, transport'!J12*'t_occupation age profile'!E$7</f>
        <v>22486.45625926838</v>
      </c>
      <c r="BT12">
        <f>'energy, food, transport'!J12*'t_occupation age profile'!F$7</f>
        <v>22002.127148387568</v>
      </c>
      <c r="BU12">
        <f>'energy, food, transport'!J12*'t_occupation age profile'!G$7</f>
        <v>24315.337103109247</v>
      </c>
      <c r="BV12">
        <f>'energy, food, transport'!J12*'t_occupation age profile'!H$7</f>
        <v>21834.682922140062</v>
      </c>
      <c r="BW12">
        <f>'energy, food, transport'!J12*'t_occupation age profile'!I$7</f>
        <v>15707.174122975912</v>
      </c>
      <c r="BX12">
        <f>'energy, food, transport'!J12*'t_occupation age profile'!J$7</f>
        <v>7590.2986879276059</v>
      </c>
      <c r="BY12">
        <f>'energy, food, transport'!J12*'t_occupation age profile'!K$7</f>
        <v>4941.399508520748</v>
      </c>
      <c r="BZ12">
        <f>'energy, food, transport'!J12*'t_occupation age profile'!L$7</f>
        <v>1820.6246064318957</v>
      </c>
      <c r="CA12">
        <f>'energy, food, transport'!J12*'t_occupation age profile'!M$7</f>
        <v>767.58156352706999</v>
      </c>
      <c r="CB12">
        <f>'energy, food, transport'!J12*'t_occupation age profile'!N$7</f>
        <v>306.25394348797516</v>
      </c>
      <c r="CC12">
        <f>'energy, food, transport'!J12*'t_occupation age profile'!O$7</f>
        <v>168.43828827667915</v>
      </c>
      <c r="CD12">
        <f>'energy, food, transport'!K12*'t_occupation age profile'!C$9</f>
        <v>1225.9180872233567</v>
      </c>
      <c r="CE12">
        <f>'energy, food, transport'!K12*'t_occupation age profile'!D$9</f>
        <v>10374.634571998282</v>
      </c>
      <c r="CF12">
        <f>'energy, food, transport'!K12*'t_occupation age profile'!E$9</f>
        <v>16703.535185114248</v>
      </c>
      <c r="CG12">
        <f>'energy, food, transport'!K12*'t_occupation age profile'!F$9</f>
        <v>20336.349816831353</v>
      </c>
      <c r="CH12">
        <f>'energy, food, transport'!K12*'t_occupation age profile'!G$9</f>
        <v>27618.904395442656</v>
      </c>
      <c r="CI12">
        <f>'energy, food, transport'!K12*'t_occupation age profile'!H$9</f>
        <v>26553.776802401655</v>
      </c>
      <c r="CJ12">
        <f>'energy, food, transport'!K12*'t_occupation age profile'!I$9</f>
        <v>21484.353091084311</v>
      </c>
      <c r="CK12">
        <f>'energy, food, transport'!K12*'t_occupation age profile'!J$9</f>
        <v>11792.85925752685</v>
      </c>
      <c r="CL12">
        <f>'energy, food, transport'!K12*'t_occupation age profile'!K$9</f>
        <v>7031.3011929651948</v>
      </c>
      <c r="CM12">
        <f>'energy, food, transport'!K12*'t_occupation age profile'!L$9</f>
        <v>1096.3518813849446</v>
      </c>
      <c r="CN12">
        <f>'energy, food, transport'!K12*'t_occupation age profile'!M$9</f>
        <v>359.22522384478754</v>
      </c>
      <c r="CO12">
        <f>'energy, food, transport'!K12*'t_occupation age profile'!N$9</f>
        <v>105.92912774626959</v>
      </c>
      <c r="CP12">
        <f>'energy, food, transport'!K12*'t_occupation age profile'!O$9</f>
        <v>54.861366436084531</v>
      </c>
      <c r="CQ12">
        <f>'energy, food, transport'!O12*'t_occupation age profile'!C$17</f>
        <v>8037.2524167840347</v>
      </c>
      <c r="CR12">
        <f>'energy, food, transport'!O12*'t_occupation age profile'!D$17</f>
        <v>57235.909848846859</v>
      </c>
      <c r="CS12">
        <f>'energy, food, transport'!O12*'t_occupation age profile'!E$17</f>
        <v>86124.035360497728</v>
      </c>
      <c r="CT12">
        <f>'energy, food, transport'!O12*'t_occupation age profile'!F$17</f>
        <v>99249.887567276979</v>
      </c>
      <c r="CU12">
        <f>'energy, food, transport'!O12*'t_occupation age profile'!G$17</f>
        <v>123163.72615439753</v>
      </c>
      <c r="CV12">
        <f>'energy, food, transport'!O12*'t_occupation age profile'!H$17</f>
        <v>115211.62779089434</v>
      </c>
      <c r="CW12">
        <f>'energy, food, transport'!O12*'t_occupation age profile'!I$17</f>
        <v>87977.03916840622</v>
      </c>
      <c r="CX12">
        <f>'energy, food, transport'!O12*'t_occupation age profile'!J$17</f>
        <v>46741.575931031664</v>
      </c>
      <c r="CY12">
        <f>'energy, food, transport'!O12*'t_occupation age profile'!K$17</f>
        <v>25340.298000867682</v>
      </c>
      <c r="CZ12">
        <f>'energy, food, transport'!O12*'t_occupation age profile'!L$17</f>
        <v>5209.6217626883126</v>
      </c>
      <c r="DA12">
        <f>'energy, food, transport'!O12*'t_occupation age profile'!M$17</f>
        <v>1569.9310913960917</v>
      </c>
      <c r="DB12">
        <f>'energy, food, transport'!O12*'t_occupation age profile'!N$17</f>
        <v>483.82984818666529</v>
      </c>
      <c r="DC12">
        <f>'energy, food, transport'!O12*'t_occupation age profile'!O$17</f>
        <v>297.26505872588717</v>
      </c>
      <c r="DD12">
        <f>'social welfare'!F12*'t_occupation age profile'!C$37</f>
        <v>189.39430411934228</v>
      </c>
      <c r="DE12">
        <f>'social welfare'!F12*'t_occupation age profile'!D$37</f>
        <v>1214.2727015878397</v>
      </c>
      <c r="DF12">
        <f>'social welfare'!F12*'t_occupation age profile'!E$37</f>
        <v>1842.9006046222523</v>
      </c>
      <c r="DG12">
        <f>'social welfare'!F12*'t_occupation age profile'!F$37</f>
        <v>2055.1296829971184</v>
      </c>
      <c r="DH12">
        <f>'social welfare'!F12*'t_occupation age profile'!G$37</f>
        <v>2937.6265468723514</v>
      </c>
      <c r="DI12">
        <f>'social welfare'!F12*'t_occupation age profile'!H$37</f>
        <v>4154.5856924902528</v>
      </c>
      <c r="DJ12">
        <f>'social welfare'!F12*'t_occupation age profile'!I$37</f>
        <v>4777.840707464542</v>
      </c>
      <c r="DK12">
        <f>'social welfare'!F12*'t_occupation age profile'!J$37</f>
        <v>3041.0546420297223</v>
      </c>
      <c r="DL12">
        <f>'social welfare'!F12*'t_occupation age profile'!K$37</f>
        <v>2351.981748318924</v>
      </c>
      <c r="DM12">
        <f>'social welfare'!F12*'t_occupation age profile'!L$37</f>
        <v>709.22122393626046</v>
      </c>
      <c r="DN12">
        <f>'social welfare'!F12*'t_occupation age profile'!M$37</f>
        <v>319.68683957732947</v>
      </c>
      <c r="DO12">
        <f>'social welfare'!F12*'t_occupation age profile'!N$37</f>
        <v>116.86031530767927</v>
      </c>
      <c r="DP12">
        <f>'social welfare'!F12*'t_occupation age profile'!O$37</f>
        <v>60.444990676385821</v>
      </c>
    </row>
    <row r="13" spans="1:120" ht="15.5" x14ac:dyDescent="0.3">
      <c r="A13" s="102">
        <v>12</v>
      </c>
      <c r="B13" s="102" t="s">
        <v>28</v>
      </c>
      <c r="C13" s="102" t="s">
        <v>29</v>
      </c>
      <c r="D13">
        <f>HCW!D13*'t_occupation age profile'!C$33</f>
        <v>4469.2421334256696</v>
      </c>
      <c r="E13">
        <f>HCW!D13*'t_occupation age profile'!D$33</f>
        <v>41731.964354886724</v>
      </c>
      <c r="F13">
        <f>HCW!D13*'t_occupation age profile'!E$33</f>
        <v>63412.183945126104</v>
      </c>
      <c r="G13">
        <f>HCW!D13*'t_occupation age profile'!F$33</f>
        <v>62374.211274956127</v>
      </c>
      <c r="H13">
        <f>HCW!D13*'t_occupation age profile'!G$33</f>
        <v>64169.059710360103</v>
      </c>
      <c r="I13">
        <f>HCW!D13*'t_occupation age profile'!H$33</f>
        <v>53223.16609765849</v>
      </c>
      <c r="J13">
        <f>HCW!D13*'t_occupation age profile'!I$33</f>
        <v>47310.694978819447</v>
      </c>
      <c r="K13">
        <f>HCW!D13*'t_occupation age profile'!J$33</f>
        <v>29223.152085235393</v>
      </c>
      <c r="L13">
        <f>HCW!D13*'t_occupation age profile'!K$33</f>
        <v>20453.52461640213</v>
      </c>
      <c r="M13">
        <f>HCW!D13*'t_occupation age profile'!L$33</f>
        <v>7173.9307275623742</v>
      </c>
      <c r="N13">
        <f>HCW!D13*'t_occupation age profile'!M$33</f>
        <v>3394.5182778046956</v>
      </c>
      <c r="O13">
        <f>HCW!D13*'t_occupation age profile'!N$33</f>
        <v>1249.0436676925835</v>
      </c>
      <c r="P13">
        <f>HCW!D13*'t_occupation age profile'!O$33</f>
        <v>545.30813007016184</v>
      </c>
      <c r="Q13">
        <f>'law enforcement'!I14*'t_occupation age profile'!C$39</f>
        <v>7796.750081911965</v>
      </c>
      <c r="R13">
        <f>'law enforcement'!I14*'t_occupation age profile'!D$39</f>
        <v>31666.678251554469</v>
      </c>
      <c r="S13">
        <f>'law enforcement'!I14*'t_occupation age profile'!E$39</f>
        <v>15203.078448631741</v>
      </c>
      <c r="T13">
        <f>'law enforcement'!I14*'t_occupation age profile'!F$39</f>
        <v>8798.5627682421182</v>
      </c>
      <c r="U13">
        <f>'law enforcement'!I14*'t_occupation age profile'!G$39</f>
        <v>4362.4011060715775</v>
      </c>
      <c r="V13">
        <f>'law enforcement'!I14*'t_occupation age profile'!H$39</f>
        <v>1890.2196892044651</v>
      </c>
      <c r="W13">
        <f>'law enforcement'!I14*'t_occupation age profile'!I$39</f>
        <v>1338.6869245407136</v>
      </c>
      <c r="X13">
        <f>'law enforcement'!I14*'t_occupation age profile'!J$39</f>
        <v>488.08181615168189</v>
      </c>
      <c r="Y13">
        <f>'law enforcement'!I14*'t_occupation age profile'!K$39</f>
        <v>267.05007773568309</v>
      </c>
      <c r="Z13">
        <f>'law enforcement'!I14*'t_occupation age profile'!L$39</f>
        <v>43.331593100069306</v>
      </c>
      <c r="AA13">
        <f>'law enforcement'!I14*'t_occupation age profile'!M$39</f>
        <v>0</v>
      </c>
      <c r="AB13">
        <f>'law enforcement'!I14*'t_occupation age profile'!N$39</f>
        <v>0</v>
      </c>
      <c r="AC13">
        <f>'law enforcement'!I14*'t_occupation age profile'!O$39</f>
        <v>0</v>
      </c>
      <c r="AD13">
        <f>'community workers'!D13*'t_occupation age profile'!C$35</f>
        <v>1420.5773913043479</v>
      </c>
      <c r="AE13">
        <f>'community workers'!D13*'t_occupation age profile'!D$35</f>
        <v>9420.5326634460544</v>
      </c>
      <c r="AF13">
        <f>'community workers'!D13*'t_occupation age profile'!E$35</f>
        <v>12360.996328502415</v>
      </c>
      <c r="AG13">
        <f>'community workers'!D13*'t_occupation age profile'!F$35</f>
        <v>12842.414222222224</v>
      </c>
      <c r="AH13">
        <f>'community workers'!D13*'t_occupation age profile'!G$35</f>
        <v>18774.640180354269</v>
      </c>
      <c r="AI13">
        <f>'community workers'!D13*'t_occupation age profile'!H$35</f>
        <v>23875.565294685988</v>
      </c>
      <c r="AJ13">
        <f>'community workers'!D13*'t_occupation age profile'!I$35</f>
        <v>27647.987478260871</v>
      </c>
      <c r="AK13">
        <f>'community workers'!D13*'t_occupation age profile'!J$35</f>
        <v>19298.806930756844</v>
      </c>
      <c r="AL13">
        <f>'community workers'!D13*'t_occupation age profile'!K$35</f>
        <v>16157.752476650563</v>
      </c>
      <c r="AM13">
        <f>'community workers'!D13*'t_occupation age profile'!L$35</f>
        <v>6752.346331723028</v>
      </c>
      <c r="AN13">
        <f>'community workers'!D13*'t_occupation age profile'!M$35</f>
        <v>2993.0776425120771</v>
      </c>
      <c r="AO13">
        <f>'community workers'!D13*'t_occupation age profile'!N$35</f>
        <v>1128.5698164251207</v>
      </c>
      <c r="AP13">
        <f>'community workers'!D13*'t_occupation age profile'!O$35</f>
        <v>482.73324315619971</v>
      </c>
      <c r="AQ13">
        <f>'energy, food, transport'!D13*'t_occupation age profile'!C$3</f>
        <v>4976.586299583083</v>
      </c>
      <c r="AR13">
        <f>'energy, food, transport'!D13*'t_occupation age profile'!D$3</f>
        <v>18817.937998537229</v>
      </c>
      <c r="AS13">
        <f>'energy, food, transport'!D13*'t_occupation age profile'!E$3</f>
        <v>18166.214103339295</v>
      </c>
      <c r="AT13">
        <f>'energy, food, transport'!D13*'t_occupation age profile'!F$3</f>
        <v>19639.43078105156</v>
      </c>
      <c r="AU13">
        <f>'energy, food, transport'!D13*'t_occupation age profile'!G$3</f>
        <v>27463.890165367156</v>
      </c>
      <c r="AV13">
        <f>'energy, food, transport'!D13*'t_occupation age profile'!H$3</f>
        <v>31701.981805123927</v>
      </c>
      <c r="AW13">
        <f>'energy, food, transport'!D13*'t_occupation age profile'!I$3</f>
        <v>25611.994552890825</v>
      </c>
      <c r="AX13">
        <f>'energy, food, transport'!D13*'t_occupation age profile'!J$3</f>
        <v>14369.521570605149</v>
      </c>
      <c r="AY13">
        <f>'energy, food, transport'!D13*'t_occupation age profile'!K$3</f>
        <v>10939.246886328892</v>
      </c>
      <c r="AZ13">
        <f>'energy, food, transport'!D13*'t_occupation age profile'!L$3</f>
        <v>4338.066651176423</v>
      </c>
      <c r="BA13">
        <f>'energy, food, transport'!D13*'t_occupation age profile'!M$3</f>
        <v>1718.4384038359476</v>
      </c>
      <c r="BB13">
        <f>'energy, food, transport'!D13*'t_occupation age profile'!N$3</f>
        <v>613.52589555174757</v>
      </c>
      <c r="BC13">
        <f>'energy, food, transport'!D13*'t_occupation age profile'!O$3</f>
        <v>246.16488660877187</v>
      </c>
      <c r="BD13">
        <f>'energy, food, transport'!E13*'t_occupation age profile'!C$5</f>
        <v>3758.2066711176235</v>
      </c>
      <c r="BE13">
        <f>'energy, food, transport'!E13*'t_occupation age profile'!D$5</f>
        <v>13105.662095573465</v>
      </c>
      <c r="BF13">
        <f>'energy, food, transport'!E13*'t_occupation age profile'!E$5</f>
        <v>12375.183427669983</v>
      </c>
      <c r="BG13">
        <f>'energy, food, transport'!E13*'t_occupation age profile'!F$5</f>
        <v>11788.757562687591</v>
      </c>
      <c r="BH13">
        <f>'energy, food, transport'!E13*'t_occupation age profile'!G$5</f>
        <v>13762.019048519369</v>
      </c>
      <c r="BI13">
        <f>'energy, food, transport'!E13*'t_occupation age profile'!H$5</f>
        <v>13584.703143832865</v>
      </c>
      <c r="BJ13">
        <f>'energy, food, transport'!E13*'t_occupation age profile'!I$5</f>
        <v>10077.410263985064</v>
      </c>
      <c r="BK13">
        <f>'energy, food, transport'!E13*'t_occupation age profile'!J$5</f>
        <v>5071.706319570817</v>
      </c>
      <c r="BL13">
        <f>'energy, food, transport'!E13*'t_occupation age profile'!K$5</f>
        <v>3359.3113641197738</v>
      </c>
      <c r="BM13">
        <f>'energy, food, transport'!E13*'t_occupation age profile'!L$5</f>
        <v>1142.469684257793</v>
      </c>
      <c r="BN13">
        <f>'energy, food, transport'!E13*'t_occupation age profile'!M$5</f>
        <v>416.70547172263838</v>
      </c>
      <c r="BO13">
        <f>'energy, food, transport'!E13*'t_occupation age profile'!N$5</f>
        <v>147.98151572802686</v>
      </c>
      <c r="BP13">
        <f>'energy, food, transport'!E13*'t_occupation age profile'!O$5</f>
        <v>68.883431214993024</v>
      </c>
      <c r="BQ13">
        <f>'energy, food, transport'!J13*'t_occupation age profile'!C$7</f>
        <v>5270.6038949250997</v>
      </c>
      <c r="BR13">
        <f>'energy, food, transport'!J13*'t_occupation age profile'!D$7</f>
        <v>25205.760315919237</v>
      </c>
      <c r="BS13">
        <f>'energy, food, transport'!J13*'t_occupation age profile'!E$7</f>
        <v>27584.758964661691</v>
      </c>
      <c r="BT13">
        <f>'energy, food, transport'!J13*'t_occupation age profile'!F$7</f>
        <v>26990.619024193773</v>
      </c>
      <c r="BU13">
        <f>'energy, food, transport'!J13*'t_occupation age profile'!G$7</f>
        <v>29828.297771788912</v>
      </c>
      <c r="BV13">
        <f>'energy, food, transport'!J13*'t_occupation age profile'!H$7</f>
        <v>26785.21055218708</v>
      </c>
      <c r="BW13">
        <f>'energy, food, transport'!J13*'t_occupation age profile'!I$7</f>
        <v>19268.425722691401</v>
      </c>
      <c r="BX13">
        <f>'energy, food, transport'!J13*'t_occupation age profile'!J$7</f>
        <v>9311.2297181095782</v>
      </c>
      <c r="BY13">
        <f>'energy, food, transport'!J13*'t_occupation age profile'!K$7</f>
        <v>6061.7516970669831</v>
      </c>
      <c r="BZ13">
        <f>'energy, food, transport'!J13*'t_occupation age profile'!L$7</f>
        <v>2233.410651927682</v>
      </c>
      <c r="CA13">
        <f>'energy, food, transport'!J13*'t_occupation age profile'!M$7</f>
        <v>941.61357269823907</v>
      </c>
      <c r="CB13">
        <f>'energy, food, transport'!J13*'t_occupation age profile'!N$7</f>
        <v>375.6901983882355</v>
      </c>
      <c r="CC13">
        <f>'energy, food, transport'!J13*'t_occupation age profile'!O$7</f>
        <v>206.62791544209145</v>
      </c>
      <c r="CD13">
        <f>'energy, food, transport'!K13*'t_occupation age profile'!C$9</f>
        <v>1137.7293660570454</v>
      </c>
      <c r="CE13">
        <f>'energy, food, transport'!K13*'t_occupation age profile'!D$9</f>
        <v>9628.3157396001134</v>
      </c>
      <c r="CF13">
        <f>'energy, food, transport'!K13*'t_occupation age profile'!E$9</f>
        <v>15501.934994788213</v>
      </c>
      <c r="CG13">
        <f>'energy, food, transport'!K13*'t_occupation age profile'!F$9</f>
        <v>18873.416279730882</v>
      </c>
      <c r="CH13">
        <f>'energy, food, transport'!K13*'t_occupation age profile'!G$9</f>
        <v>25632.086610442526</v>
      </c>
      <c r="CI13">
        <f>'energy, food, transport'!K13*'t_occupation age profile'!H$9</f>
        <v>24643.580972235384</v>
      </c>
      <c r="CJ13">
        <f>'energy, food, transport'!K13*'t_occupation age profile'!I$9</f>
        <v>19938.835781294416</v>
      </c>
      <c r="CK13">
        <f>'energy, food, transport'!K13*'t_occupation age profile'!J$9</f>
        <v>10944.517767459491</v>
      </c>
      <c r="CL13">
        <f>'energy, food, transport'!K13*'t_occupation age profile'!K$9</f>
        <v>6525.4913294797689</v>
      </c>
      <c r="CM13">
        <f>'energy, food, transport'!K13*'t_occupation age profile'!L$9</f>
        <v>1017.483748697053</v>
      </c>
      <c r="CN13">
        <f>'energy, food, transport'!K13*'t_occupation age profile'!M$9</f>
        <v>333.38368236520421</v>
      </c>
      <c r="CO13">
        <f>'energy, food, transport'!K13*'t_occupation age profile'!N$9</f>
        <v>98.308916895669469</v>
      </c>
      <c r="CP13">
        <f>'energy, food, transport'!K13*'t_occupation age profile'!O$9</f>
        <v>50.914810954231022</v>
      </c>
      <c r="CQ13">
        <f>'energy, food, transport'!O13*'t_occupation age profile'!C$17</f>
        <v>5753.6975506777999</v>
      </c>
      <c r="CR13">
        <f>'energy, food, transport'!O13*'t_occupation age profile'!D$17</f>
        <v>40973.966877090614</v>
      </c>
      <c r="CS13">
        <f>'energy, food, transport'!O13*'t_occupation age profile'!E$17</f>
        <v>61654.359675624357</v>
      </c>
      <c r="CT13">
        <f>'energy, food, transport'!O13*'t_occupation age profile'!F$17</f>
        <v>71050.87726352457</v>
      </c>
      <c r="CU13">
        <f>'energy, food, transport'!O13*'t_occupation age profile'!G$17</f>
        <v>88170.28416664571</v>
      </c>
      <c r="CV13">
        <f>'energy, food, transport'!O13*'t_occupation age profile'!H$17</f>
        <v>82477.546586164841</v>
      </c>
      <c r="CW13">
        <f>'energy, food, transport'!O13*'t_occupation age profile'!I$17</f>
        <v>62980.885572545958</v>
      </c>
      <c r="CX13">
        <f>'energy, food, transport'!O13*'t_occupation age profile'!J$17</f>
        <v>33461.297095457856</v>
      </c>
      <c r="CY13">
        <f>'energy, food, transport'!O13*'t_occupation age profile'!K$17</f>
        <v>18140.578767510877</v>
      </c>
      <c r="CZ13">
        <f>'energy, food, transport'!O13*'t_occupation age profile'!L$17</f>
        <v>3729.4570857750059</v>
      </c>
      <c r="DA13">
        <f>'energy, food, transport'!O13*'t_occupation age profile'!M$17</f>
        <v>1123.8801778124293</v>
      </c>
      <c r="DB13">
        <f>'energy, food, transport'!O13*'t_occupation age profile'!N$17</f>
        <v>346.36346702799221</v>
      </c>
      <c r="DC13">
        <f>'energy, food, transport'!O13*'t_occupation age profile'!O$17</f>
        <v>212.80571414199844</v>
      </c>
      <c r="DD13">
        <f>'social welfare'!F13*'t_occupation age profile'!C$37</f>
        <v>122.85014409221903</v>
      </c>
      <c r="DE13">
        <f>'social welfare'!F13*'t_occupation age profile'!D$37</f>
        <v>787.6349663784822</v>
      </c>
      <c r="DF13">
        <f>'social welfare'!F13*'t_occupation age profile'!E$37</f>
        <v>1195.3928914505284</v>
      </c>
      <c r="DG13">
        <f>'social welfare'!F13*'t_occupation age profile'!F$37</f>
        <v>1333.0547550432277</v>
      </c>
      <c r="DH13">
        <f>'social welfare'!F13*'t_occupation age profile'!G$37</f>
        <v>1905.4841498559078</v>
      </c>
      <c r="DI13">
        <f>'social welfare'!F13*'t_occupation age profile'!H$37</f>
        <v>2694.8616714697405</v>
      </c>
      <c r="DJ13">
        <f>'social welfare'!F13*'t_occupation age profile'!I$37</f>
        <v>3099.1344860710851</v>
      </c>
      <c r="DK13">
        <f>'social welfare'!F13*'t_occupation age profile'!J$37</f>
        <v>1972.5725264169066</v>
      </c>
      <c r="DL13">
        <f>'social welfare'!F13*'t_occupation age profile'!K$37</f>
        <v>1525.6071085494716</v>
      </c>
      <c r="DM13">
        <f>'social welfare'!F13*'t_occupation age profile'!L$37</f>
        <v>460.03458213256488</v>
      </c>
      <c r="DN13">
        <f>'social welfare'!F13*'t_occupation age profile'!M$37</f>
        <v>207.36407300672428</v>
      </c>
      <c r="DO13">
        <f>'social welfare'!F13*'t_occupation age profile'!N$37</f>
        <v>75.801152737752162</v>
      </c>
      <c r="DP13">
        <f>'social welfare'!F13*'t_occupation age profile'!O$37</f>
        <v>39.207492795389044</v>
      </c>
    </row>
    <row r="14" spans="1:120" ht="15.5" x14ac:dyDescent="0.3">
      <c r="A14" s="102">
        <v>13</v>
      </c>
      <c r="B14" s="102" t="s">
        <v>30</v>
      </c>
      <c r="C14" s="102" t="s">
        <v>31</v>
      </c>
      <c r="D14">
        <f>HCW!D14*'t_occupation age profile'!C$33</f>
        <v>3083.7692259786586</v>
      </c>
      <c r="E14">
        <f>HCW!D14*'t_occupation age profile'!D$33</f>
        <v>28794.982141322449</v>
      </c>
      <c r="F14">
        <f>HCW!D14*'t_occupation age profile'!E$33</f>
        <v>43754.295597358934</v>
      </c>
      <c r="G14">
        <f>HCW!D14*'t_occupation age profile'!F$33</f>
        <v>43038.096277179429</v>
      </c>
      <c r="H14">
        <f>HCW!D14*'t_occupation age profile'!G$33</f>
        <v>44276.53854661902</v>
      </c>
      <c r="I14">
        <f>HCW!D14*'t_occupation age profile'!H$33</f>
        <v>36723.891170180563</v>
      </c>
      <c r="J14">
        <f>HCW!D14*'t_occupation age profile'!I$33</f>
        <v>32644.296477961885</v>
      </c>
      <c r="K14">
        <f>HCW!D14*'t_occupation age profile'!J$33</f>
        <v>20163.923635407962</v>
      </c>
      <c r="L14">
        <f>HCW!D14*'t_occupation age profile'!K$33</f>
        <v>14112.896077642525</v>
      </c>
      <c r="M14">
        <f>HCW!D14*'t_occupation age profile'!L$33</f>
        <v>4949.9996076521538</v>
      </c>
      <c r="N14">
        <f>HCW!D14*'t_occupation age profile'!M$33</f>
        <v>2342.2116523573877</v>
      </c>
      <c r="O14">
        <f>HCW!D14*'t_occupation age profile'!N$33</f>
        <v>861.83793791936068</v>
      </c>
      <c r="P14">
        <f>HCW!D14*'t_occupation age profile'!O$33</f>
        <v>376.26165241966527</v>
      </c>
      <c r="Q14">
        <f>'law enforcement'!I15*'t_occupation age profile'!C$39</f>
        <v>7675.676004364328</v>
      </c>
      <c r="R14">
        <f>'law enforcement'!I15*'t_occupation age profile'!D$39</f>
        <v>31174.933124671479</v>
      </c>
      <c r="S14">
        <f>'law enforcement'!I15*'t_occupation age profile'!E$39</f>
        <v>14966.993069503998</v>
      </c>
      <c r="T14">
        <f>'law enforcement'!I15*'t_occupation age profile'!F$39</f>
        <v>8661.9317540736265</v>
      </c>
      <c r="U14">
        <f>'law enforcement'!I15*'t_occupation age profile'!G$39</f>
        <v>4294.6583049991477</v>
      </c>
      <c r="V14">
        <f>'law enforcement'!I15*'t_occupation age profile'!H$39</f>
        <v>1860.8668687563984</v>
      </c>
      <c r="W14">
        <f>'law enforcement'!I15*'t_occupation age profile'!I$39</f>
        <v>1317.8987393595739</v>
      </c>
      <c r="X14">
        <f>'law enforcement'!I15*'t_occupation age profile'!J$39</f>
        <v>480.5024971998746</v>
      </c>
      <c r="Y14">
        <f>'law enforcement'!I15*'t_occupation age profile'!K$39</f>
        <v>262.90311374668937</v>
      </c>
      <c r="Z14">
        <f>'law enforcement'!I15*'t_occupation age profile'!L$39</f>
        <v>42.658705985804652</v>
      </c>
      <c r="AA14">
        <f>'law enforcement'!I15*'t_occupation age profile'!M$39</f>
        <v>0</v>
      </c>
      <c r="AB14">
        <f>'law enforcement'!I15*'t_occupation age profile'!N$39</f>
        <v>0</v>
      </c>
      <c r="AC14">
        <f>'law enforcement'!I15*'t_occupation age profile'!O$39</f>
        <v>0</v>
      </c>
      <c r="AD14">
        <f>'community workers'!D14*'t_occupation age profile'!C$35</f>
        <v>1326.5066666666667</v>
      </c>
      <c r="AE14">
        <f>'community workers'!D14*'t_occupation age profile'!D$35</f>
        <v>8796.7043950617281</v>
      </c>
      <c r="AF14">
        <f>'community workers'!D14*'t_occupation age profile'!E$35</f>
        <v>11542.450370370369</v>
      </c>
      <c r="AG14">
        <f>'community workers'!D14*'t_occupation age profile'!F$35</f>
        <v>11991.988740740742</v>
      </c>
      <c r="AH14">
        <f>'community workers'!D14*'t_occupation age profile'!G$35</f>
        <v>17531.382320987654</v>
      </c>
      <c r="AI14">
        <f>'community workers'!D14*'t_occupation age profile'!H$35</f>
        <v>22294.523851851853</v>
      </c>
      <c r="AJ14">
        <f>'community workers'!D14*'t_occupation age profile'!I$35</f>
        <v>25817.136000000002</v>
      </c>
      <c r="AK14">
        <f>'community workers'!D14*'t_occupation age profile'!J$35</f>
        <v>18020.83871604938</v>
      </c>
      <c r="AL14">
        <f>'community workers'!D14*'t_occupation age profile'!K$35</f>
        <v>15087.785086419753</v>
      </c>
      <c r="AM14">
        <f>'community workers'!D14*'t_occupation age profile'!L$35</f>
        <v>6305.2055308641975</v>
      </c>
      <c r="AN14">
        <f>'community workers'!D14*'t_occupation age profile'!M$35</f>
        <v>2794.8758518518516</v>
      </c>
      <c r="AO14">
        <f>'community workers'!D14*'t_occupation age profile'!N$35</f>
        <v>1053.8358518518519</v>
      </c>
      <c r="AP14">
        <f>'community workers'!D14*'t_occupation age profile'!O$35</f>
        <v>450.76661728395061</v>
      </c>
      <c r="AQ14">
        <f>'energy, food, transport'!D14*'t_occupation age profile'!C$3</f>
        <v>6753.6101527989376</v>
      </c>
      <c r="AR14">
        <f>'energy, food, transport'!D14*'t_occupation age profile'!D$3</f>
        <v>25537.388376507988</v>
      </c>
      <c r="AS14">
        <f>'energy, food, transport'!D14*'t_occupation age profile'!E$3</f>
        <v>24652.948953484381</v>
      </c>
      <c r="AT14">
        <f>'energy, food, transport'!D14*'t_occupation age profile'!F$3</f>
        <v>26652.217229552218</v>
      </c>
      <c r="AU14">
        <f>'energy, food, transport'!D14*'t_occupation age profile'!G$3</f>
        <v>37270.610070947077</v>
      </c>
      <c r="AV14">
        <f>'energy, food, transport'!D14*'t_occupation age profile'!H$3</f>
        <v>43022.026203156318</v>
      </c>
      <c r="AW14">
        <f>'energy, food, transport'!D14*'t_occupation age profile'!I$3</f>
        <v>34757.445371805472</v>
      </c>
      <c r="AX14">
        <f>'energy, food, transport'!D14*'t_occupation age profile'!J$3</f>
        <v>19500.545339328761</v>
      </c>
      <c r="AY14">
        <f>'energy, food, transport'!D14*'t_occupation age profile'!K$3</f>
        <v>14845.398911634318</v>
      </c>
      <c r="AZ14">
        <f>'energy, food, transport'!D14*'t_occupation age profile'!L$3</f>
        <v>5887.0899076658225</v>
      </c>
      <c r="BA14">
        <f>'energy, food, transport'!D14*'t_occupation age profile'!M$3</f>
        <v>2332.0530083198455</v>
      </c>
      <c r="BB14">
        <f>'energy, food, transport'!D14*'t_occupation age profile'!N$3</f>
        <v>832.60180126896785</v>
      </c>
      <c r="BC14">
        <f>'energy, food, transport'!D14*'t_occupation age profile'!O$3</f>
        <v>334.06467352990097</v>
      </c>
      <c r="BD14">
        <f>'energy, food, transport'!E14*'t_occupation age profile'!C$5</f>
        <v>8013.2601416822254</v>
      </c>
      <c r="BE14">
        <f>'energy, food, transport'!E14*'t_occupation age profile'!D$5</f>
        <v>27943.934139626122</v>
      </c>
      <c r="BF14">
        <f>'energy, food, transport'!E14*'t_occupation age profile'!E$5</f>
        <v>26386.405215300259</v>
      </c>
      <c r="BG14">
        <f>'energy, food, transport'!E14*'t_occupation age profile'!F$5</f>
        <v>25136.026132630635</v>
      </c>
      <c r="BH14">
        <f>'energy, food, transport'!E14*'t_occupation age profile'!G$5</f>
        <v>29343.42050906341</v>
      </c>
      <c r="BI14">
        <f>'energy, food, transport'!E14*'t_occupation age profile'!H$5</f>
        <v>28965.34697669747</v>
      </c>
      <c r="BJ14">
        <f>'energy, food, transport'!E14*'t_occupation age profile'!I$5</f>
        <v>21487.086013754637</v>
      </c>
      <c r="BK14">
        <f>'energy, food, transport'!E14*'t_occupation age profile'!J$5</f>
        <v>10813.908243329473</v>
      </c>
      <c r="BL14">
        <f>'energy, food, transport'!E14*'t_occupation age profile'!K$5</f>
        <v>7162.7343074232504</v>
      </c>
      <c r="BM14">
        <f>'energy, food, transport'!E14*'t_occupation age profile'!L$5</f>
        <v>2435.977471462671</v>
      </c>
      <c r="BN14">
        <f>'energy, food, transport'!E14*'t_occupation age profile'!M$5</f>
        <v>888.50072377283573</v>
      </c>
      <c r="BO14">
        <f>'energy, food, transport'!E14*'t_occupation age profile'!N$5</f>
        <v>315.52665551958029</v>
      </c>
      <c r="BP14">
        <f>'energy, food, transport'!E14*'t_occupation age profile'!O$5</f>
        <v>146.87346973743294</v>
      </c>
      <c r="BQ14">
        <f>'energy, food, transport'!J14*'t_occupation age profile'!C$7</f>
        <v>4297.3815467468703</v>
      </c>
      <c r="BR14">
        <f>'energy, food, transport'!J14*'t_occupation age profile'!D$7</f>
        <v>20551.491140825943</v>
      </c>
      <c r="BS14">
        <f>'energy, food, transport'!J14*'t_occupation age profile'!E$7</f>
        <v>22491.205279216312</v>
      </c>
      <c r="BT14">
        <f>'energy, food, transport'!J14*'t_occupation age profile'!F$7</f>
        <v>22006.773880603614</v>
      </c>
      <c r="BU14">
        <f>'energy, food, transport'!J14*'t_occupation age profile'!G$7</f>
        <v>24320.472372962886</v>
      </c>
      <c r="BV14">
        <f>'energy, food, transport'!J14*'t_occupation age profile'!H$7</f>
        <v>21839.294291026225</v>
      </c>
      <c r="BW14">
        <f>'energy, food, transport'!J14*'t_occupation age profile'!I$7</f>
        <v>15710.491394598244</v>
      </c>
      <c r="BX14">
        <f>'energy, food, transport'!J14*'t_occupation age profile'!J$7</f>
        <v>7591.9017186348065</v>
      </c>
      <c r="BY14">
        <f>'energy, food, transport'!J14*'t_occupation age profile'!K$7</f>
        <v>4942.4431058117616</v>
      </c>
      <c r="BZ14">
        <f>'energy, food, transport'!J14*'t_occupation age profile'!L$7</f>
        <v>1821.0091126641785</v>
      </c>
      <c r="CA14">
        <f>'energy, food, transport'!J14*'t_occupation age profile'!M$7</f>
        <v>767.74367267022819</v>
      </c>
      <c r="CB14">
        <f>'energy, food, transport'!J14*'t_occupation age profile'!N$7</f>
        <v>306.31862269175849</v>
      </c>
      <c r="CC14">
        <f>'energy, food, transport'!J14*'t_occupation age profile'!O$7</f>
        <v>168.47386154717577</v>
      </c>
      <c r="CD14">
        <f>'energy, food, transport'!K14*'t_occupation age profile'!C$9</f>
        <v>1463.9734269371822</v>
      </c>
      <c r="CE14">
        <f>'energy, food, transport'!K14*'t_occupation age profile'!D$9</f>
        <v>12389.236675665486</v>
      </c>
      <c r="CF14">
        <f>'energy, food, transport'!K14*'t_occupation age profile'!E$9</f>
        <v>19947.117104947469</v>
      </c>
      <c r="CG14">
        <f>'energy, food, transport'!K14*'t_occupation age profile'!F$9</f>
        <v>24285.371137782742</v>
      </c>
      <c r="CH14">
        <f>'energy, food, transport'!K14*'t_occupation age profile'!G$9</f>
        <v>32982.091166976817</v>
      </c>
      <c r="CI14">
        <f>'energy, food, transport'!K14*'t_occupation age profile'!H$9</f>
        <v>31710.131393513188</v>
      </c>
      <c r="CJ14">
        <f>'energy, food, transport'!K14*'t_occupation age profile'!I$9</f>
        <v>25656.299836085735</v>
      </c>
      <c r="CK14">
        <f>'energy, food, transport'!K14*'t_occupation age profile'!J$9</f>
        <v>14082.859826085554</v>
      </c>
      <c r="CL14">
        <f>'energy, food, transport'!K14*'t_occupation age profile'!K$9</f>
        <v>8396.6769155085476</v>
      </c>
      <c r="CM14">
        <f>'energy, food, transport'!K14*'t_occupation age profile'!L$9</f>
        <v>1309.2473613432503</v>
      </c>
      <c r="CN14">
        <f>'energy, food, transport'!K14*'t_occupation age profile'!M$9</f>
        <v>428.98150168047408</v>
      </c>
      <c r="CO14">
        <f>'energy, food, transport'!K14*'t_occupation age profile'!N$9</f>
        <v>126.499013086931</v>
      </c>
      <c r="CP14">
        <f>'energy, food, transport'!K14*'t_occupation age profile'!O$9</f>
        <v>65.514640386619917</v>
      </c>
      <c r="CQ14">
        <f>'energy, food, transport'!O14*'t_occupation age profile'!C$17</f>
        <v>5477.3811205546899</v>
      </c>
      <c r="CR14">
        <f>'energy, food, transport'!O14*'t_occupation age profile'!D$17</f>
        <v>39006.226974925179</v>
      </c>
      <c r="CS14">
        <f>'energy, food, transport'!O14*'t_occupation age profile'!E$17</f>
        <v>58693.461502398706</v>
      </c>
      <c r="CT14">
        <f>'energy, food, transport'!O14*'t_occupation age profile'!F$17</f>
        <v>67638.719326884384</v>
      </c>
      <c r="CU14">
        <f>'energy, food, transport'!O14*'t_occupation age profile'!G$17</f>
        <v>83935.981277193729</v>
      </c>
      <c r="CV14">
        <f>'energy, food, transport'!O14*'t_occupation age profile'!H$17</f>
        <v>78516.632576126736</v>
      </c>
      <c r="CW14">
        <f>'energy, food, transport'!O14*'t_occupation age profile'!I$17</f>
        <v>59956.282121614138</v>
      </c>
      <c r="CX14">
        <f>'energy, food, transport'!O14*'t_occupation age profile'!J$17</f>
        <v>31854.346768425716</v>
      </c>
      <c r="CY14">
        <f>'energy, food, transport'!O14*'t_occupation age profile'!K$17</f>
        <v>17269.392904636454</v>
      </c>
      <c r="CZ14">
        <f>'energy, food, transport'!O14*'t_occupation age profile'!L$17</f>
        <v>3550.3530819301582</v>
      </c>
      <c r="DA14">
        <f>'energy, food, transport'!O14*'t_occupation age profile'!M$17</f>
        <v>1069.9067883730288</v>
      </c>
      <c r="DB14">
        <f>'energy, food, transport'!O14*'t_occupation age profile'!N$17</f>
        <v>329.72965618005077</v>
      </c>
      <c r="DC14">
        <f>'energy, food, transport'!O14*'t_occupation age profile'!O$17</f>
        <v>202.58590075702321</v>
      </c>
      <c r="DD14">
        <f>'social welfare'!F14*'t_occupation age profile'!C$37</f>
        <v>45.98016612985252</v>
      </c>
      <c r="DE14">
        <f>'social welfare'!F14*'t_occupation age profile'!D$37</f>
        <v>294.79482398146575</v>
      </c>
      <c r="DF14">
        <f>'social welfare'!F14*'t_occupation age profile'!E$37</f>
        <v>447.40984347629541</v>
      </c>
      <c r="DG14">
        <f>'social welfare'!F14*'t_occupation age profile'!F$37</f>
        <v>498.93371757925075</v>
      </c>
      <c r="DH14">
        <f>'social welfare'!F14*'t_occupation age profile'!G$37</f>
        <v>713.18172571622313</v>
      </c>
      <c r="DI14">
        <f>'social welfare'!F14*'t_occupation age profile'!H$37</f>
        <v>1008.628750635701</v>
      </c>
      <c r="DJ14">
        <f>'social welfare'!F14*'t_occupation age profile'!I$37</f>
        <v>1159.9393682545065</v>
      </c>
      <c r="DK14">
        <f>'social welfare'!F14*'t_occupation age profile'!J$37</f>
        <v>738.29146182968861</v>
      </c>
      <c r="DL14">
        <f>'social welfare'!F14*'t_occupation age profile'!K$37</f>
        <v>571.00192122958697</v>
      </c>
      <c r="DM14">
        <f>'social welfare'!F14*'t_occupation age profile'!L$37</f>
        <v>172.18104763519241</v>
      </c>
      <c r="DN14">
        <f>'social welfare'!F14*'t_occupation age profile'!M$37</f>
        <v>77.611911623438999</v>
      </c>
      <c r="DO14">
        <f>'social welfare'!F14*'t_occupation age profile'!N$37</f>
        <v>28.370740803526022</v>
      </c>
      <c r="DP14">
        <f>'social welfare'!F14*'t_occupation age profile'!O$37</f>
        <v>14.674521105272079</v>
      </c>
    </row>
    <row r="15" spans="1:120" ht="15.5" x14ac:dyDescent="0.3">
      <c r="A15" s="102">
        <v>14</v>
      </c>
      <c r="B15" s="102" t="s">
        <v>32</v>
      </c>
      <c r="C15" s="102" t="s">
        <v>33</v>
      </c>
      <c r="D15">
        <f>HCW!D15*'t_occupation age profile'!C$33</f>
        <v>3294.8401226118158</v>
      </c>
      <c r="E15">
        <f>HCW!D15*'t_occupation age profile'!D$33</f>
        <v>30765.876282136716</v>
      </c>
      <c r="F15">
        <f>HCW!D15*'t_occupation age profile'!E$33</f>
        <v>46749.091162956378</v>
      </c>
      <c r="G15">
        <f>HCW!D15*'t_occupation age profile'!F$33</f>
        <v>45983.871043358798</v>
      </c>
      <c r="H15">
        <f>HCW!D15*'t_occupation age profile'!G$33</f>
        <v>47307.07942241415</v>
      </c>
      <c r="I15">
        <f>HCW!D15*'t_occupation age profile'!H$33</f>
        <v>39237.485433930487</v>
      </c>
      <c r="J15">
        <f>HCW!D15*'t_occupation age profile'!I$33</f>
        <v>34878.659824452363</v>
      </c>
      <c r="K15">
        <f>HCW!D15*'t_occupation age profile'!J$33</f>
        <v>21544.058505914491</v>
      </c>
      <c r="L15">
        <f>HCW!D15*'t_occupation age profile'!K$33</f>
        <v>15078.863830386157</v>
      </c>
      <c r="M15">
        <f>HCW!D15*'t_occupation age profile'!L$33</f>
        <v>5288.8060419077328</v>
      </c>
      <c r="N15">
        <f>HCW!D15*'t_occupation age profile'!M$33</f>
        <v>2502.5260849040742</v>
      </c>
      <c r="O15">
        <f>HCW!D15*'t_occupation age profile'!N$33</f>
        <v>920.82708171671482</v>
      </c>
      <c r="P15">
        <f>HCW!D15*'t_occupation age profile'!O$33</f>
        <v>402.0151633101205</v>
      </c>
      <c r="Q15">
        <f>'law enforcement'!I16*'t_occupation age profile'!C$39</f>
        <v>7729.3398846576465</v>
      </c>
      <c r="R15">
        <f>'law enforcement'!I16*'t_occupation age profile'!D$39</f>
        <v>31392.890198211757</v>
      </c>
      <c r="S15">
        <f>'law enforcement'!I16*'t_occupation age profile'!E$39</f>
        <v>15071.633615037199</v>
      </c>
      <c r="T15">
        <f>'law enforcement'!I16*'t_occupation age profile'!F$39</f>
        <v>8722.490963255359</v>
      </c>
      <c r="U15">
        <f>'law enforcement'!I16*'t_occupation age profile'!G$39</f>
        <v>4324.6840680784053</v>
      </c>
      <c r="V15">
        <f>'law enforcement'!I16*'t_occupation age profile'!H$39</f>
        <v>1873.8769719486079</v>
      </c>
      <c r="W15">
        <f>'law enforcement'!I16*'t_occupation age profile'!I$39</f>
        <v>1327.1127239190441</v>
      </c>
      <c r="X15">
        <f>'law enforcement'!I16*'t_occupation age profile'!J$39</f>
        <v>483.86189231708818</v>
      </c>
      <c r="Y15">
        <f>'law enforcement'!I16*'t_occupation age profile'!K$39</f>
        <v>264.74118002473722</v>
      </c>
      <c r="Z15">
        <f>'law enforcement'!I16*'t_occupation age profile'!L$39</f>
        <v>42.956950946924486</v>
      </c>
      <c r="AA15">
        <f>'law enforcement'!I16*'t_occupation age profile'!M$39</f>
        <v>0</v>
      </c>
      <c r="AB15">
        <f>'law enforcement'!I16*'t_occupation age profile'!N$39</f>
        <v>0</v>
      </c>
      <c r="AC15">
        <f>'law enforcement'!I16*'t_occupation age profile'!O$39</f>
        <v>0</v>
      </c>
      <c r="AD15">
        <f>'community workers'!D15*'t_occupation age profile'!C$35</f>
        <v>1134.3026086956522</v>
      </c>
      <c r="AE15">
        <f>'community workers'!D15*'t_occupation age profile'!D$35</f>
        <v>7522.1067439613525</v>
      </c>
      <c r="AF15">
        <f>'community workers'!D15*'t_occupation age profile'!E$35</f>
        <v>9870.0081159420279</v>
      </c>
      <c r="AG15">
        <f>'community workers'!D15*'t_occupation age profile'!F$35</f>
        <v>10254.410666666667</v>
      </c>
      <c r="AH15">
        <f>'community workers'!D15*'t_occupation age profile'!G$35</f>
        <v>14991.174338164252</v>
      </c>
      <c r="AI15">
        <f>'community workers'!D15*'t_occupation age profile'!H$35</f>
        <v>19064.160927536232</v>
      </c>
      <c r="AJ15">
        <f>'community workers'!D15*'t_occupation age profile'!I$35</f>
        <v>22076.364521739131</v>
      </c>
      <c r="AK15">
        <f>'community workers'!D15*'t_occupation age profile'!J$35</f>
        <v>15409.710995169082</v>
      </c>
      <c r="AL15">
        <f>'community workers'!D15*'t_occupation age profile'!K$35</f>
        <v>12901.641893719807</v>
      </c>
      <c r="AM15">
        <f>'community workers'!D15*'t_occupation age profile'!L$35</f>
        <v>5391.6133719806767</v>
      </c>
      <c r="AN15">
        <f>'community workers'!D15*'t_occupation age profile'!M$35</f>
        <v>2389.9125797101447</v>
      </c>
      <c r="AO15">
        <f>'community workers'!D15*'t_occupation age profile'!N$35</f>
        <v>901.14040579710138</v>
      </c>
      <c r="AP15">
        <f>'community workers'!D15*'t_occupation age profile'!O$35</f>
        <v>385.45283091787439</v>
      </c>
      <c r="AQ15">
        <f>'energy, food, transport'!D15*'t_occupation age profile'!C$3</f>
        <v>3241.776341116301</v>
      </c>
      <c r="AR15">
        <f>'energy, food, transport'!D15*'t_occupation age profile'!D$3</f>
        <v>12258.110785170555</v>
      </c>
      <c r="AS15">
        <f>'energy, food, transport'!D15*'t_occupation age profile'!E$3</f>
        <v>11833.574169665702</v>
      </c>
      <c r="AT15">
        <f>'energy, food, transport'!D15*'t_occupation age profile'!F$3</f>
        <v>12793.235809924143</v>
      </c>
      <c r="AU15">
        <f>'energy, food, transport'!D15*'t_occupation age profile'!G$3</f>
        <v>17890.13271618792</v>
      </c>
      <c r="AV15">
        <f>'energy, food, transport'!D15*'t_occupation age profile'!H$3</f>
        <v>20650.849477072239</v>
      </c>
      <c r="AW15">
        <f>'energy, food, transport'!D15*'t_occupation age profile'!I$3</f>
        <v>16683.79748529967</v>
      </c>
      <c r="AX15">
        <f>'energy, food, transport'!D15*'t_occupation age profile'!J$3</f>
        <v>9360.3872728280876</v>
      </c>
      <c r="AY15">
        <f>'energy, food, transport'!D15*'t_occupation age profile'!K$3</f>
        <v>7125.8870259523201</v>
      </c>
      <c r="AZ15">
        <f>'energy, food, transport'!D15*'t_occupation age profile'!L$3</f>
        <v>2825.8410463307923</v>
      </c>
      <c r="BA15">
        <f>'energy, food, transport'!D15*'t_occupation age profile'!M$3</f>
        <v>1119.4004536177201</v>
      </c>
      <c r="BB15">
        <f>'energy, food, transport'!D15*'t_occupation age profile'!N$3</f>
        <v>399.65422342388968</v>
      </c>
      <c r="BC15">
        <f>'energy, food, transport'!D15*'t_occupation age profile'!O$3</f>
        <v>160.35319341066133</v>
      </c>
      <c r="BD15">
        <f>'energy, food, transport'!E15*'t_occupation age profile'!C$5</f>
        <v>2320.5683123389977</v>
      </c>
      <c r="BE15">
        <f>'energy, food, transport'!E15*'t_occupation age profile'!D$5</f>
        <v>8092.3128589322432</v>
      </c>
      <c r="BF15">
        <f>'energy, food, transport'!E15*'t_occupation age profile'!E$5</f>
        <v>7641.266442937158</v>
      </c>
      <c r="BG15">
        <f>'energy, food, transport'!E15*'t_occupation age profile'!F$5</f>
        <v>7279.1678680311015</v>
      </c>
      <c r="BH15">
        <f>'energy, food, transport'!E15*'t_occupation age profile'!G$5</f>
        <v>8497.5915676033383</v>
      </c>
      <c r="BI15">
        <f>'energy, food, transport'!E15*'t_occupation age profile'!H$5</f>
        <v>8388.1048613901166</v>
      </c>
      <c r="BJ15">
        <f>'energy, food, transport'!E15*'t_occupation age profile'!I$5</f>
        <v>6222.4675158934606</v>
      </c>
      <c r="BK15">
        <f>'energy, food, transport'!E15*'t_occupation age profile'!J$5</f>
        <v>3131.6108997234892</v>
      </c>
      <c r="BL15">
        <f>'energy, food, transport'!E15*'t_occupation age profile'!K$5</f>
        <v>2074.2636541961097</v>
      </c>
      <c r="BM15">
        <f>'energy, food, transport'!E15*'t_occupation age profile'!L$5</f>
        <v>705.43724150970149</v>
      </c>
      <c r="BN15">
        <f>'energy, food, transport'!E15*'t_occupation age profile'!M$5</f>
        <v>257.30184576843993</v>
      </c>
      <c r="BO15">
        <f>'energy, food, transport'!E15*'t_occupation age profile'!N$5</f>
        <v>91.373691300545929</v>
      </c>
      <c r="BP15">
        <f>'energy, food, transport'!E15*'t_occupation age profile'!O$5</f>
        <v>42.533240375298369</v>
      </c>
      <c r="BQ15">
        <f>'energy, food, transport'!J15*'t_occupation age profile'!C$7</f>
        <v>2882.7859305551819</v>
      </c>
      <c r="BR15">
        <f>'energy, food, transport'!J15*'t_occupation age profile'!D$7</f>
        <v>13786.429915107616</v>
      </c>
      <c r="BS15">
        <f>'energy, food, transport'!J15*'t_occupation age profile'!E$7</f>
        <v>15087.63637458146</v>
      </c>
      <c r="BT15">
        <f>'energy, food, transport'!J15*'t_occupation age profile'!F$7</f>
        <v>14762.668250376379</v>
      </c>
      <c r="BU15">
        <f>'energy, food, transport'!J15*'t_occupation age profile'!G$7</f>
        <v>16314.752325007632</v>
      </c>
      <c r="BV15">
        <f>'energy, food, transport'!J15*'t_occupation age profile'!H$7</f>
        <v>14650.318951335352</v>
      </c>
      <c r="BW15">
        <f>'energy, food, transport'!J15*'t_occupation age profile'!I$7</f>
        <v>10538.971944146015</v>
      </c>
      <c r="BX15">
        <f>'energy, food, transport'!J15*'t_occupation age profile'!J$7</f>
        <v>5092.8285567768016</v>
      </c>
      <c r="BY15">
        <f>'energy, food, transport'!J15*'t_occupation age profile'!K$7</f>
        <v>3315.5085935502707</v>
      </c>
      <c r="BZ15">
        <f>'energy, food, transport'!J15*'t_occupation age profile'!L$7</f>
        <v>1221.5762999622445</v>
      </c>
      <c r="CA15">
        <f>'energy, food, transport'!J15*'t_occupation age profile'!M$7</f>
        <v>515.02074781372994</v>
      </c>
      <c r="CB15">
        <f>'energy, food, transport'!J15*'t_occupation age profile'!N$7</f>
        <v>205.48583041952944</v>
      </c>
      <c r="CC15">
        <f>'energy, food, transport'!J15*'t_occupation age profile'!O$7</f>
        <v>113.01628036778735</v>
      </c>
      <c r="CD15">
        <f>'energy, food, transport'!K15*'t_occupation age profile'!C$9</f>
        <v>1150.7815000675414</v>
      </c>
      <c r="CE15">
        <f>'energy, food, transport'!K15*'t_occupation age profile'!D$9</f>
        <v>9738.7726470843227</v>
      </c>
      <c r="CF15">
        <f>'energy, food, transport'!K15*'t_occupation age profile'!E$9</f>
        <v>15679.774592684142</v>
      </c>
      <c r="CG15">
        <f>'energy, food, transport'!K15*'t_occupation age profile'!F$9</f>
        <v>19089.933815331326</v>
      </c>
      <c r="CH15">
        <f>'energy, food, transport'!K15*'t_occupation age profile'!G$9</f>
        <v>25926.14022230242</v>
      </c>
      <c r="CI15">
        <f>'energy, food, transport'!K15*'t_occupation age profile'!H$9</f>
        <v>24926.294358163756</v>
      </c>
      <c r="CJ15">
        <f>'energy, food, transport'!K15*'t_occupation age profile'!I$9</f>
        <v>20167.575905611189</v>
      </c>
      <c r="CK15">
        <f>'energy, food, transport'!K15*'t_occupation age profile'!J$9</f>
        <v>11070.074263444298</v>
      </c>
      <c r="CL15">
        <f>'energy, food, transport'!K15*'t_occupation age profile'!K$9</f>
        <v>6600.3523551838643</v>
      </c>
      <c r="CM15">
        <f>'energy, food, transport'!K15*'t_occupation age profile'!L$9</f>
        <v>1029.1564141284821</v>
      </c>
      <c r="CN15">
        <f>'energy, food, transport'!K15*'t_occupation age profile'!M$9</f>
        <v>337.20829006977954</v>
      </c>
      <c r="CO15">
        <f>'energy, food, transport'!K15*'t_occupation age profile'!N$9</f>
        <v>99.43672566639313</v>
      </c>
      <c r="CP15">
        <f>'energy, food, transport'!K15*'t_occupation age profile'!O$9</f>
        <v>51.4989102624846</v>
      </c>
      <c r="CQ15">
        <f>'energy, food, transport'!O15*'t_occupation age profile'!C$17</f>
        <v>4856.9635254237828</v>
      </c>
      <c r="CR15">
        <f>'energy, food, transport'!O15*'t_occupation age profile'!D$17</f>
        <v>34588.029847086342</v>
      </c>
      <c r="CS15">
        <f>'energy, food, transport'!O15*'t_occupation age profile'!E$17</f>
        <v>52045.310600761426</v>
      </c>
      <c r="CT15">
        <f>'energy, food, transport'!O15*'t_occupation age profile'!F$17</f>
        <v>59977.347832203668</v>
      </c>
      <c r="CU15">
        <f>'energy, food, transport'!O15*'t_occupation age profile'!G$17</f>
        <v>74428.634882485348</v>
      </c>
      <c r="CV15">
        <f>'energy, food, transport'!O15*'t_occupation age profile'!H$17</f>
        <v>69623.130501229214</v>
      </c>
      <c r="CW15">
        <f>'energy, food, transport'!O15*'t_occupation age profile'!I$17</f>
        <v>53165.092765209622</v>
      </c>
      <c r="CX15">
        <f>'energy, food, transport'!O15*'t_occupation age profile'!J$17</f>
        <v>28246.236107225042</v>
      </c>
      <c r="CY15">
        <f>'energy, food, transport'!O15*'t_occupation age profile'!K$17</f>
        <v>15313.305683490104</v>
      </c>
      <c r="CZ15">
        <f>'energy, food, transport'!O15*'t_occupation age profile'!L$17</f>
        <v>3148.2080654567294</v>
      </c>
      <c r="DA15">
        <f>'energy, food, transport'!O15*'t_occupation age profile'!M$17</f>
        <v>948.71949429088806</v>
      </c>
      <c r="DB15">
        <f>'energy, food, transport'!O15*'t_occupation age profile'!N$17</f>
        <v>292.38150095256657</v>
      </c>
      <c r="DC15">
        <f>'energy, food, transport'!O15*'t_occupation age profile'!O$17</f>
        <v>179.63919418525691</v>
      </c>
      <c r="DD15">
        <f>'social welfare'!F15*'t_occupation age profile'!C$37</f>
        <v>85.355314460077992</v>
      </c>
      <c r="DE15">
        <f>'social welfare'!F15*'t_occupation age profile'!D$37</f>
        <v>547.24258348872684</v>
      </c>
      <c r="DF15">
        <f>'social welfare'!F15*'t_occupation age profile'!E$37</f>
        <v>830.54958467536869</v>
      </c>
      <c r="DG15">
        <f>'social welfare'!F15*'t_occupation age profile'!F$37</f>
        <v>926.19596541786746</v>
      </c>
      <c r="DH15">
        <f>'social welfare'!F15*'t_occupation age profile'!G$37</f>
        <v>1323.9154093914224</v>
      </c>
      <c r="DI15">
        <f>'social welfare'!F15*'t_occupation age profile'!H$37</f>
        <v>1872.3687065604338</v>
      </c>
      <c r="DJ15">
        <f>'social welfare'!F15*'t_occupation age profile'!I$37</f>
        <v>2153.2542803865063</v>
      </c>
      <c r="DK15">
        <f>'social welfare'!F15*'t_occupation age profile'!J$37</f>
        <v>1370.5278860823867</v>
      </c>
      <c r="DL15">
        <f>'social welfare'!F15*'t_occupation age profile'!K$37</f>
        <v>1059.979827089337</v>
      </c>
      <c r="DM15">
        <f>'social welfare'!F15*'t_occupation age profile'!L$37</f>
        <v>319.62841159518564</v>
      </c>
      <c r="DN15">
        <f>'social welfare'!F15*'t_occupation age profile'!M$37</f>
        <v>144.07492795389049</v>
      </c>
      <c r="DO15">
        <f>'social welfare'!F15*'t_occupation age profile'!N$37</f>
        <v>52.666045092388543</v>
      </c>
      <c r="DP15">
        <f>'social welfare'!F15*'t_occupation age profile'!O$37</f>
        <v>27.241057806407863</v>
      </c>
    </row>
    <row r="16" spans="1:120" ht="15.5" x14ac:dyDescent="0.3">
      <c r="A16" s="102">
        <v>15</v>
      </c>
      <c r="B16" s="102" t="s">
        <v>34</v>
      </c>
      <c r="C16" s="102" t="s">
        <v>35</v>
      </c>
      <c r="D16">
        <f>HCW!D16*'t_occupation age profile'!C$33</f>
        <v>8579.2568670214823</v>
      </c>
      <c r="E16">
        <f>HCW!D16*'t_occupation age profile'!D$33</f>
        <v>80109.609432042242</v>
      </c>
      <c r="F16">
        <f>HCW!D16*'t_occupation age profile'!E$33</f>
        <v>121727.4424438164</v>
      </c>
      <c r="G16">
        <f>HCW!D16*'t_occupation age profile'!F$33</f>
        <v>119734.92695853196</v>
      </c>
      <c r="H16">
        <f>HCW!D16*'t_occupation age profile'!G$33</f>
        <v>123180.35804169848</v>
      </c>
      <c r="I16">
        <f>HCW!D16*'t_occupation age profile'!H$33</f>
        <v>102168.37656051684</v>
      </c>
      <c r="J16">
        <f>HCW!D16*'t_occupation age profile'!I$33</f>
        <v>90818.665147927604</v>
      </c>
      <c r="K16">
        <f>HCW!D16*'t_occupation age profile'!J$33</f>
        <v>56097.414442635636</v>
      </c>
      <c r="L16">
        <f>HCW!D16*'t_occupation age profile'!K$33</f>
        <v>39263.041983710711</v>
      </c>
      <c r="M16">
        <f>HCW!D16*'t_occupation age profile'!L$33</f>
        <v>13771.237409059375</v>
      </c>
      <c r="N16">
        <f>HCW!D16*'t_occupation age profile'!M$33</f>
        <v>6516.192986564266</v>
      </c>
      <c r="O16">
        <f>HCW!D16*'t_occupation age profile'!N$33</f>
        <v>2397.692079182023</v>
      </c>
      <c r="P16">
        <f>HCW!D16*'t_occupation age profile'!O$33</f>
        <v>1046.7856472929868</v>
      </c>
      <c r="Q16">
        <f>'law enforcement'!I17*'t_occupation age profile'!C$39</f>
        <v>17603.901934195459</v>
      </c>
      <c r="R16">
        <f>'law enforcement'!I17*'t_occupation age profile'!D$39</f>
        <v>71498.649137844637</v>
      </c>
      <c r="S16">
        <f>'law enforcement'!I17*'t_occupation age profile'!E$39</f>
        <v>34326.289709925259</v>
      </c>
      <c r="T16">
        <f>'law enforcement'!I17*'t_occupation age profile'!F$39</f>
        <v>19865.84596232367</v>
      </c>
      <c r="U16">
        <f>'law enforcement'!I17*'t_occupation age profile'!G$39</f>
        <v>9849.6527991926669</v>
      </c>
      <c r="V16">
        <f>'law enforcement'!I17*'t_occupation age profile'!H$39</f>
        <v>4267.8348918785496</v>
      </c>
      <c r="W16">
        <f>'law enforcement'!I17*'t_occupation age profile'!I$39</f>
        <v>3022.5559486479542</v>
      </c>
      <c r="X16">
        <f>'law enforcement'!I17*'t_occupation age profile'!J$39</f>
        <v>1102.0161396902449</v>
      </c>
      <c r="Y16">
        <f>'law enforcement'!I17*'t_occupation age profile'!K$39</f>
        <v>602.95935236972502</v>
      </c>
      <c r="Z16">
        <f>'law enforcement'!I17*'t_occupation age profile'!L$39</f>
        <v>97.836291733365528</v>
      </c>
      <c r="AA16">
        <f>'law enforcement'!I17*'t_occupation age profile'!M$39</f>
        <v>0</v>
      </c>
      <c r="AB16">
        <f>'law enforcement'!I17*'t_occupation age profile'!N$39</f>
        <v>0</v>
      </c>
      <c r="AC16">
        <f>'law enforcement'!I17*'t_occupation age profile'!O$39</f>
        <v>0</v>
      </c>
      <c r="AD16">
        <f>'community workers'!D16*'t_occupation age profile'!C$35</f>
        <v>4088.9878260869564</v>
      </c>
      <c r="AE16">
        <f>'community workers'!D16*'t_occupation age profile'!D$35</f>
        <v>27116.047046698874</v>
      </c>
      <c r="AF16">
        <f>'community workers'!D16*'t_occupation age profile'!E$35</f>
        <v>35579.873236714971</v>
      </c>
      <c r="AG16">
        <f>'community workers'!D16*'t_occupation age profile'!F$35</f>
        <v>36965.585777777778</v>
      </c>
      <c r="AH16">
        <f>'community workers'!D16*'t_occupation age profile'!G$35</f>
        <v>54040.896051529788</v>
      </c>
      <c r="AI16">
        <f>'community workers'!D16*'t_occupation age profile'!H$35</f>
        <v>68723.391227053144</v>
      </c>
      <c r="AJ16">
        <f>'community workers'!D16*'t_occupation age profile'!I$35</f>
        <v>79581.925565217389</v>
      </c>
      <c r="AK16">
        <f>'community workers'!D16*'t_occupation age profile'!J$35</f>
        <v>55549.6568373591</v>
      </c>
      <c r="AL16">
        <f>'community workers'!D16*'t_occupation age profile'!K$35</f>
        <v>46508.450421900161</v>
      </c>
      <c r="AM16">
        <f>'community workers'!D16*'t_occupation age profile'!L$35</f>
        <v>19435.943523349437</v>
      </c>
      <c r="AN16">
        <f>'community workers'!D16*'t_occupation age profile'!M$35</f>
        <v>8615.2701835748794</v>
      </c>
      <c r="AO16">
        <f>'community workers'!D16*'t_occupation age profile'!N$35</f>
        <v>3248.4736618357488</v>
      </c>
      <c r="AP16">
        <f>'community workers'!D16*'t_occupation age profile'!O$35</f>
        <v>1389.4986409017713</v>
      </c>
      <c r="AQ16">
        <f>'energy, food, transport'!D16*'t_occupation age profile'!C$3</f>
        <v>20431.915153947502</v>
      </c>
      <c r="AR16">
        <f>'energy, food, transport'!D16*'t_occupation age profile'!D$3</f>
        <v>77259.086733926015</v>
      </c>
      <c r="AS16">
        <f>'energy, food, transport'!D16*'t_occupation age profile'!E$3</f>
        <v>74583.363551631366</v>
      </c>
      <c r="AT16">
        <f>'energy, food, transport'!D16*'t_occupation age profile'!F$3</f>
        <v>80631.814507845891</v>
      </c>
      <c r="AU16">
        <f>'energy, food, transport'!D16*'t_occupation age profile'!G$3</f>
        <v>112755.98168630671</v>
      </c>
      <c r="AV16">
        <f>'energy, food, transport'!D16*'t_occupation age profile'!H$3</f>
        <v>130155.92686668446</v>
      </c>
      <c r="AW16">
        <f>'energy, food, transport'!D16*'t_occupation age profile'!I$3</f>
        <v>105152.82326599478</v>
      </c>
      <c r="AX16">
        <f>'energy, food, transport'!D16*'t_occupation age profile'!J$3</f>
        <v>58995.630309479238</v>
      </c>
      <c r="AY16">
        <f>'energy, food, transport'!D16*'t_occupation age profile'!K$3</f>
        <v>44912.265310918243</v>
      </c>
      <c r="AZ16">
        <f>'energy, food, transport'!D16*'t_occupation age profile'!L$3</f>
        <v>17810.403439890371</v>
      </c>
      <c r="BA16">
        <f>'energy, food, transport'!D16*'t_occupation age profile'!M$3</f>
        <v>7055.2353663398753</v>
      </c>
      <c r="BB16">
        <f>'energy, food, transport'!D16*'t_occupation age profile'!N$3</f>
        <v>2518.897149178973</v>
      </c>
      <c r="BC16">
        <f>'energy, food, transport'!D16*'t_occupation age profile'!O$3</f>
        <v>1010.6566578565902</v>
      </c>
      <c r="BD16">
        <f>'energy, food, transport'!E16*'t_occupation age profile'!C$5</f>
        <v>9926.2114568808647</v>
      </c>
      <c r="BE16">
        <f>'energy, food, transport'!E16*'t_occupation age profile'!D$5</f>
        <v>34614.800256422379</v>
      </c>
      <c r="BF16">
        <f>'energy, food, transport'!E16*'t_occupation age profile'!E$5</f>
        <v>32685.453002032471</v>
      </c>
      <c r="BG16">
        <f>'energy, food, transport'!E16*'t_occupation age profile'!F$5</f>
        <v>31136.579390494648</v>
      </c>
      <c r="BH16">
        <f>'energy, food, transport'!E16*'t_occupation age profile'!G$5</f>
        <v>36348.376527308392</v>
      </c>
      <c r="BI16">
        <f>'energy, food, transport'!E16*'t_occupation age profile'!H$5</f>
        <v>35880.048061470472</v>
      </c>
      <c r="BJ16">
        <f>'energy, food, transport'!E16*'t_occupation age profile'!I$5</f>
        <v>26616.552513411953</v>
      </c>
      <c r="BK16">
        <f>'energy, food, transport'!E16*'t_occupation age profile'!J$5</f>
        <v>13395.439309432089</v>
      </c>
      <c r="BL16">
        <f>'energy, food, transport'!E16*'t_occupation age profile'!K$5</f>
        <v>8872.6453513104716</v>
      </c>
      <c r="BM16">
        <f>'energy, food, transport'!E16*'t_occupation age profile'!L$5</f>
        <v>3017.5018729468484</v>
      </c>
      <c r="BN16">
        <f>'energy, food, transport'!E16*'t_occupation age profile'!M$5</f>
        <v>1100.6064832321035</v>
      </c>
      <c r="BO16">
        <f>'energy, food, transport'!E16*'t_occupation age profile'!N$5</f>
        <v>390.85019674804437</v>
      </c>
      <c r="BP16">
        <f>'energy, food, transport'!E16*'t_occupation age profile'!O$5</f>
        <v>181.93557830926665</v>
      </c>
      <c r="BQ16">
        <f>'energy, food, transport'!J16*'t_occupation age profile'!C$7</f>
        <v>9973.9411319749524</v>
      </c>
      <c r="BR16">
        <f>'energy, food, transport'!J16*'t_occupation age profile'!D$7</f>
        <v>47698.66500871272</v>
      </c>
      <c r="BS16">
        <f>'energy, food, transport'!J16*'t_occupation age profile'!E$7</f>
        <v>52200.614490906242</v>
      </c>
      <c r="BT16">
        <f>'energy, food, transport'!J16*'t_occupation age profile'!F$7</f>
        <v>51076.280940421071</v>
      </c>
      <c r="BU16">
        <f>'energy, food, transport'!J16*'t_occupation age profile'!G$7</f>
        <v>56446.223615722898</v>
      </c>
      <c r="BV16">
        <f>'energy, food, transport'!J16*'t_occupation age profile'!H$7</f>
        <v>50687.571781347979</v>
      </c>
      <c r="BW16">
        <f>'energy, food, transport'!J16*'t_occupation age profile'!I$7</f>
        <v>36463.021637615791</v>
      </c>
      <c r="BX16">
        <f>'energy, food, transport'!J16*'t_occupation age profile'!J$7</f>
        <v>17620.306690878813</v>
      </c>
      <c r="BY16">
        <f>'energy, food, transport'!J16*'t_occupation age profile'!K$7</f>
        <v>11471.086765106742</v>
      </c>
      <c r="BZ16">
        <f>'energy, food, transport'!J16*'t_occupation age profile'!L$7</f>
        <v>4226.4428915444159</v>
      </c>
      <c r="CA16">
        <f>'energy, food, transport'!J16*'t_occupation age profile'!M$7</f>
        <v>1781.8827842865846</v>
      </c>
      <c r="CB16">
        <f>'energy, food, transport'!J16*'t_occupation age profile'!N$7</f>
        <v>710.94546228226898</v>
      </c>
      <c r="CC16">
        <f>'energy, food, transport'!J16*'t_occupation age profile'!O$7</f>
        <v>391.01679919951675</v>
      </c>
      <c r="CD16">
        <f>'energy, food, transport'!K16*'t_occupation age profile'!C$9</f>
        <v>2923.3900413515566</v>
      </c>
      <c r="CE16">
        <f>'energy, food, transport'!K16*'t_occupation age profile'!D$9</f>
        <v>24739.910199983467</v>
      </c>
      <c r="CF16">
        <f>'energy, food, transport'!K16*'t_occupation age profile'!E$9</f>
        <v>39832.146147813168</v>
      </c>
      <c r="CG16">
        <f>'energy, food, transport'!K16*'t_occupation age profile'!F$9</f>
        <v>48495.1508192689</v>
      </c>
      <c r="CH16">
        <f>'energy, food, transport'!K16*'t_occupation age profile'!G$9</f>
        <v>65861.521176795548</v>
      </c>
      <c r="CI16">
        <f>'energy, food, transport'!K16*'t_occupation age profile'!H$9</f>
        <v>63321.560774288242</v>
      </c>
      <c r="CJ16">
        <f>'energy, food, transport'!K16*'t_occupation age profile'!I$9</f>
        <v>51232.741017478133</v>
      </c>
      <c r="CK16">
        <f>'energy, food, transport'!K16*'t_occupation age profile'!J$9</f>
        <v>28121.884872911003</v>
      </c>
      <c r="CL16">
        <f>'energy, food, transport'!K16*'t_occupation age profile'!K$9</f>
        <v>16767.218054359859</v>
      </c>
      <c r="CM16">
        <f>'energy, food, transport'!K16*'t_occupation age profile'!L$9</f>
        <v>2614.4195156766959</v>
      </c>
      <c r="CN16">
        <f>'energy, food, transport'!K16*'t_occupation age profile'!M$9</f>
        <v>856.62774122917563</v>
      </c>
      <c r="CO16">
        <f>'energy, food, transport'!K16*'t_occupation age profile'!N$9</f>
        <v>252.6042811260688</v>
      </c>
      <c r="CP16">
        <f>'energy, food, transport'!K16*'t_occupation age profile'!O$9</f>
        <v>130.82535771818439</v>
      </c>
      <c r="CQ16">
        <f>'energy, food, transport'!O16*'t_occupation age profile'!C$17</f>
        <v>11579.500531692489</v>
      </c>
      <c r="CR16">
        <f>'energy, food, transport'!O16*'t_occupation age profile'!D$17</f>
        <v>82461.420166746306</v>
      </c>
      <c r="CS16">
        <f>'energy, food, transport'!O16*'t_occupation age profile'!E$17</f>
        <v>124081.3727793095</v>
      </c>
      <c r="CT16">
        <f>'energy, food, transport'!O16*'t_occupation age profile'!F$17</f>
        <v>142992.16526480095</v>
      </c>
      <c r="CU16">
        <f>'energy, food, transport'!O16*'t_occupation age profile'!G$17</f>
        <v>177445.51975396747</v>
      </c>
      <c r="CV16">
        <f>'energy, food, transport'!O16*'t_occupation age profile'!H$17</f>
        <v>165988.70311399674</v>
      </c>
      <c r="CW16">
        <f>'energy, food, transport'!O16*'t_occupation age profile'!I$17</f>
        <v>126751.04861704937</v>
      </c>
      <c r="CX16">
        <f>'energy, food, transport'!O16*'t_occupation age profile'!J$17</f>
        <v>67341.931704826959</v>
      </c>
      <c r="CY16">
        <f>'energy, food, transport'!O16*'t_occupation age profile'!K$17</f>
        <v>36508.495560190888</v>
      </c>
      <c r="CZ16">
        <f>'energy, food, transport'!O16*'t_occupation age profile'!L$17</f>
        <v>7505.6517877914293</v>
      </c>
      <c r="DA16">
        <f>'energy, food, transport'!O16*'t_occupation age profile'!M$17</f>
        <v>2261.84484010714</v>
      </c>
      <c r="DB16">
        <f>'energy, food, transport'!O16*'t_occupation age profile'!N$17</f>
        <v>697.06756660106635</v>
      </c>
      <c r="DC16">
        <f>'energy, food, transport'!O16*'t_occupation age profile'!O$17</f>
        <v>428.27831291969517</v>
      </c>
      <c r="DD16">
        <f>'social welfare'!F16*'t_occupation age profile'!C$37</f>
        <v>207.10595016104426</v>
      </c>
      <c r="DE16">
        <f>'social welfare'!F16*'t_occupation age profile'!D$37</f>
        <v>1327.8282194722269</v>
      </c>
      <c r="DF16">
        <f>'social welfare'!F16*'t_occupation age profile'!E$37</f>
        <v>2015.2437136237781</v>
      </c>
      <c r="DG16">
        <f>'social welfare'!F16*'t_occupation age profile'!F$37</f>
        <v>2247.3198847262247</v>
      </c>
      <c r="DH16">
        <f>'social welfare'!F16*'t_occupation age profile'!G$37</f>
        <v>3212.3454822851331</v>
      </c>
      <c r="DI16">
        <f>'social welfare'!F16*'t_occupation age profile'!H$37</f>
        <v>4543.1113748092894</v>
      </c>
      <c r="DJ16">
        <f>'social welfare'!F16*'t_occupation age profile'!I$37</f>
        <v>5224.6515228569815</v>
      </c>
      <c r="DK16">
        <f>'social welfare'!F16*'t_occupation age profile'!J$37</f>
        <v>3325.4458947844264</v>
      </c>
      <c r="DL16">
        <f>'social welfare'!F16*'t_occupation age profile'!K$37</f>
        <v>2571.932756964457</v>
      </c>
      <c r="DM16">
        <f>'social welfare'!F16*'t_occupation age profile'!L$37</f>
        <v>775.5456857094423</v>
      </c>
      <c r="DN16">
        <f>'social welfare'!F16*'t_occupation age profile'!M$37</f>
        <v>349.58309317963494</v>
      </c>
      <c r="DO16">
        <f>'social welfare'!F16*'t_occupation age profile'!N$37</f>
        <v>127.7887777589422</v>
      </c>
      <c r="DP16">
        <f>'social welfare'!F16*'t_occupation age profile'!O$37</f>
        <v>66.097643668418371</v>
      </c>
    </row>
    <row r="17" spans="1:120" ht="15.5" x14ac:dyDescent="0.3">
      <c r="A17" s="102">
        <v>16</v>
      </c>
      <c r="B17" s="102" t="s">
        <v>36</v>
      </c>
      <c r="C17" s="102" t="s">
        <v>37</v>
      </c>
      <c r="D17">
        <f>HCW!D17*'t_occupation age profile'!C$33</f>
        <v>7836.5688732392609</v>
      </c>
      <c r="E17">
        <f>HCW!D17*'t_occupation age profile'!D$33</f>
        <v>73174.691171177008</v>
      </c>
      <c r="F17">
        <f>HCW!D17*'t_occupation age profile'!E$33</f>
        <v>111189.75702209229</v>
      </c>
      <c r="G17">
        <f>HCW!D17*'t_occupation age profile'!F$33</f>
        <v>109369.72935845522</v>
      </c>
      <c r="H17">
        <f>HCW!D17*'t_occupation age profile'!G$33</f>
        <v>112516.89681127072</v>
      </c>
      <c r="I17">
        <f>HCW!D17*'t_occupation age profile'!H$33</f>
        <v>93323.877812916078</v>
      </c>
      <c r="J17">
        <f>HCW!D17*'t_occupation age profile'!I$33</f>
        <v>82956.68674325131</v>
      </c>
      <c r="K17">
        <f>HCW!D17*'t_occupation age profile'!J$33</f>
        <v>51241.180757766931</v>
      </c>
      <c r="L17">
        <f>HCW!D17*'t_occupation age profile'!K$33</f>
        <v>35864.124066616925</v>
      </c>
      <c r="M17">
        <f>HCW!D17*'t_occupation age profile'!L$33</f>
        <v>12579.090718295492</v>
      </c>
      <c r="N17">
        <f>HCW!D17*'t_occupation age profile'!M$33</f>
        <v>5952.1000387365657</v>
      </c>
      <c r="O17">
        <f>HCW!D17*'t_occupation age profile'!N$33</f>
        <v>2190.1289827977266</v>
      </c>
      <c r="P17">
        <f>HCW!D17*'t_occupation age profile'!O$33</f>
        <v>956.16764338445489</v>
      </c>
      <c r="Q17">
        <f>'law enforcement'!I18*'t_occupation age profile'!C$39</f>
        <v>16911.753305500632</v>
      </c>
      <c r="R17">
        <f>'law enforcement'!I18*'t_occupation age profile'!D$39</f>
        <v>68687.471698929105</v>
      </c>
      <c r="S17">
        <f>'law enforcement'!I18*'t_occupation age profile'!E$39</f>
        <v>32976.651746721502</v>
      </c>
      <c r="T17">
        <f>'law enforcement'!I18*'t_occupation age profile'!F$39</f>
        <v>19084.762422317377</v>
      </c>
      <c r="U17">
        <f>'law enforcement'!I18*'t_occupation age profile'!G$39</f>
        <v>9462.3850386947179</v>
      </c>
      <c r="V17">
        <f>'law enforcement'!I18*'t_occupation age profile'!H$39</f>
        <v>4100.0325444812606</v>
      </c>
      <c r="W17">
        <f>'law enforcement'!I18*'t_occupation age profile'!I$39</f>
        <v>2903.7153664389461</v>
      </c>
      <c r="X17">
        <f>'law enforcement'!I18*'t_occupation age profile'!J$39</f>
        <v>1058.6871684918474</v>
      </c>
      <c r="Y17">
        <f>'law enforcement'!I18*'t_occupation age profile'!K$39</f>
        <v>579.25225092929077</v>
      </c>
      <c r="Z17">
        <f>'law enforcement'!I18*'t_occupation age profile'!L$39</f>
        <v>93.989573238058767</v>
      </c>
      <c r="AA17">
        <f>'law enforcement'!I18*'t_occupation age profile'!M$39</f>
        <v>0</v>
      </c>
      <c r="AB17">
        <f>'law enforcement'!I18*'t_occupation age profile'!N$39</f>
        <v>0</v>
      </c>
      <c r="AC17">
        <f>'law enforcement'!I18*'t_occupation age profile'!O$39</f>
        <v>0</v>
      </c>
      <c r="AD17">
        <f>'community workers'!D17*'t_occupation age profile'!C$35</f>
        <v>3168.2875362318841</v>
      </c>
      <c r="AE17">
        <f>'community workers'!D17*'t_occupation age profile'!D$35</f>
        <v>21010.440124530327</v>
      </c>
      <c r="AF17">
        <f>'community workers'!D17*'t_occupation age profile'!E$35</f>
        <v>27568.501964573268</v>
      </c>
      <c r="AG17">
        <f>'community workers'!D17*'t_occupation age profile'!F$35</f>
        <v>28642.19940740741</v>
      </c>
      <c r="AH17">
        <f>'community workers'!D17*'t_occupation age profile'!G$35</f>
        <v>41872.733470746105</v>
      </c>
      <c r="AI17">
        <f>'community workers'!D17*'t_occupation age profile'!H$35</f>
        <v>53249.232605475037</v>
      </c>
      <c r="AJ17">
        <f>'community workers'!D17*'t_occupation age profile'!I$35</f>
        <v>61662.796173913048</v>
      </c>
      <c r="AK17">
        <f>'community workers'!D17*'t_occupation age profile'!J$35</f>
        <v>43041.772899624259</v>
      </c>
      <c r="AL17">
        <f>'community workers'!D17*'t_occupation age profile'!K$35</f>
        <v>36036.337125067097</v>
      </c>
      <c r="AM17">
        <f>'community workers'!D17*'t_occupation age profile'!L$35</f>
        <v>15059.633395598497</v>
      </c>
      <c r="AN17">
        <f>'community workers'!D17*'t_occupation age profile'!M$35</f>
        <v>6675.4058228663444</v>
      </c>
      <c r="AO17">
        <f>'community workers'!D17*'t_occupation age profile'!N$35</f>
        <v>2517.0284315619965</v>
      </c>
      <c r="AP17">
        <f>'community workers'!D17*'t_occupation age profile'!O$35</f>
        <v>1076.6310424047235</v>
      </c>
      <c r="AQ17">
        <f>'energy, food, transport'!D17*'t_occupation age profile'!C$3</f>
        <v>13361.993362078298</v>
      </c>
      <c r="AR17">
        <f>'energy, food, transport'!D17*'t_occupation age profile'!D$3</f>
        <v>50525.630922047982</v>
      </c>
      <c r="AS17">
        <f>'energy, food, transport'!D17*'t_occupation age profile'!E$3</f>
        <v>48775.770709180346</v>
      </c>
      <c r="AT17">
        <f>'energy, food, transport'!D17*'t_occupation age profile'!F$3</f>
        <v>52731.315792392001</v>
      </c>
      <c r="AU17">
        <f>'energy, food, transport'!D17*'t_occupation age profile'!G$3</f>
        <v>73739.767783636489</v>
      </c>
      <c r="AV17">
        <f>'energy, food, transport'!D17*'t_occupation age profile'!H$3</f>
        <v>85118.923885692566</v>
      </c>
      <c r="AW17">
        <f>'energy, food, transport'!D17*'t_occupation age profile'!I$3</f>
        <v>68767.480478331709</v>
      </c>
      <c r="AX17">
        <f>'energy, food, transport'!D17*'t_occupation age profile'!J$3</f>
        <v>38581.758716562857</v>
      </c>
      <c r="AY17">
        <f>'energy, food, transport'!D17*'t_occupation age profile'!K$3</f>
        <v>29371.568276331876</v>
      </c>
      <c r="AZ17">
        <f>'energy, food, transport'!D17*'t_occupation age profile'!L$3</f>
        <v>11647.586178125486</v>
      </c>
      <c r="BA17">
        <f>'energy, food, transport'!D17*'t_occupation age profile'!M$3</f>
        <v>4613.9584773441975</v>
      </c>
      <c r="BB17">
        <f>'energy, food, transport'!D17*'t_occupation age profile'!N$3</f>
        <v>1647.2996649354559</v>
      </c>
      <c r="BC17">
        <f>'energy, food, transport'!D17*'t_occupation age profile'!O$3</f>
        <v>660.94575334074398</v>
      </c>
      <c r="BD17">
        <f>'energy, food, transport'!E17*'t_occupation age profile'!C$5</f>
        <v>14428.522617162575</v>
      </c>
      <c r="BE17">
        <f>'energy, food, transport'!E17*'t_occupation age profile'!D$5</f>
        <v>50315.312197197083</v>
      </c>
      <c r="BF17">
        <f>'energy, food, transport'!E17*'t_occupation age profile'!E$5</f>
        <v>47510.855469950133</v>
      </c>
      <c r="BG17">
        <f>'energy, food, transport'!E17*'t_occupation age profile'!F$5</f>
        <v>45259.446860302982</v>
      </c>
      <c r="BH17">
        <f>'energy, food, transport'!E17*'t_occupation age profile'!G$5</f>
        <v>52835.200529388138</v>
      </c>
      <c r="BI17">
        <f>'energy, food, transport'!E17*'t_occupation age profile'!H$5</f>
        <v>52154.448573724389</v>
      </c>
      <c r="BJ17">
        <f>'energy, food, transport'!E17*'t_occupation age profile'!I$5</f>
        <v>38689.235223217453</v>
      </c>
      <c r="BK17">
        <f>'energy, food, transport'!E17*'t_occupation age profile'!J$5</f>
        <v>19471.315907640677</v>
      </c>
      <c r="BL17">
        <f>'energy, food, transport'!E17*'t_occupation age profile'!K$5</f>
        <v>12897.08210242715</v>
      </c>
      <c r="BM17">
        <f>'energy, food, transport'!E17*'t_occupation age profile'!L$5</f>
        <v>4386.17434358235</v>
      </c>
      <c r="BN17">
        <f>'energy, food, transport'!E17*'t_occupation age profile'!M$5</f>
        <v>1599.8173729113983</v>
      </c>
      <c r="BO17">
        <f>'energy, food, transport'!E17*'t_occupation age profile'!N$5</f>
        <v>568.13124807978636</v>
      </c>
      <c r="BP17">
        <f>'energy, food, transport'!E17*'t_occupation age profile'!O$5</f>
        <v>264.45755441590057</v>
      </c>
      <c r="BQ17">
        <f>'energy, food, transport'!J17*'t_occupation age profile'!C$7</f>
        <v>10247.856580086231</v>
      </c>
      <c r="BR17">
        <f>'energy, food, transport'!J17*'t_occupation age profile'!D$7</f>
        <v>49008.61871981751</v>
      </c>
      <c r="BS17">
        <f>'energy, food, transport'!J17*'t_occupation age profile'!E$7</f>
        <v>53634.205738414377</v>
      </c>
      <c r="BT17">
        <f>'energy, food, transport'!J17*'t_occupation age profile'!F$7</f>
        <v>52478.994491316342</v>
      </c>
      <c r="BU17">
        <f>'energy, food, transport'!J17*'t_occupation age profile'!G$7</f>
        <v>57996.41249605656</v>
      </c>
      <c r="BV17">
        <f>'energy, food, transport'!J17*'t_occupation age profile'!H$7</f>
        <v>52079.610169628628</v>
      </c>
      <c r="BW17">
        <f>'energy, food, transport'!J17*'t_occupation age profile'!I$7</f>
        <v>37464.40963251175</v>
      </c>
      <c r="BX17">
        <f>'energy, food, transport'!J17*'t_occupation age profile'!J$7</f>
        <v>18104.215121781544</v>
      </c>
      <c r="BY17">
        <f>'energy, food, transport'!J17*'t_occupation age profile'!K$7</f>
        <v>11786.118489277886</v>
      </c>
      <c r="BZ17">
        <f>'energy, food, transport'!J17*'t_occupation age profile'!L$7</f>
        <v>4342.51415998641</v>
      </c>
      <c r="CA17">
        <f>'energy, food, transport'!J17*'t_occupation age profile'!M$7</f>
        <v>1830.8188282115786</v>
      </c>
      <c r="CB17">
        <f>'energy, food, transport'!J17*'t_occupation age profile'!N$7</f>
        <v>730.47023612111013</v>
      </c>
      <c r="CC17">
        <f>'energy, food, transport'!J17*'t_occupation age profile'!O$7</f>
        <v>401.75533679007947</v>
      </c>
      <c r="CD17">
        <f>'energy, food, transport'!K17*'t_occupation age profile'!C$9</f>
        <v>2657.3585831194514</v>
      </c>
      <c r="CE17">
        <f>'energy, food, transport'!K17*'t_occupation age profile'!D$9</f>
        <v>22488.553284232981</v>
      </c>
      <c r="CF17">
        <f>'energy, food, transport'!K17*'t_occupation age profile'!E$9</f>
        <v>36207.380456500221</v>
      </c>
      <c r="CG17">
        <f>'energy, food, transport'!K17*'t_occupation age profile'!F$9</f>
        <v>44082.042918117462</v>
      </c>
      <c r="CH17">
        <f>'energy, food, transport'!K17*'t_occupation age profile'!G$9</f>
        <v>59868.055962708997</v>
      </c>
      <c r="CI17">
        <f>'energy, food, transport'!K17*'t_occupation age profile'!H$9</f>
        <v>57559.234532481438</v>
      </c>
      <c r="CJ17">
        <f>'energy, food, transport'!K17*'t_occupation age profile'!I$9</f>
        <v>46570.509632231224</v>
      </c>
      <c r="CK17">
        <f>'energy, food, transport'!K17*'t_occupation age profile'!J$9</f>
        <v>25562.764832426397</v>
      </c>
      <c r="CL17">
        <f>'energy, food, transport'!K17*'t_occupation age profile'!K$9</f>
        <v>15241.38420858443</v>
      </c>
      <c r="CM17">
        <f>'energy, food, transport'!K17*'t_occupation age profile'!L$9</f>
        <v>2376.5046885931397</v>
      </c>
      <c r="CN17">
        <f>'energy, food, transport'!K17*'t_occupation age profile'!M$9</f>
        <v>778.67374811236505</v>
      </c>
      <c r="CO17">
        <f>'energy, food, transport'!K17*'t_occupation age profile'!N$9</f>
        <v>229.61703538975505</v>
      </c>
      <c r="CP17">
        <f>'energy, food, transport'!K17*'t_occupation age profile'!O$9</f>
        <v>118.9201175021321</v>
      </c>
      <c r="CQ17">
        <f>'energy, food, transport'!O17*'t_occupation age profile'!C$17</f>
        <v>8146.3224371085998</v>
      </c>
      <c r="CR17">
        <f>'energy, food, transport'!O17*'t_occupation age profile'!D$17</f>
        <v>58012.633227283011</v>
      </c>
      <c r="CS17">
        <f>'energy, food, transport'!O17*'t_occupation age profile'!E$17</f>
        <v>87292.786794456246</v>
      </c>
      <c r="CT17">
        <f>'energy, food, transport'!O17*'t_occupation age profile'!F$17</f>
        <v>100596.76417296471</v>
      </c>
      <c r="CU17">
        <f>'energy, food, transport'!O17*'t_occupation age profile'!G$17</f>
        <v>124835.12695386182</v>
      </c>
      <c r="CV17">
        <f>'energy, food, transport'!O17*'t_occupation age profile'!H$17</f>
        <v>116775.11415826752</v>
      </c>
      <c r="CW17">
        <f>'energy, food, transport'!O17*'t_occupation age profile'!I$17</f>
        <v>89170.936902681016</v>
      </c>
      <c r="CX17">
        <f>'energy, food, transport'!O17*'t_occupation age profile'!J$17</f>
        <v>47375.885315934582</v>
      </c>
      <c r="CY17">
        <f>'energy, food, transport'!O17*'t_occupation age profile'!K$17</f>
        <v>25684.180048445713</v>
      </c>
      <c r="CZ17">
        <f>'energy, food, transport'!O17*'t_occupation age profile'!L$17</f>
        <v>5280.3192500974574</v>
      </c>
      <c r="DA17">
        <f>'energy, food, transport'!O17*'t_occupation age profile'!M$17</f>
        <v>1591.2359362817838</v>
      </c>
      <c r="DB17">
        <f>'energy, food, transport'!O17*'t_occupation age profile'!N$17</f>
        <v>490.39569042214731</v>
      </c>
      <c r="DC17">
        <f>'energy, food, transport'!O17*'t_occupation age profile'!O$17</f>
        <v>301.29911219536734</v>
      </c>
      <c r="DD17">
        <f>'social welfare'!F17*'t_occupation age profile'!C$37</f>
        <v>122.20478047126633</v>
      </c>
      <c r="DE17">
        <f>'social welfare'!F17*'t_occupation age profile'!D$37</f>
        <v>783.49731592925355</v>
      </c>
      <c r="DF17">
        <f>'social welfare'!F17*'t_occupation age profile'!E$37</f>
        <v>1189.1131830253717</v>
      </c>
      <c r="DG17">
        <f>'social welfare'!F17*'t_occupation age profile'!F$37</f>
        <v>1326.0518731988473</v>
      </c>
      <c r="DH17">
        <f>'social welfare'!F17*'t_occupation age profile'!G$37</f>
        <v>1895.4741481607052</v>
      </c>
      <c r="DI17">
        <f>'social welfare'!F17*'t_occupation age profile'!H$37</f>
        <v>2680.7048652313952</v>
      </c>
      <c r="DJ17">
        <f>'social welfare'!F17*'t_occupation age profile'!I$37</f>
        <v>3082.85393004464</v>
      </c>
      <c r="DK17">
        <f>'social welfare'!F17*'t_occupation age profile'!J$37</f>
        <v>1962.2100921060064</v>
      </c>
      <c r="DL17">
        <f>'social welfare'!F17*'t_occupation age profile'!K$37</f>
        <v>1517.5926993275696</v>
      </c>
      <c r="DM17">
        <f>'social welfare'!F17*'t_occupation age profile'!L$37</f>
        <v>457.61790133921005</v>
      </c>
      <c r="DN17">
        <f>'social welfare'!F17*'t_occupation age profile'!M$37</f>
        <v>206.27473583093177</v>
      </c>
      <c r="DO17">
        <f>'social welfare'!F17*'t_occupation age profile'!N$37</f>
        <v>75.402949652483471</v>
      </c>
      <c r="DP17">
        <f>'social welfare'!F17*'t_occupation age profile'!O$37</f>
        <v>39.001525682319034</v>
      </c>
    </row>
    <row r="18" spans="1:120" ht="15.5" x14ac:dyDescent="0.3">
      <c r="A18" s="102">
        <v>17</v>
      </c>
      <c r="B18" s="102" t="s">
        <v>38</v>
      </c>
      <c r="C18" s="102" t="s">
        <v>39</v>
      </c>
      <c r="D18">
        <f>HCW!D18*'t_occupation age profile'!C$33</f>
        <v>5278.9020674863204</v>
      </c>
      <c r="E18">
        <f>HCW!D18*'t_occupation age profile'!D$33</f>
        <v>49292.239340905442</v>
      </c>
      <c r="F18">
        <f>HCW!D18*'t_occupation age profile'!E$33</f>
        <v>74900.105865413469</v>
      </c>
      <c r="G18">
        <f>HCW!D18*'t_occupation age profile'!F$33</f>
        <v>73674.091272564678</v>
      </c>
      <c r="H18">
        <f>HCW!D18*'t_occupation age profile'!G$33</f>
        <v>75794.099281442948</v>
      </c>
      <c r="I18">
        <f>HCW!D18*'t_occupation age profile'!H$33</f>
        <v>62865.218120491889</v>
      </c>
      <c r="J18">
        <f>HCW!D18*'t_occupation age profile'!I$33</f>
        <v>55881.627820078</v>
      </c>
      <c r="K18">
        <f>HCW!D18*'t_occupation age profile'!J$33</f>
        <v>34517.296972444725</v>
      </c>
      <c r="L18">
        <f>HCW!D18*'t_occupation age profile'!K$33</f>
        <v>24158.940187504904</v>
      </c>
      <c r="M18">
        <f>HCW!D18*'t_occupation age profile'!L$33</f>
        <v>8473.5793271296716</v>
      </c>
      <c r="N18">
        <f>HCW!D18*'t_occupation age profile'!M$33</f>
        <v>4009.478345512724</v>
      </c>
      <c r="O18">
        <f>HCW!D18*'t_occupation age profile'!N$33</f>
        <v>1475.3237803898317</v>
      </c>
      <c r="P18">
        <f>HCW!D18*'t_occupation age profile'!O$33</f>
        <v>644.09761863540177</v>
      </c>
      <c r="Q18">
        <f>'law enforcement'!I19*'t_occupation age profile'!C$39</f>
        <v>11630.402394705665</v>
      </c>
      <c r="R18">
        <f>'law enforcement'!I19*'t_occupation age profile'!D$39</f>
        <v>47237.14454099023</v>
      </c>
      <c r="S18">
        <f>'law enforcement'!I19*'t_occupation age profile'!E$39</f>
        <v>22678.413202710268</v>
      </c>
      <c r="T18">
        <f>'law enforcement'!I19*'t_occupation age profile'!F$39</f>
        <v>13124.805132222098</v>
      </c>
      <c r="U18">
        <f>'law enforcement'!I19*'t_occupation age profile'!G$39</f>
        <v>6507.3883012394326</v>
      </c>
      <c r="V18">
        <f>'law enforcement'!I19*'t_occupation age profile'!H$39</f>
        <v>2819.638358146829</v>
      </c>
      <c r="W18">
        <f>'law enforcement'!I19*'t_occupation age profile'!I$39</f>
        <v>1996.9176194398985</v>
      </c>
      <c r="X18">
        <f>'law enforcement'!I19*'t_occupation age profile'!J$39</f>
        <v>728.07103777151781</v>
      </c>
      <c r="Y18">
        <f>'law enforcement'!I19*'t_occupation age profile'!K$39</f>
        <v>398.35826863412495</v>
      </c>
      <c r="Z18">
        <f>'law enforcement'!I19*'t_occupation age profile'!L$39</f>
        <v>64.637683504390651</v>
      </c>
      <c r="AA18">
        <f>'law enforcement'!I19*'t_occupation age profile'!M$39</f>
        <v>0</v>
      </c>
      <c r="AB18">
        <f>'law enforcement'!I19*'t_occupation age profile'!N$39</f>
        <v>0</v>
      </c>
      <c r="AC18">
        <f>'law enforcement'!I19*'t_occupation age profile'!O$39</f>
        <v>0</v>
      </c>
      <c r="AD18">
        <f>'community workers'!D18*'t_occupation age profile'!C$35</f>
        <v>1541.6579710144927</v>
      </c>
      <c r="AE18">
        <f>'community workers'!D18*'t_occupation age profile'!D$35</f>
        <v>10223.476285560922</v>
      </c>
      <c r="AF18">
        <f>'community workers'!D18*'t_occupation age profile'!E$35</f>
        <v>13414.565539452495</v>
      </c>
      <c r="AG18">
        <f>'community workers'!D18*'t_occupation age profile'!F$35</f>
        <v>13937.016296296297</v>
      </c>
      <c r="AH18">
        <f>'community workers'!D18*'t_occupation age profile'!G$35</f>
        <v>20374.865786366077</v>
      </c>
      <c r="AI18">
        <f>'community workers'!D18*'t_occupation age profile'!H$35</f>
        <v>25910.559871175523</v>
      </c>
      <c r="AJ18">
        <f>'community workers'!D18*'t_occupation age profile'!I$35</f>
        <v>30004.518260869565</v>
      </c>
      <c r="AK18">
        <f>'community workers'!D18*'t_occupation age profile'!J$35</f>
        <v>20943.709028448739</v>
      </c>
      <c r="AL18">
        <f>'community workers'!D18*'t_occupation age profile'!K$35</f>
        <v>17534.931959205584</v>
      </c>
      <c r="AM18">
        <f>'community workers'!D18*'t_occupation age profile'!L$35</f>
        <v>7327.8714761137953</v>
      </c>
      <c r="AN18">
        <f>'community workers'!D18*'t_occupation age profile'!M$35</f>
        <v>3248.1876972624796</v>
      </c>
      <c r="AO18">
        <f>'community workers'!D18*'t_occupation age profile'!N$35</f>
        <v>1224.7616103059581</v>
      </c>
      <c r="AP18">
        <f>'community workers'!D18*'t_occupation age profile'!O$35</f>
        <v>523.87821792807301</v>
      </c>
      <c r="AQ18">
        <f>'energy, food, transport'!D18*'t_occupation age profile'!C$3</f>
        <v>6599.5224709755948</v>
      </c>
      <c r="AR18">
        <f>'energy, food, transport'!D18*'t_occupation age profile'!D$3</f>
        <v>24954.73748524686</v>
      </c>
      <c r="AS18">
        <f>'energy, food, transport'!D18*'t_occupation age profile'!E$3</f>
        <v>24090.477080159377</v>
      </c>
      <c r="AT18">
        <f>'energy, food, transport'!D18*'t_occupation age profile'!F$3</f>
        <v>26044.130846797085</v>
      </c>
      <c r="AU18">
        <f>'energy, food, transport'!D18*'t_occupation age profile'!G$3</f>
        <v>36420.258662435008</v>
      </c>
      <c r="AV18">
        <f>'energy, food, transport'!D18*'t_occupation age profile'!H$3</f>
        <v>42040.452772797726</v>
      </c>
      <c r="AW18">
        <f>'energy, food, transport'!D18*'t_occupation age profile'!I$3</f>
        <v>33964.433329020707</v>
      </c>
      <c r="AX18">
        <f>'energy, food, transport'!D18*'t_occupation age profile'!J$3</f>
        <v>19055.628656599769</v>
      </c>
      <c r="AY18">
        <f>'energy, food, transport'!D18*'t_occupation age profile'!K$3</f>
        <v>14506.69219740556</v>
      </c>
      <c r="AZ18">
        <f>'energy, food, transport'!D18*'t_occupation age profile'!L$3</f>
        <v>5752.7724069463184</v>
      </c>
      <c r="BA18">
        <f>'energy, food, transport'!D18*'t_occupation age profile'!M$3</f>
        <v>2278.8458148616569</v>
      </c>
      <c r="BB18">
        <f>'energy, food, transport'!D18*'t_occupation age profile'!N$3</f>
        <v>813.60548988337439</v>
      </c>
      <c r="BC18">
        <f>'energy, food, transport'!D18*'t_occupation age profile'!O$3</f>
        <v>326.44278687096187</v>
      </c>
      <c r="BD18">
        <f>'energy, food, transport'!E18*'t_occupation age profile'!C$5</f>
        <v>4632.9554599059393</v>
      </c>
      <c r="BE18">
        <f>'energy, food, transport'!E18*'t_occupation age profile'!D$5</f>
        <v>16156.096264741333</v>
      </c>
      <c r="BF18">
        <f>'energy, food, transport'!E18*'t_occupation age profile'!E$5</f>
        <v>15255.593597121451</v>
      </c>
      <c r="BG18">
        <f>'energy, food, transport'!E18*'t_occupation age profile'!F$5</f>
        <v>14532.673026020373</v>
      </c>
      <c r="BH18">
        <f>'energy, food, transport'!E18*'t_occupation age profile'!G$5</f>
        <v>16965.224871788814</v>
      </c>
      <c r="BI18">
        <f>'energy, food, transport'!E18*'t_occupation age profile'!H$5</f>
        <v>16746.637454801126</v>
      </c>
      <c r="BJ18">
        <f>'energy, food, transport'!E18*'t_occupation age profile'!I$5</f>
        <v>12422.997719377023</v>
      </c>
      <c r="BK18">
        <f>'energy, food, transport'!E18*'t_occupation age profile'!J$5</f>
        <v>6252.181303618273</v>
      </c>
      <c r="BL18">
        <f>'energy, food, transport'!E18*'t_occupation age profile'!K$5</f>
        <v>4141.2144908184246</v>
      </c>
      <c r="BM18">
        <f>'energy, food, transport'!E18*'t_occupation age profile'!L$5</f>
        <v>1408.3874636636494</v>
      </c>
      <c r="BN18">
        <f>'energy, food, transport'!E18*'t_occupation age profile'!M$5</f>
        <v>513.69657374802068</v>
      </c>
      <c r="BO18">
        <f>'energy, food, transport'!E18*'t_occupation age profile'!N$5</f>
        <v>182.42524460567674</v>
      </c>
      <c r="BP18">
        <f>'energy, food, transport'!E18*'t_occupation age profile'!O$5</f>
        <v>84.916529789899087</v>
      </c>
      <c r="BQ18">
        <f>'energy, food, transport'!J18*'t_occupation age profile'!C$7</f>
        <v>9582.1524727561609</v>
      </c>
      <c r="BR18">
        <f>'energy, food, transport'!J18*'t_occupation age profile'!D$7</f>
        <v>45825.002856208179</v>
      </c>
      <c r="BS18">
        <f>'energy, food, transport'!J18*'t_occupation age profile'!E$7</f>
        <v>50150.110232742496</v>
      </c>
      <c r="BT18">
        <f>'energy, food, transport'!J18*'t_occupation age profile'!F$7</f>
        <v>49069.941885202745</v>
      </c>
      <c r="BU18">
        <f>'energy, food, transport'!J18*'t_occupation age profile'!G$7</f>
        <v>54228.94661601504</v>
      </c>
      <c r="BV18">
        <f>'energy, food, transport'!J18*'t_occupation age profile'!H$7</f>
        <v>48696.501699371438</v>
      </c>
      <c r="BW18">
        <f>'energy, food, transport'!J18*'t_occupation age profile'!I$7</f>
        <v>35030.709358102817</v>
      </c>
      <c r="BX18">
        <f>'energy, food, transport'!J18*'t_occupation age profile'!J$7</f>
        <v>16928.159400043907</v>
      </c>
      <c r="BY18">
        <f>'energy, food, transport'!J18*'t_occupation age profile'!K$7</f>
        <v>11020.488386390054</v>
      </c>
      <c r="BZ18">
        <f>'energy, food, transport'!J18*'t_occupation age profile'!L$7</f>
        <v>4060.4230231862102</v>
      </c>
      <c r="CA18">
        <f>'energy, food, transport'!J18*'t_occupation age profile'!M$7</f>
        <v>1711.8882397326154</v>
      </c>
      <c r="CB18">
        <f>'energy, food, transport'!J18*'t_occupation age profile'!N$7</f>
        <v>683.01865122938477</v>
      </c>
      <c r="CC18">
        <f>'energy, food, transport'!J18*'t_occupation age profile'!O$7</f>
        <v>375.65717901895653</v>
      </c>
      <c r="CD18">
        <f>'energy, food, transport'!K18*'t_occupation age profile'!C$9</f>
        <v>1726.9387771149072</v>
      </c>
      <c r="CE18">
        <f>'energy, food, transport'!K18*'t_occupation age profile'!D$9</f>
        <v>14614.645894784382</v>
      </c>
      <c r="CF18">
        <f>'energy, food, transport'!K18*'t_occupation age profile'!E$9</f>
        <v>23530.106070473052</v>
      </c>
      <c r="CG18">
        <f>'energy, food, transport'!K18*'t_occupation age profile'!F$9</f>
        <v>28647.616386184425</v>
      </c>
      <c r="CH18">
        <f>'energy, food, transport'!K18*'t_occupation age profile'!G$9</f>
        <v>38906.479542975576</v>
      </c>
      <c r="CI18">
        <f>'energy, food, transport'!K18*'t_occupation age profile'!H$9</f>
        <v>37406.044756860509</v>
      </c>
      <c r="CJ18">
        <f>'energy, food, transport'!K18*'t_occupation age profile'!I$9</f>
        <v>30264.797330999954</v>
      </c>
      <c r="CK18">
        <f>'energy, food, transport'!K18*'t_occupation age profile'!J$9</f>
        <v>16612.485089447189</v>
      </c>
      <c r="CL18">
        <f>'energy, food, transport'!K18*'t_occupation age profile'!K$9</f>
        <v>9904.9249784774329</v>
      </c>
      <c r="CM18">
        <f>'energy, food, transport'!K18*'t_occupation age profile'!L$9</f>
        <v>1544.4201346395398</v>
      </c>
      <c r="CN18">
        <f>'energy, food, transport'!K18*'t_occupation age profile'!M$9</f>
        <v>506.03704704319233</v>
      </c>
      <c r="CO18">
        <f>'energy, food, transport'!K18*'t_occupation age profile'!N$9</f>
        <v>149.22132256432073</v>
      </c>
      <c r="CP18">
        <f>'energy, food, transport'!K18*'t_occupation age profile'!O$9</f>
        <v>77.282668435515973</v>
      </c>
      <c r="CQ18">
        <f>'energy, food, transport'!O18*'t_occupation age profile'!C$17</f>
        <v>6062.1682781180052</v>
      </c>
      <c r="CR18">
        <f>'energy, food, transport'!O18*'t_occupation age profile'!D$17</f>
        <v>43170.688073740595</v>
      </c>
      <c r="CS18">
        <f>'energy, food, transport'!O18*'t_occupation age profile'!E$17</f>
        <v>64959.810650668995</v>
      </c>
      <c r="CT18">
        <f>'energy, food, transport'!O18*'t_occupation age profile'!F$17</f>
        <v>74860.100046213629</v>
      </c>
      <c r="CU18">
        <f>'energy, food, transport'!O18*'t_occupation age profile'!G$17</f>
        <v>92897.32298923569</v>
      </c>
      <c r="CV18">
        <f>'energy, food, transport'!O18*'t_occupation age profile'!H$17</f>
        <v>86899.382904259197</v>
      </c>
      <c r="CW18">
        <f>'energy, food, transport'!O18*'t_occupation age profile'!I$17</f>
        <v>66357.455059606145</v>
      </c>
      <c r="CX18">
        <f>'energy, food, transport'!O18*'t_occupation age profile'!J$17</f>
        <v>35255.244477157263</v>
      </c>
      <c r="CY18">
        <f>'energy, food, transport'!O18*'t_occupation age profile'!K$17</f>
        <v>19113.142493586678</v>
      </c>
      <c r="CZ18">
        <f>'energy, food, transport'!O18*'t_occupation age profile'!L$17</f>
        <v>3929.4030040429066</v>
      </c>
      <c r="DA18">
        <f>'energy, food, transport'!O18*'t_occupation age profile'!M$17</f>
        <v>1184.1343244636705</v>
      </c>
      <c r="DB18">
        <f>'energy, food, transport'!O18*'t_occupation age profile'!N$17</f>
        <v>364.93291557682147</v>
      </c>
      <c r="DC18">
        <f>'energy, food, transport'!O18*'t_occupation age profile'!O$17</f>
        <v>224.21478333039914</v>
      </c>
      <c r="DD18">
        <f>'social welfare'!F18*'t_occupation age profile'!C$37</f>
        <v>134.57823359891509</v>
      </c>
      <c r="DE18">
        <f>'social welfare'!F18*'t_occupation age profile'!D$37</f>
        <v>862.82782392495903</v>
      </c>
      <c r="DF18">
        <f>'social welfare'!F18*'t_occupation age profile'!E$37</f>
        <v>1309.5130248064645</v>
      </c>
      <c r="DG18">
        <f>'social welfare'!F18*'t_occupation age profile'!F$37</f>
        <v>1460.3170028818445</v>
      </c>
      <c r="DH18">
        <f>'social welfare'!F18*'t_occupation age profile'!G$37</f>
        <v>2087.3943041193425</v>
      </c>
      <c r="DI18">
        <f>'social welfare'!F18*'t_occupation age profile'!H$37</f>
        <v>2952.1310391591792</v>
      </c>
      <c r="DJ18">
        <f>'social welfare'!F18*'t_occupation age profile'!I$37</f>
        <v>3394.9984178109285</v>
      </c>
      <c r="DK18">
        <f>'social welfare'!F18*'t_occupation age profile'!J$37</f>
        <v>2160.8873820421541</v>
      </c>
      <c r="DL18">
        <f>'social welfare'!F18*'t_occupation age profile'!K$37</f>
        <v>1671.2516810758884</v>
      </c>
      <c r="DM18">
        <f>'social welfare'!F18*'t_occupation age profile'!L$37</f>
        <v>503.95253432785222</v>
      </c>
      <c r="DN18">
        <f>'social welfare'!F18*'t_occupation age profile'!M$37</f>
        <v>227.16042267050912</v>
      </c>
      <c r="DO18">
        <f>'social welfare'!F18*'t_occupation age profile'!N$37</f>
        <v>83.037633497202918</v>
      </c>
      <c r="DP18">
        <f>'social welfare'!F18*'t_occupation age profile'!O$37</f>
        <v>42.950500084760129</v>
      </c>
    </row>
    <row r="19" spans="1:120" ht="15.5" x14ac:dyDescent="0.3">
      <c r="A19" s="102">
        <v>18</v>
      </c>
      <c r="B19" s="102" t="s">
        <v>40</v>
      </c>
      <c r="C19" s="102" t="s">
        <v>41</v>
      </c>
      <c r="D19">
        <f>HCW!D19*'t_occupation age profile'!C$33</f>
        <v>5404.7868978239012</v>
      </c>
      <c r="E19">
        <f>HCW!D19*'t_occupation age profile'!D$33</f>
        <v>50467.700659767157</v>
      </c>
      <c r="F19">
        <f>HCW!D19*'t_occupation age profile'!E$33</f>
        <v>76686.232411917896</v>
      </c>
      <c r="G19">
        <f>HCW!D19*'t_occupation age profile'!F$33</f>
        <v>75430.981315523648</v>
      </c>
      <c r="H19">
        <f>HCW!D19*'t_occupation age profile'!G$33</f>
        <v>77601.544694647499</v>
      </c>
      <c r="I19">
        <f>HCW!D19*'t_occupation age profile'!H$33</f>
        <v>64364.351314489839</v>
      </c>
      <c r="J19">
        <f>HCW!D19*'t_occupation age profile'!I$33</f>
        <v>57214.224853928274</v>
      </c>
      <c r="K19">
        <f>HCW!D19*'t_occupation age profile'!J$33</f>
        <v>35340.423451689523</v>
      </c>
      <c r="L19">
        <f>HCW!D19*'t_occupation age profile'!K$33</f>
        <v>24735.053183684806</v>
      </c>
      <c r="M19">
        <f>HCW!D19*'t_occupation age profile'!L$33</f>
        <v>8675.6469317775609</v>
      </c>
      <c r="N19">
        <f>HCW!D19*'t_occupation age profile'!M$33</f>
        <v>4105.0915042367342</v>
      </c>
      <c r="O19">
        <f>HCW!D19*'t_occupation age profile'!N$33</f>
        <v>1510.5055059481178</v>
      </c>
      <c r="P19">
        <f>HCW!D19*'t_occupation age profile'!O$33</f>
        <v>659.45727456502334</v>
      </c>
      <c r="Q19">
        <f>'law enforcement'!I20*'t_occupation age profile'!C$39</f>
        <v>10488.474819147716</v>
      </c>
      <c r="R19">
        <f>'law enforcement'!I20*'t_occupation age profile'!D$39</f>
        <v>42599.179652816769</v>
      </c>
      <c r="S19">
        <f>'law enforcement'!I20*'t_occupation age profile'!E$39</f>
        <v>20451.739995095279</v>
      </c>
      <c r="T19">
        <f>'law enforcement'!I20*'t_occupation age profile'!F$39</f>
        <v>11836.150071488219</v>
      </c>
      <c r="U19">
        <f>'law enforcement'!I20*'t_occupation age profile'!G$39</f>
        <v>5868.4623299909063</v>
      </c>
      <c r="V19">
        <f>'law enforcement'!I20*'t_occupation age profile'!H$39</f>
        <v>2542.7930104970769</v>
      </c>
      <c r="W19">
        <f>'law enforcement'!I20*'t_occupation age profile'!I$39</f>
        <v>1800.8508610967824</v>
      </c>
      <c r="X19">
        <f>'law enforcement'!I20*'t_occupation age profile'!J$39</f>
        <v>656.58560100151772</v>
      </c>
      <c r="Y19">
        <f>'law enforcement'!I20*'t_occupation age profile'!K$39</f>
        <v>359.24558134551455</v>
      </c>
      <c r="Z19">
        <f>'law enforcement'!I20*'t_occupation age profile'!L$39</f>
        <v>58.291251909947199</v>
      </c>
      <c r="AA19">
        <f>'law enforcement'!I20*'t_occupation age profile'!M$39</f>
        <v>0</v>
      </c>
      <c r="AB19">
        <f>'law enforcement'!I20*'t_occupation age profile'!N$39</f>
        <v>0</v>
      </c>
      <c r="AC19">
        <f>'law enforcement'!I20*'t_occupation age profile'!O$39</f>
        <v>0</v>
      </c>
      <c r="AD19">
        <f>'community workers'!D19*'t_occupation age profile'!C$35</f>
        <v>1718.7246376811593</v>
      </c>
      <c r="AE19">
        <f>'community workers'!D19*'t_occupation age profile'!D$35</f>
        <v>11397.690606548578</v>
      </c>
      <c r="AF19">
        <f>'community workers'!D19*'t_occupation age profile'!E$35</f>
        <v>14955.291465378421</v>
      </c>
      <c r="AG19">
        <f>'community workers'!D19*'t_occupation age profile'!F$35</f>
        <v>15537.74814814815</v>
      </c>
      <c r="AH19">
        <f>'community workers'!D19*'t_occupation age profile'!G$35</f>
        <v>22715.014922168546</v>
      </c>
      <c r="AI19">
        <f>'community workers'!D19*'t_occupation age profile'!H$35</f>
        <v>28886.50950080515</v>
      </c>
      <c r="AJ19">
        <f>'community workers'!D19*'t_occupation age profile'!I$35</f>
        <v>33450.678260869565</v>
      </c>
      <c r="AK19">
        <f>'community workers'!D19*'t_occupation age profile'!J$35</f>
        <v>23349.192485238862</v>
      </c>
      <c r="AL19">
        <f>'community workers'!D19*'t_occupation age profile'!K$35</f>
        <v>19548.901341921632</v>
      </c>
      <c r="AM19">
        <f>'community workers'!D19*'t_occupation age profile'!L$35</f>
        <v>8169.5119699409561</v>
      </c>
      <c r="AN19">
        <f>'community workers'!D19*'t_occupation age profile'!M$35</f>
        <v>3621.2573268921092</v>
      </c>
      <c r="AO19">
        <f>'community workers'!D19*'t_occupation age profile'!N$35</f>
        <v>1365.4312399355877</v>
      </c>
      <c r="AP19">
        <f>'community workers'!D19*'t_occupation age profile'!O$35</f>
        <v>584.04809447128287</v>
      </c>
      <c r="AQ19">
        <f>'energy, food, transport'!D19*'t_occupation age profile'!C$3</f>
        <v>7397.7412451515975</v>
      </c>
      <c r="AR19">
        <f>'energy, food, transport'!D19*'t_occupation age profile'!D$3</f>
        <v>27973.037680899208</v>
      </c>
      <c r="AS19">
        <f>'energy, food, transport'!D19*'t_occupation age profile'!E$3</f>
        <v>27004.24412448876</v>
      </c>
      <c r="AT19">
        <f>'energy, food, transport'!D19*'t_occupation age profile'!F$3</f>
        <v>29194.194247662603</v>
      </c>
      <c r="AU19">
        <f>'energy, food, transport'!D19*'t_occupation age profile'!G$3</f>
        <v>40825.324991484762</v>
      </c>
      <c r="AV19">
        <f>'energy, food, transport'!D19*'t_occupation age profile'!H$3</f>
        <v>47125.287141601075</v>
      </c>
      <c r="AW19">
        <f>'energy, food, transport'!D19*'t_occupation age profile'!I$3</f>
        <v>38072.465153551449</v>
      </c>
      <c r="AX19">
        <f>'energy, food, transport'!D19*'t_occupation age profile'!J$3</f>
        <v>21360.42580129009</v>
      </c>
      <c r="AY19">
        <f>'energy, food, transport'!D19*'t_occupation age profile'!K$3</f>
        <v>16261.290975436521</v>
      </c>
      <c r="AZ19">
        <f>'energy, food, transport'!D19*'t_occupation age profile'!L$3</f>
        <v>6448.5759228797069</v>
      </c>
      <c r="BA19">
        <f>'energy, food, transport'!D19*'t_occupation age profile'!M$3</f>
        <v>2554.4744714614253</v>
      </c>
      <c r="BB19">
        <f>'energy, food, transport'!D19*'t_occupation age profile'!N$3</f>
        <v>912.01187908104134</v>
      </c>
      <c r="BC19">
        <f>'energy, food, transport'!D19*'t_occupation age profile'!O$3</f>
        <v>365.92636501176287</v>
      </c>
      <c r="BD19">
        <f>'energy, food, transport'!E19*'t_occupation age profile'!C$5</f>
        <v>5975.7262188925388</v>
      </c>
      <c r="BE19">
        <f>'energy, food, transport'!E19*'t_occupation age profile'!D$5</f>
        <v>20838.622101954483</v>
      </c>
      <c r="BF19">
        <f>'energy, food, transport'!E19*'t_occupation age profile'!E$5</f>
        <v>19677.126497766643</v>
      </c>
      <c r="BG19">
        <f>'energy, food, transport'!E19*'t_occupation age profile'!F$5</f>
        <v>18744.681658119254</v>
      </c>
      <c r="BH19">
        <f>'energy, food, transport'!E19*'t_occupation age profile'!G$5</f>
        <v>21882.260676387872</v>
      </c>
      <c r="BI19">
        <f>'energy, food, transport'!E19*'t_occupation age profile'!H$5</f>
        <v>21600.320008035356</v>
      </c>
      <c r="BJ19">
        <f>'energy, food, transport'!E19*'t_occupation age profile'!I$5</f>
        <v>16023.558575378725</v>
      </c>
      <c r="BK19">
        <f>'energy, food, transport'!E19*'t_occupation age profile'!J$5</f>
        <v>8064.2527355659013</v>
      </c>
      <c r="BL19">
        <f>'energy, food, transport'!E19*'t_occupation age profile'!K$5</f>
        <v>5341.46382908326</v>
      </c>
      <c r="BM19">
        <f>'energy, food, transport'!E19*'t_occupation age profile'!L$5</f>
        <v>1816.5807907735211</v>
      </c>
      <c r="BN19">
        <f>'energy, food, transport'!E19*'t_occupation age profile'!M$5</f>
        <v>662.58139342518848</v>
      </c>
      <c r="BO19">
        <f>'energy, food, transport'!E19*'t_occupation age profile'!N$5</f>
        <v>235.29760357336988</v>
      </c>
      <c r="BP19">
        <f>'energy, food, transport'!E19*'t_occupation age profile'!O$5</f>
        <v>109.52791104388722</v>
      </c>
      <c r="BQ19">
        <f>'energy, food, transport'!J19*'t_occupation age profile'!C$7</f>
        <v>6084.5056848569429</v>
      </c>
      <c r="BR19">
        <f>'energy, food, transport'!J19*'t_occupation age profile'!D$7</f>
        <v>29098.106211514416</v>
      </c>
      <c r="BS19">
        <f>'energy, food, transport'!J19*'t_occupation age profile'!E$7</f>
        <v>31844.47666376525</v>
      </c>
      <c r="BT19">
        <f>'energy, food, transport'!J19*'t_occupation age profile'!F$7</f>
        <v>31158.587927398923</v>
      </c>
      <c r="BU19">
        <f>'energy, food, transport'!J19*'t_occupation age profile'!G$7</f>
        <v>34434.469176635866</v>
      </c>
      <c r="BV19">
        <f>'energy, food, transport'!J19*'t_occupation age profile'!H$7</f>
        <v>30921.459689238982</v>
      </c>
      <c r="BW19">
        <f>'energy, food, transport'!J19*'t_occupation age profile'!I$7</f>
        <v>22243.911359160418</v>
      </c>
      <c r="BX19">
        <f>'energy, food, transport'!J19*'t_occupation age profile'!J$7</f>
        <v>10749.096551800683</v>
      </c>
      <c r="BY19">
        <f>'energy, food, transport'!J19*'t_occupation age profile'!K$7</f>
        <v>6997.8248026774572</v>
      </c>
      <c r="BZ19">
        <f>'energy, food, transport'!J19*'t_occupation age profile'!L$7</f>
        <v>2578.3003388584461</v>
      </c>
      <c r="CA19">
        <f>'energy, food, transport'!J19*'t_occupation age profile'!M$7</f>
        <v>1087.0202447839822</v>
      </c>
      <c r="CB19">
        <f>'energy, food, transport'!J19*'t_occupation age profile'!N$7</f>
        <v>433.70535775592299</v>
      </c>
      <c r="CC19">
        <f>'energy, food, transport'!J19*'t_occupation age profile'!O$7</f>
        <v>238.53599155271209</v>
      </c>
      <c r="CD19">
        <f>'energy, food, transport'!K19*'t_occupation age profile'!C$9</f>
        <v>1843.3577141520711</v>
      </c>
      <c r="CE19">
        <f>'energy, food, transport'!K19*'t_occupation age profile'!D$9</f>
        <v>15599.869900865137</v>
      </c>
      <c r="CF19">
        <f>'energy, food, transport'!K19*'t_occupation age profile'!E$9</f>
        <v>25116.352191874448</v>
      </c>
      <c r="CG19">
        <f>'energy, food, transport'!K19*'t_occupation age profile'!F$9</f>
        <v>30578.851640453155</v>
      </c>
      <c r="CH19">
        <f>'energy, food, transport'!K19*'t_occupation age profile'!G$9</f>
        <v>41529.300370369623</v>
      </c>
      <c r="CI19">
        <f>'energy, food, transport'!K19*'t_occupation age profile'!H$9</f>
        <v>39927.716067428642</v>
      </c>
      <c r="CJ19">
        <f>'energy, food, transport'!K19*'t_occupation age profile'!I$9</f>
        <v>32305.052365869538</v>
      </c>
      <c r="CK19">
        <f>'energy, food, transport'!K19*'t_occupation age profile'!J$9</f>
        <v>17732.390369986555</v>
      </c>
      <c r="CL19">
        <f>'energy, food, transport'!K19*'t_occupation age profile'!K$9</f>
        <v>10572.650350510392</v>
      </c>
      <c r="CM19">
        <f>'energy, food, transport'!K19*'t_occupation age profile'!L$9</f>
        <v>1648.5348564792507</v>
      </c>
      <c r="CN19">
        <f>'energy, food, transport'!K19*'t_occupation age profile'!M$9</f>
        <v>540.15076080009521</v>
      </c>
      <c r="CO19">
        <f>'energy, food, transport'!K19*'t_occupation age profile'!N$9</f>
        <v>159.28084985413042</v>
      </c>
      <c r="CP19">
        <f>'energy, food, transport'!K19*'t_occupation age profile'!O$9</f>
        <v>82.49256135696011</v>
      </c>
      <c r="CQ19">
        <f>'energy, food, transport'!O19*'t_occupation age profile'!C$17</f>
        <v>4469.3126878411013</v>
      </c>
      <c r="CR19">
        <f>'energy, food, transport'!O19*'t_occupation age profile'!D$17</f>
        <v>31827.441123211185</v>
      </c>
      <c r="CS19">
        <f>'energy, food, transport'!O19*'t_occupation age profile'!E$17</f>
        <v>47891.396711759007</v>
      </c>
      <c r="CT19">
        <f>'energy, food, transport'!O19*'t_occupation age profile'!F$17</f>
        <v>55190.350976773727</v>
      </c>
      <c r="CU19">
        <f>'energy, food, transport'!O19*'t_occupation age profile'!G$17</f>
        <v>68488.231479967813</v>
      </c>
      <c r="CV19">
        <f>'energy, food, transport'!O19*'t_occupation age profile'!H$17</f>
        <v>64066.270806349188</v>
      </c>
      <c r="CW19">
        <f>'energy, food, transport'!O19*'t_occupation age profile'!I$17</f>
        <v>48921.805239430592</v>
      </c>
      <c r="CX19">
        <f>'energy, food, transport'!O19*'t_occupation age profile'!J$17</f>
        <v>25991.807588623273</v>
      </c>
      <c r="CY19">
        <f>'energy, food, transport'!O19*'t_occupation age profile'!K$17</f>
        <v>14091.098486896708</v>
      </c>
      <c r="CZ19">
        <f>'energy, food, transport'!O19*'t_occupation age profile'!L$17</f>
        <v>2896.9388337504088</v>
      </c>
      <c r="DA19">
        <f>'energy, food, transport'!O19*'t_occupation age profile'!M$17</f>
        <v>872.99895311989133</v>
      </c>
      <c r="DB19">
        <f>'energy, food, transport'!O19*'t_occupation age profile'!N$17</f>
        <v>269.0455353549961</v>
      </c>
      <c r="DC19">
        <f>'energy, food, transport'!O19*'t_occupation age profile'!O$17</f>
        <v>165.3015769221096</v>
      </c>
      <c r="DD19">
        <f>'social welfare'!F19*'t_occupation age profile'!C$37</f>
        <v>117.22512290218683</v>
      </c>
      <c r="DE19">
        <f>'social welfare'!F19*'t_occupation age profile'!D$37</f>
        <v>751.57100073458776</v>
      </c>
      <c r="DF19">
        <f>'social welfare'!F19*'t_occupation age profile'!E$37</f>
        <v>1140.6586427078037</v>
      </c>
      <c r="DG19">
        <f>'social welfare'!F19*'t_occupation age profile'!F$37</f>
        <v>1272.0172910662825</v>
      </c>
      <c r="DH19">
        <f>'social welfare'!F19*'t_occupation age profile'!G$37</f>
        <v>1818.2364807594508</v>
      </c>
      <c r="DI19">
        <f>'social welfare'!F19*'t_occupation age profile'!H$37</f>
        <v>2571.4702491947787</v>
      </c>
      <c r="DJ19">
        <f>'social welfare'!F19*'t_occupation age profile'!I$37</f>
        <v>2957.232355766514</v>
      </c>
      <c r="DK19">
        <f>'social welfare'!F19*'t_occupation age profile'!J$37</f>
        <v>1882.2530372379497</v>
      </c>
      <c r="DL19">
        <f>'social welfare'!F19*'t_occupation age profile'!K$37</f>
        <v>1455.7531219980788</v>
      </c>
      <c r="DM19">
        <f>'social welfare'!F19*'t_occupation age profile'!L$37</f>
        <v>438.970672995423</v>
      </c>
      <c r="DN19">
        <f>'social welfare'!F19*'t_occupation age profile'!M$37</f>
        <v>197.86935638808836</v>
      </c>
      <c r="DO19">
        <f>'social welfare'!F19*'t_occupation age profile'!N$37</f>
        <v>72.330394982200374</v>
      </c>
      <c r="DP19">
        <f>'social welfare'!F19*'t_occupation age profile'!O$37</f>
        <v>37.412273266655362</v>
      </c>
    </row>
    <row r="20" spans="1:120" ht="15.5" x14ac:dyDescent="0.3">
      <c r="A20" s="102">
        <v>19</v>
      </c>
      <c r="B20" s="102" t="s">
        <v>42</v>
      </c>
      <c r="C20" s="102" t="s">
        <v>43</v>
      </c>
      <c r="D20">
        <f>HCW!D20*'t_occupation age profile'!C$33</f>
        <v>9544.4934590008943</v>
      </c>
      <c r="E20">
        <f>HCW!D20*'t_occupation age profile'!D$33</f>
        <v>89122.595940258499</v>
      </c>
      <c r="F20">
        <f>HCW!D20*'t_occupation age profile'!E$33</f>
        <v>135422.77567792102</v>
      </c>
      <c r="G20">
        <f>HCW!D20*'t_occupation age profile'!F$33</f>
        <v>133206.08589802193</v>
      </c>
      <c r="H20">
        <f>HCW!D20*'t_occupation age profile'!G$33</f>
        <v>137039.15616814411</v>
      </c>
      <c r="I20">
        <f>HCW!D20*'t_occupation age profile'!H$33</f>
        <v>113663.15485284464</v>
      </c>
      <c r="J20">
        <f>HCW!D20*'t_occupation age profile'!I$33</f>
        <v>101036.50804437642</v>
      </c>
      <c r="K20">
        <f>HCW!D20*'t_occupation age profile'!J$33</f>
        <v>62408.832549675601</v>
      </c>
      <c r="L20">
        <f>HCW!D20*'t_occupation age profile'!K$33</f>
        <v>43680.455452327245</v>
      </c>
      <c r="M20">
        <f>HCW!D20*'t_occupation age profile'!L$33</f>
        <v>15320.614292173346</v>
      </c>
      <c r="N20">
        <f>HCW!D20*'t_occupation age profile'!M$33</f>
        <v>7249.3180122537087</v>
      </c>
      <c r="O20">
        <f>HCW!D20*'t_occupation age profile'!N$33</f>
        <v>2667.4520557158853</v>
      </c>
      <c r="P20">
        <f>HCW!D20*'t_occupation age profile'!O$33</f>
        <v>1164.5575972866968</v>
      </c>
      <c r="Q20">
        <f>'law enforcement'!I21*'t_occupation age profile'!C$39</f>
        <v>28171.469571119054</v>
      </c>
      <c r="R20">
        <f>'law enforcement'!I21*'t_occupation age profile'!D$39</f>
        <v>114419.06607365809</v>
      </c>
      <c r="S20">
        <f>'law enforcement'!I21*'t_occupation age profile'!E$39</f>
        <v>54932.254773252447</v>
      </c>
      <c r="T20">
        <f>'law enforcement'!I21*'t_occupation age profile'!F$39</f>
        <v>31791.251571620222</v>
      </c>
      <c r="U20">
        <f>'law enforcement'!I21*'t_occupation age profile'!G$39</f>
        <v>15762.368772319869</v>
      </c>
      <c r="V20">
        <f>'law enforcement'!I21*'t_occupation age profile'!H$39</f>
        <v>6829.8029175888832</v>
      </c>
      <c r="W20">
        <f>'law enforcement'!I21*'t_occupation age profile'!I$39</f>
        <v>4836.986893737334</v>
      </c>
      <c r="X20">
        <f>'law enforcement'!I21*'t_occupation age profile'!J$39</f>
        <v>1763.5530044541044</v>
      </c>
      <c r="Y20">
        <f>'law enforcement'!I21*'t_occupation age profile'!K$39</f>
        <v>964.91397824193075</v>
      </c>
      <c r="Z20">
        <f>'law enforcement'!I21*'t_occupation age profile'!L$39</f>
        <v>156.56711368993425</v>
      </c>
      <c r="AA20">
        <f>'law enforcement'!I21*'t_occupation age profile'!M$39</f>
        <v>0</v>
      </c>
      <c r="AB20">
        <f>'law enforcement'!I21*'t_occupation age profile'!N$39</f>
        <v>0</v>
      </c>
      <c r="AC20">
        <f>'law enforcement'!I21*'t_occupation age profile'!O$39</f>
        <v>0</v>
      </c>
      <c r="AD20">
        <f>'community workers'!D20*'t_occupation age profile'!C$35</f>
        <v>2042.360579710145</v>
      </c>
      <c r="AE20">
        <f>'community workers'!D20*'t_occupation age profile'!D$35</f>
        <v>13543.87636285561</v>
      </c>
      <c r="AF20">
        <f>'community workers'!D20*'t_occupation age profile'!E$35</f>
        <v>17771.373655394524</v>
      </c>
      <c r="AG20">
        <f>'community workers'!D20*'t_occupation age profile'!F$35</f>
        <v>18463.506962962965</v>
      </c>
      <c r="AH20">
        <f>'community workers'!D20*'t_occupation age profile'!G$35</f>
        <v>26992.253457863659</v>
      </c>
      <c r="AI20">
        <f>'community workers'!D20*'t_occupation age profile'!H$35</f>
        <v>34325.840798711753</v>
      </c>
      <c r="AJ20">
        <f>'community workers'!D20*'t_occupation age profile'!I$35</f>
        <v>39749.442782608698</v>
      </c>
      <c r="AK20">
        <f>'community workers'!D20*'t_occupation age profile'!J$35</f>
        <v>27745.846690284485</v>
      </c>
      <c r="AL20">
        <f>'community workers'!D20*'t_occupation age profile'!K$35</f>
        <v>23229.960519592056</v>
      </c>
      <c r="AM20">
        <f>'community workers'!D20*'t_occupation age profile'!L$35</f>
        <v>9707.8315147611393</v>
      </c>
      <c r="AN20">
        <f>'community workers'!D20*'t_occupation age profile'!M$35</f>
        <v>4303.1402769726246</v>
      </c>
      <c r="AO20">
        <f>'community workers'!D20*'t_occupation age profile'!N$35</f>
        <v>1622.5420161030595</v>
      </c>
      <c r="AP20">
        <f>'community workers'!D20*'t_occupation age profile'!O$35</f>
        <v>694.02438217928079</v>
      </c>
      <c r="AQ20">
        <f>'energy, food, transport'!D20*'t_occupation age profile'!C$3</f>
        <v>5859.1214074295085</v>
      </c>
      <c r="AR20">
        <f>'energy, food, transport'!D20*'t_occupation age profile'!D$3</f>
        <v>22155.063076098464</v>
      </c>
      <c r="AS20">
        <f>'energy, food, transport'!D20*'t_occupation age profile'!E$3</f>
        <v>21387.764129347062</v>
      </c>
      <c r="AT20">
        <f>'energy, food, transport'!D20*'t_occupation age profile'!F$3</f>
        <v>23122.237291178746</v>
      </c>
      <c r="AU20">
        <f>'energy, food, transport'!D20*'t_occupation age profile'!G$3</f>
        <v>32334.266324825137</v>
      </c>
      <c r="AV20">
        <f>'energy, food, transport'!D20*'t_occupation age profile'!H$3</f>
        <v>37323.930315024045</v>
      </c>
      <c r="AW20">
        <f>'energy, food, transport'!D20*'t_occupation age profile'!I$3</f>
        <v>30153.960272804325</v>
      </c>
      <c r="AX20">
        <f>'energy, food, transport'!D20*'t_occupation age profile'!J$3</f>
        <v>16917.775836803237</v>
      </c>
      <c r="AY20">
        <f>'energy, food, transport'!D20*'t_occupation age profile'!K$3</f>
        <v>12879.184998402568</v>
      </c>
      <c r="AZ20">
        <f>'energy, food, transport'!D20*'t_occupation age profile'!L$3</f>
        <v>5107.3683148814598</v>
      </c>
      <c r="BA20">
        <f>'energy, food, transport'!D20*'t_occupation age profile'!M$3</f>
        <v>2023.1818827511729</v>
      </c>
      <c r="BB20">
        <f>'energy, food, transport'!D20*'t_occupation age profile'!N$3</f>
        <v>722.32701137740844</v>
      </c>
      <c r="BC20">
        <f>'energy, food, transport'!D20*'t_occupation age profile'!O$3</f>
        <v>289.81913907686942</v>
      </c>
      <c r="BD20">
        <f>'energy, food, transport'!E20*'t_occupation age profile'!C$5</f>
        <v>10578.500386996904</v>
      </c>
      <c r="BE20">
        <f>'energy, food, transport'!E20*'t_occupation age profile'!D$5</f>
        <v>36889.469814241485</v>
      </c>
      <c r="BF20">
        <f>'energy, food, transport'!E20*'t_occupation age profile'!E$5</f>
        <v>34833.337848297211</v>
      </c>
      <c r="BG20">
        <f>'energy, food, transport'!E20*'t_occupation age profile'!F$5</f>
        <v>33182.681888544896</v>
      </c>
      <c r="BH20">
        <f>'energy, food, transport'!E20*'t_occupation age profile'!G$5</f>
        <v>38736.965944272451</v>
      </c>
      <c r="BI20">
        <f>'energy, food, transport'!E20*'t_occupation age profile'!H$5</f>
        <v>38237.861842105267</v>
      </c>
      <c r="BJ20">
        <f>'energy, food, transport'!E20*'t_occupation age profile'!I$5</f>
        <v>28365.626934984521</v>
      </c>
      <c r="BK20">
        <f>'energy, food, transport'!E20*'t_occupation age profile'!J$5</f>
        <v>14275.704334365324</v>
      </c>
      <c r="BL20">
        <f>'energy, food, transport'!E20*'t_occupation age profile'!K$5</f>
        <v>9455.7004643962846</v>
      </c>
      <c r="BM20">
        <f>'energy, food, transport'!E20*'t_occupation age profile'!L$5</f>
        <v>3215.7933436532508</v>
      </c>
      <c r="BN20">
        <f>'energy, food, transport'!E20*'t_occupation age profile'!M$5</f>
        <v>1172.9315015479876</v>
      </c>
      <c r="BO20">
        <f>'energy, food, transport'!E20*'t_occupation age profile'!N$5</f>
        <v>416.53444272445824</v>
      </c>
      <c r="BP20">
        <f>'energy, food, transport'!E20*'t_occupation age profile'!O$5</f>
        <v>193.89125386996903</v>
      </c>
      <c r="BQ20">
        <f>'energy, food, transport'!J20*'t_occupation age profile'!C$7</f>
        <v>8810.5761517246083</v>
      </c>
      <c r="BR20">
        <f>'energy, food, transport'!J20*'t_occupation age profile'!D$7</f>
        <v>42135.071265620209</v>
      </c>
      <c r="BS20">
        <f>'energy, food, transport'!J20*'t_occupation age profile'!E$7</f>
        <v>46111.911335081211</v>
      </c>
      <c r="BT20">
        <f>'energy, food, transport'!J20*'t_occupation age profile'!F$7</f>
        <v>45118.720555687971</v>
      </c>
      <c r="BU20">
        <f>'energy, food, transport'!J20*'t_occupation age profile'!G$7</f>
        <v>49862.310701760362</v>
      </c>
      <c r="BV20">
        <f>'energy, food, transport'!J20*'t_occupation age profile'!H$7</f>
        <v>44775.350607783716</v>
      </c>
      <c r="BW20">
        <f>'energy, food, transport'!J20*'t_occupation age profile'!I$7</f>
        <v>32209.958391501244</v>
      </c>
      <c r="BX20">
        <f>'energy, food, transport'!J20*'t_occupation age profile'!J$7</f>
        <v>15565.066192243521</v>
      </c>
      <c r="BY20">
        <f>'energy, food, transport'!J20*'t_occupation age profile'!K$7</f>
        <v>10133.094044741054</v>
      </c>
      <c r="BZ20">
        <f>'energy, food, transport'!J20*'t_occupation age profile'!L$7</f>
        <v>3733.4686914774084</v>
      </c>
      <c r="CA20">
        <f>'energy, food, transport'!J20*'t_occupation age profile'!M$7</f>
        <v>1574.0431747761245</v>
      </c>
      <c r="CB20">
        <f>'energy, food, transport'!J20*'t_occupation age profile'!N$7</f>
        <v>628.02046375429882</v>
      </c>
      <c r="CC20">
        <f>'energy, food, transport'!J20*'t_occupation age profile'!O$7</f>
        <v>345.40842384827539</v>
      </c>
      <c r="CD20">
        <f>'energy, food, transport'!K20*'t_occupation age profile'!C$9</f>
        <v>2741.3292882330525</v>
      </c>
      <c r="CE20">
        <f>'energy, food, transport'!K20*'t_occupation age profile'!D$9</f>
        <v>23199.176114082715</v>
      </c>
      <c r="CF20">
        <f>'energy, food, transport'!K20*'t_occupation age profile'!E$9</f>
        <v>37351.508797538663</v>
      </c>
      <c r="CG20">
        <f>'energy, food, transport'!K20*'t_occupation age profile'!F$9</f>
        <v>45475.005181545632</v>
      </c>
      <c r="CH20">
        <f>'energy, food, transport'!K20*'t_occupation age profile'!G$9</f>
        <v>61759.845390339739</v>
      </c>
      <c r="CI20">
        <f>'energy, food, transport'!K20*'t_occupation age profile'!H$9</f>
        <v>59378.066789518358</v>
      </c>
      <c r="CJ20">
        <f>'energy, food, transport'!K20*'t_occupation age profile'!I$9</f>
        <v>48042.105733773387</v>
      </c>
      <c r="CK20">
        <f>'energy, food, transport'!K20*'t_occupation age profile'!J$9</f>
        <v>26370.530634628452</v>
      </c>
      <c r="CL20">
        <f>'energy, food, transport'!K20*'t_occupation age profile'!K$9</f>
        <v>15723.001475833231</v>
      </c>
      <c r="CM20">
        <f>'energy, food, transport'!K20*'t_occupation age profile'!L$9</f>
        <v>2451.6006036399854</v>
      </c>
      <c r="CN20">
        <f>'energy, food, transport'!K20*'t_occupation age profile'!M$9</f>
        <v>803.2793034551031</v>
      </c>
      <c r="CO20">
        <f>'energy, food, transport'!K20*'t_occupation age profile'!N$9</f>
        <v>236.87277591730495</v>
      </c>
      <c r="CP20">
        <f>'energy, food, transport'!K20*'t_occupation age profile'!O$9</f>
        <v>122.67791149436179</v>
      </c>
      <c r="CQ20">
        <f>'energy, food, transport'!O20*'t_occupation age profile'!C$17</f>
        <v>17437.102852040945</v>
      </c>
      <c r="CR20">
        <f>'energy, food, transport'!O20*'t_occupation age profile'!D$17</f>
        <v>124175.32697869772</v>
      </c>
      <c r="CS20">
        <f>'energy, food, transport'!O20*'t_occupation age profile'!E$17</f>
        <v>186849.13509469078</v>
      </c>
      <c r="CT20">
        <f>'energy, food, transport'!O20*'t_occupation age profile'!F$17</f>
        <v>215326.13483061292</v>
      </c>
      <c r="CU20">
        <f>'energy, food, transport'!O20*'t_occupation age profile'!G$17</f>
        <v>267208.05185986269</v>
      </c>
      <c r="CV20">
        <f>'energy, food, transport'!O20*'t_occupation age profile'!H$17</f>
        <v>249955.693732552</v>
      </c>
      <c r="CW20">
        <f>'energy, food, transport'!O20*'t_occupation age profile'!I$17</f>
        <v>190869.29227132114</v>
      </c>
      <c r="CX20">
        <f>'energy, food, transport'!O20*'t_occupation age profile'!J$17</f>
        <v>101407.4990694399</v>
      </c>
      <c r="CY20">
        <f>'energy, food, transport'!O20*'t_occupation age profile'!K$17</f>
        <v>54976.671084731264</v>
      </c>
      <c r="CZ20">
        <f>'energy, food, transport'!O20*'t_occupation age profile'!L$17</f>
        <v>11302.458325997837</v>
      </c>
      <c r="DA20">
        <f>'energy, food, transport'!O20*'t_occupation age profile'!M$17</f>
        <v>3406.0209250270368</v>
      </c>
      <c r="DB20">
        <f>'energy, food, transport'!O20*'t_occupation age profile'!N$17</f>
        <v>1049.6859359674052</v>
      </c>
      <c r="DC20">
        <f>'energy, food, transport'!O20*'t_occupation age profile'!O$17</f>
        <v>644.92703905837379</v>
      </c>
      <c r="DD20">
        <f>'social welfare'!F20*'t_occupation age profile'!C$37</f>
        <v>202.3732836073911</v>
      </c>
      <c r="DE20">
        <f>'social welfare'!F20*'t_occupation age profile'!D$37</f>
        <v>1297.4854495112165</v>
      </c>
      <c r="DF20">
        <f>'social welfare'!F20*'t_occupation age profile'!E$37</f>
        <v>1969.1925185059615</v>
      </c>
      <c r="DG20">
        <f>'social welfare'!F20*'t_occupation age profile'!F$37</f>
        <v>2195.9654178674355</v>
      </c>
      <c r="DH20">
        <f>'social welfare'!F20*'t_occupation age profile'!G$37</f>
        <v>3138.9388031869807</v>
      </c>
      <c r="DI20">
        <f>'social welfare'!F20*'t_occupation age profile'!H$37</f>
        <v>4439.2947957280894</v>
      </c>
      <c r="DJ20">
        <f>'social welfare'!F20*'t_occupation age profile'!I$37</f>
        <v>5105.2607786630497</v>
      </c>
      <c r="DK20">
        <f>'social welfare'!F20*'t_occupation age profile'!J$37</f>
        <v>3249.4547098378252</v>
      </c>
      <c r="DL20">
        <f>'social welfare'!F20*'t_occupation age profile'!K$37</f>
        <v>2513.160422670509</v>
      </c>
      <c r="DM20">
        <f>'social welfare'!F20*'t_occupation age profile'!L$37</f>
        <v>757.82335989150704</v>
      </c>
      <c r="DN20">
        <f>'social welfare'!F20*'t_occupation age profile'!M$37</f>
        <v>341.59462055715659</v>
      </c>
      <c r="DO20">
        <f>'social welfare'!F20*'t_occupation age profile'!N$37</f>
        <v>124.86862180030514</v>
      </c>
      <c r="DP20">
        <f>'social welfare'!F20*'t_occupation age profile'!O$37</f>
        <v>64.587218172571625</v>
      </c>
    </row>
    <row r="21" spans="1:120" ht="15.5" x14ac:dyDescent="0.3">
      <c r="A21" s="102">
        <v>20</v>
      </c>
      <c r="B21" s="102" t="s">
        <v>44</v>
      </c>
      <c r="C21" s="102" t="s">
        <v>45</v>
      </c>
      <c r="D21">
        <f>HCW!D21*'t_occupation age profile'!C$33</f>
        <v>3964.5258993173147</v>
      </c>
      <c r="E21">
        <f>HCW!D21*'t_occupation age profile'!D$33</f>
        <v>37019.129547031298</v>
      </c>
      <c r="F21">
        <f>HCW!D21*'t_occupation age profile'!E$33</f>
        <v>56250.97904239723</v>
      </c>
      <c r="G21">
        <f>HCW!D21*'t_occupation age profile'!F$33</f>
        <v>55330.225722075731</v>
      </c>
      <c r="H21">
        <f>HCW!D21*'t_occupation age profile'!G$33</f>
        <v>56922.380028124491</v>
      </c>
      <c r="I21">
        <f>HCW!D21*'t_occupation age profile'!H$33</f>
        <v>47212.617741097747</v>
      </c>
      <c r="J21">
        <f>HCW!D21*'t_occupation age profile'!I$33</f>
        <v>41967.848229888441</v>
      </c>
      <c r="K21">
        <f>HCW!D21*'t_occupation age profile'!J$33</f>
        <v>25922.950657587447</v>
      </c>
      <c r="L21">
        <f>HCW!D21*'t_occupation age profile'!K$33</f>
        <v>18143.686480440523</v>
      </c>
      <c r="M21">
        <f>HCW!D21*'t_occupation age profile'!L$33</f>
        <v>6363.7711540880782</v>
      </c>
      <c r="N21">
        <f>HCW!D21*'t_occupation age profile'!M$33</f>
        <v>3011.1717437308421</v>
      </c>
      <c r="O21">
        <f>HCW!D21*'t_occupation age profile'!N$33</f>
        <v>1107.9878471811364</v>
      </c>
      <c r="P21">
        <f>HCW!D21*'t_occupation age profile'!O$33</f>
        <v>483.72590703971684</v>
      </c>
      <c r="Q21">
        <f>'law enforcement'!I22*'t_occupation age profile'!C$39</f>
        <v>7561.6946688166418</v>
      </c>
      <c r="R21">
        <f>'law enforcement'!I22*'t_occupation age profile'!D$39</f>
        <v>30711.995331161244</v>
      </c>
      <c r="S21">
        <f>'law enforcement'!I22*'t_occupation age profile'!E$39</f>
        <v>14744.738005816442</v>
      </c>
      <c r="T21">
        <f>'law enforcement'!I22*'t_occupation age profile'!F$39</f>
        <v>8533.3048358463784</v>
      </c>
      <c r="U21">
        <f>'law enforcement'!I22*'t_occupation age profile'!G$39</f>
        <v>4230.8840017265193</v>
      </c>
      <c r="V21">
        <f>'law enforcement'!I22*'t_occupation age profile'!H$39</f>
        <v>1833.2335904814042</v>
      </c>
      <c r="W21">
        <f>'law enforcement'!I22*'t_occupation age profile'!I$39</f>
        <v>1298.3283642755546</v>
      </c>
      <c r="X21">
        <f>'law enforcement'!I22*'t_occupation age profile'!J$39</f>
        <v>473.36718868324374</v>
      </c>
      <c r="Y21">
        <f>'law enforcement'!I22*'t_occupation age profile'!K$39</f>
        <v>258.9990865303954</v>
      </c>
      <c r="Z21">
        <f>'law enforcement'!I22*'t_occupation age profile'!L$39</f>
        <v>42.025237835477114</v>
      </c>
      <c r="AA21">
        <f>'law enforcement'!I22*'t_occupation age profile'!M$39</f>
        <v>0</v>
      </c>
      <c r="AB21">
        <f>'law enforcement'!I22*'t_occupation age profile'!N$39</f>
        <v>0</v>
      </c>
      <c r="AC21">
        <f>'law enforcement'!I22*'t_occupation age profile'!O$39</f>
        <v>0</v>
      </c>
      <c r="AD21">
        <f>'community workers'!D21*'t_occupation age profile'!C$35</f>
        <v>1065.3588405797102</v>
      </c>
      <c r="AE21">
        <f>'community workers'!D21*'t_occupation age profile'!D$35</f>
        <v>7064.9074224369297</v>
      </c>
      <c r="AF21">
        <f>'community workers'!D21*'t_occupation age profile'!E$35</f>
        <v>9270.1015780998387</v>
      </c>
      <c r="AG21">
        <f>'community workers'!D21*'t_occupation age profile'!F$35</f>
        <v>9631.1398518518527</v>
      </c>
      <c r="AH21">
        <f>'community workers'!D21*'t_occupation age profile'!G$35</f>
        <v>14079.999454643048</v>
      </c>
      <c r="AI21">
        <f>'community workers'!D21*'t_occupation age profile'!H$35</f>
        <v>17905.426847020932</v>
      </c>
      <c r="AJ21">
        <f>'community workers'!D21*'t_occupation age profile'!I$35</f>
        <v>20734.546434782609</v>
      </c>
      <c r="AK21">
        <f>'community workers'!D21*'t_occupation age profile'!J$35</f>
        <v>14473.097137949544</v>
      </c>
      <c r="AL21">
        <f>'community workers'!D21*'t_occupation age profile'!K$35</f>
        <v>12117.470368223296</v>
      </c>
      <c r="AM21">
        <f>'community workers'!D21*'t_occupation age profile'!L$35</f>
        <v>5063.9070445517982</v>
      </c>
      <c r="AN21">
        <f>'community workers'!D21*'t_occupation age profile'!M$35</f>
        <v>2244.6518904991949</v>
      </c>
      <c r="AO21">
        <f>'community workers'!D21*'t_occupation age profile'!N$35</f>
        <v>846.36841223832528</v>
      </c>
      <c r="AP21">
        <f>'community workers'!D21*'t_occupation age profile'!O$35</f>
        <v>362.02471712292004</v>
      </c>
      <c r="AQ21">
        <f>'energy, food, transport'!D21*'t_occupation age profile'!C$3</f>
        <v>3780.9996356272095</v>
      </c>
      <c r="AR21">
        <f>'energy, food, transport'!D21*'t_occupation age profile'!D$3</f>
        <v>14297.072819110032</v>
      </c>
      <c r="AS21">
        <f>'energy, food, transport'!D21*'t_occupation age profile'!E$3</f>
        <v>13801.920587854769</v>
      </c>
      <c r="AT21">
        <f>'energy, food, transport'!D21*'t_occupation age profile'!F$3</f>
        <v>14921.208265453499</v>
      </c>
      <c r="AU21">
        <f>'energy, food, transport'!D21*'t_occupation age profile'!G$3</f>
        <v>20865.901334185295</v>
      </c>
      <c r="AV21">
        <f>'energy, food, transport'!D21*'t_occupation age profile'!H$3</f>
        <v>24085.823984178831</v>
      </c>
      <c r="AW21">
        <f>'energy, food, transport'!D21*'t_occupation age profile'!I$3</f>
        <v>19458.909429598159</v>
      </c>
      <c r="AX21">
        <f>'energy, food, transport'!D21*'t_occupation age profile'!J$3</f>
        <v>10917.354297090562</v>
      </c>
      <c r="AY21">
        <f>'energy, food, transport'!D21*'t_occupation age profile'!K$3</f>
        <v>8311.1767788917259</v>
      </c>
      <c r="AZ21">
        <f>'energy, food, transport'!D21*'t_occupation age profile'!L$3</f>
        <v>3295.8794322121389</v>
      </c>
      <c r="BA21">
        <f>'energy, food, transport'!D21*'t_occupation age profile'!M$3</f>
        <v>1305.5967660594667</v>
      </c>
      <c r="BB21">
        <f>'energy, food, transport'!D21*'t_occupation age profile'!N$3</f>
        <v>466.13100786041883</v>
      </c>
      <c r="BC21">
        <f>'energy, food, transport'!D21*'t_occupation age profile'!O$3</f>
        <v>187.02566187789284</v>
      </c>
      <c r="BD21">
        <f>'energy, food, transport'!E21*'t_occupation age profile'!C$5</f>
        <v>1870.3499131472597</v>
      </c>
      <c r="BE21">
        <f>'energy, food, transport'!E21*'t_occupation age profile'!D$5</f>
        <v>6522.3060111549648</v>
      </c>
      <c r="BF21">
        <f>'energy, food, transport'!E21*'t_occupation age profile'!E$5</f>
        <v>6158.7680706874953</v>
      </c>
      <c r="BG21">
        <f>'energy, food, transport'!E21*'t_occupation age profile'!F$5</f>
        <v>5866.9210112731316</v>
      </c>
      <c r="BH21">
        <f>'energy, food, transport'!E21*'t_occupation age profile'!G$5</f>
        <v>6848.9557346441998</v>
      </c>
      <c r="BI21">
        <f>'energy, food, transport'!E21*'t_occupation age profile'!H$5</f>
        <v>6760.7107774206506</v>
      </c>
      <c r="BJ21">
        <f>'energy, food, transport'!E21*'t_occupation age profile'!I$5</f>
        <v>5015.2333443622529</v>
      </c>
      <c r="BK21">
        <f>'energy, food, transport'!E21*'t_occupation age profile'!J$5</f>
        <v>2524.0404012951103</v>
      </c>
      <c r="BL21">
        <f>'energy, food, transport'!E21*'t_occupation age profile'!K$5</f>
        <v>1671.8313461583909</v>
      </c>
      <c r="BM21">
        <f>'energy, food, transport'!E21*'t_occupation age profile'!L$5</f>
        <v>568.57386027934672</v>
      </c>
      <c r="BN21">
        <f>'energy, food, transport'!E21*'t_occupation age profile'!M$5</f>
        <v>207.38216682816153</v>
      </c>
      <c r="BO21">
        <f>'energy, food, transport'!E21*'t_occupation age profile'!N$5</f>
        <v>73.646086900007091</v>
      </c>
      <c r="BP21">
        <f>'energy, food, transport'!E21*'t_occupation age profile'!O$5</f>
        <v>34.281275849029846</v>
      </c>
      <c r="BQ21">
        <f>'energy, food, transport'!J21*'t_occupation age profile'!C$7</f>
        <v>2101.1990214434772</v>
      </c>
      <c r="BR21">
        <f>'energy, food, transport'!J21*'t_occupation age profile'!D$7</f>
        <v>10048.62440175861</v>
      </c>
      <c r="BS21">
        <f>'energy, food, transport'!J21*'t_occupation age profile'!E$7</f>
        <v>10997.045063301046</v>
      </c>
      <c r="BT21">
        <f>'energy, food, transport'!J21*'t_occupation age profile'!F$7</f>
        <v>10760.182971897493</v>
      </c>
      <c r="BU21">
        <f>'energy, food, transport'!J21*'t_occupation age profile'!G$7</f>
        <v>11891.462788496683</v>
      </c>
      <c r="BV21">
        <f>'energy, food, transport'!J21*'t_occupation age profile'!H$7</f>
        <v>10678.294048164817</v>
      </c>
      <c r="BW21">
        <f>'energy, food, transport'!J21*'t_occupation age profile'!I$7</f>
        <v>7681.6239809367908</v>
      </c>
      <c r="BX21">
        <f>'energy, food, transport'!J21*'t_occupation age profile'!J$7</f>
        <v>3712.0503005292348</v>
      </c>
      <c r="BY21">
        <f>'energy, food, transport'!J21*'t_occupation age profile'!K$7</f>
        <v>2416.6010172713777</v>
      </c>
      <c r="BZ21">
        <f>'energy, food, transport'!J21*'t_occupation age profile'!L$7</f>
        <v>890.37999627148486</v>
      </c>
      <c r="CA21">
        <f>'energy, food, transport'!J21*'t_occupation age profile'!M$7</f>
        <v>375.38725295529974</v>
      </c>
      <c r="CB21">
        <f>'energy, food, transport'!J21*'t_occupation age profile'!N$7</f>
        <v>149.77408527689869</v>
      </c>
      <c r="CC21">
        <f>'energy, food, transport'!J21*'t_occupation age profile'!O$7</f>
        <v>82.375071696788567</v>
      </c>
      <c r="CD21">
        <f>'energy, food, transport'!K21*'t_occupation age profile'!C$9</f>
        <v>1050.624793595045</v>
      </c>
      <c r="CE21">
        <f>'energy, food, transport'!K21*'t_occupation age profile'!D$9</f>
        <v>8891.1717833589719</v>
      </c>
      <c r="CF21">
        <f>'energy, food, transport'!K21*'t_occupation age profile'!E$9</f>
        <v>14315.106685403565</v>
      </c>
      <c r="CG21">
        <f>'energy, food, transport'!K21*'t_occupation age profile'!F$9</f>
        <v>17428.467327028113</v>
      </c>
      <c r="CH21">
        <f>'energy, food, transport'!K21*'t_occupation age profile'!G$9</f>
        <v>23669.693784766256</v>
      </c>
      <c r="CI21">
        <f>'energy, food, transport'!K21*'t_occupation age profile'!H$9</f>
        <v>22756.868148817215</v>
      </c>
      <c r="CJ21">
        <f>'energy, food, transport'!K21*'t_occupation age profile'!I$9</f>
        <v>18412.318300130446</v>
      </c>
      <c r="CK21">
        <f>'energy, food, transport'!K21*'t_occupation age profile'!J$9</f>
        <v>10106.605369855502</v>
      </c>
      <c r="CL21">
        <f>'energy, food, transport'!K21*'t_occupation age profile'!K$9</f>
        <v>6025.8996433403026</v>
      </c>
      <c r="CM21">
        <f>'energy, food, transport'!K21*'t_occupation age profile'!L$9</f>
        <v>939.58518198918932</v>
      </c>
      <c r="CN21">
        <f>'energy, food, transport'!K21*'t_occupation age profile'!M$9</f>
        <v>307.85982406938837</v>
      </c>
      <c r="CO21">
        <f>'energy, food, transport'!K21*'t_occupation age profile'!N$9</f>
        <v>90.782385164246932</v>
      </c>
      <c r="CP21">
        <f>'energy, food, transport'!K21*'t_occupation age profile'!O$9</f>
        <v>47.016772481758743</v>
      </c>
      <c r="CQ21">
        <f>'energy, food, transport'!O21*'t_occupation age profile'!C$17</f>
        <v>3110.5824873934257</v>
      </c>
      <c r="CR21">
        <f>'energy, food, transport'!O21*'t_occupation age profile'!D$17</f>
        <v>22151.477842609591</v>
      </c>
      <c r="CS21">
        <f>'energy, food, transport'!O21*'t_occupation age profile'!E$17</f>
        <v>33331.778354574832</v>
      </c>
      <c r="CT21">
        <f>'energy, food, transport'!O21*'t_occupation age profile'!F$17</f>
        <v>38411.753934445813</v>
      </c>
      <c r="CU21">
        <f>'energy, food, transport'!O21*'t_occupation age profile'!G$17</f>
        <v>47666.902791051536</v>
      </c>
      <c r="CV21">
        <f>'energy, food, transport'!O21*'t_occupation age profile'!H$17</f>
        <v>44589.276678937902</v>
      </c>
      <c r="CW21">
        <f>'energy, food, transport'!O21*'t_occupation age profile'!I$17</f>
        <v>34048.929054223983</v>
      </c>
      <c r="CX21">
        <f>'energy, food, transport'!O21*'t_occupation age profile'!J$17</f>
        <v>18089.954126688212</v>
      </c>
      <c r="CY21">
        <f>'energy, food, transport'!O21*'t_occupation age profile'!K$17</f>
        <v>9807.2180764442546</v>
      </c>
      <c r="CZ21">
        <f>'energy, food, transport'!O21*'t_occupation age profile'!L$17</f>
        <v>2016.2310924964163</v>
      </c>
      <c r="DA21">
        <f>'energy, food, transport'!O21*'t_occupation age profile'!M$17</f>
        <v>607.59571879479893</v>
      </c>
      <c r="DB21">
        <f>'energy, food, transport'!O21*'t_occupation age profile'!N$17</f>
        <v>187.25213227157263</v>
      </c>
      <c r="DC21">
        <f>'energy, food, transport'!O21*'t_occupation age profile'!O$17</f>
        <v>115.04771006765424</v>
      </c>
      <c r="DD21">
        <f>'social welfare'!F21*'t_occupation age profile'!C$37</f>
        <v>74.973724360061041</v>
      </c>
      <c r="DE21">
        <f>'social welfare'!F21*'t_occupation age profile'!D$37</f>
        <v>480.6826015708877</v>
      </c>
      <c r="DF21">
        <f>'social welfare'!F21*'t_occupation age profile'!E$37</f>
        <v>729.53155902130311</v>
      </c>
      <c r="DG21">
        <f>'social welfare'!F21*'t_occupation age profile'!F$37</f>
        <v>813.54466858789624</v>
      </c>
      <c r="DH21">
        <f>'social welfare'!F21*'t_occupation age profile'!G$37</f>
        <v>1162.8903203932871</v>
      </c>
      <c r="DI21">
        <f>'social welfare'!F21*'t_occupation age profile'!H$37</f>
        <v>1644.636379047296</v>
      </c>
      <c r="DJ21">
        <f>'social welfare'!F21*'t_occupation age profile'!I$37</f>
        <v>1891.3584223314685</v>
      </c>
      <c r="DK21">
        <f>'social welfare'!F21*'t_occupation age profile'!J$37</f>
        <v>1203.8334180934621</v>
      </c>
      <c r="DL21">
        <f>'social welfare'!F21*'t_occupation age profile'!K$37</f>
        <v>931.05667627281457</v>
      </c>
      <c r="DM21">
        <f>'social welfare'!F21*'t_occupation age profile'!L$37</f>
        <v>280.75266994405831</v>
      </c>
      <c r="DN21">
        <f>'social welfare'!F21*'t_occupation age profile'!M$37</f>
        <v>126.55139289145052</v>
      </c>
      <c r="DO21">
        <f>'social welfare'!F21*'t_occupation age profile'!N$37</f>
        <v>46.260383115782339</v>
      </c>
      <c r="DP21">
        <f>'social welfare'!F21*'t_occupation age profile'!O$37</f>
        <v>23.927784370232242</v>
      </c>
    </row>
    <row r="22" spans="1:120" ht="15.5" x14ac:dyDescent="0.3">
      <c r="A22" s="102">
        <v>21</v>
      </c>
      <c r="B22" s="102" t="s">
        <v>46</v>
      </c>
      <c r="C22" s="102" t="s">
        <v>47</v>
      </c>
      <c r="D22">
        <f>HCW!D22*'t_occupation age profile'!C$33</f>
        <v>848.18421167353165</v>
      </c>
      <c r="E22">
        <f>HCW!D22*'t_occupation age profile'!D$33</f>
        <v>7919.9990135254138</v>
      </c>
      <c r="F22">
        <f>HCW!D22*'t_occupation age profile'!E$33</f>
        <v>12034.526580632464</v>
      </c>
      <c r="G22">
        <f>HCW!D22*'t_occupation age profile'!F$33</f>
        <v>11837.537470464926</v>
      </c>
      <c r="H22">
        <f>HCW!D22*'t_occupation age profile'!G$33</f>
        <v>12178.168400678078</v>
      </c>
      <c r="I22">
        <f>HCW!D22*'t_occupation age profile'!H$33</f>
        <v>10100.828693456759</v>
      </c>
      <c r="J22">
        <f>HCW!D22*'t_occupation age profile'!I$33</f>
        <v>8978.7447908038648</v>
      </c>
      <c r="K22">
        <f>HCW!D22*'t_occupation age profile'!J$33</f>
        <v>5546.0446030996727</v>
      </c>
      <c r="L22">
        <f>HCW!D22*'t_occupation age profile'!K$33</f>
        <v>3881.7222550908687</v>
      </c>
      <c r="M22">
        <f>HCW!D22*'t_occupation age profile'!L$33</f>
        <v>1361.4869360622477</v>
      </c>
      <c r="N22">
        <f>HCW!D22*'t_occupation age profile'!M$33</f>
        <v>644.22036746178344</v>
      </c>
      <c r="O22">
        <f>HCW!D22*'t_occupation age profile'!N$33</f>
        <v>237.04670434036362</v>
      </c>
      <c r="P22">
        <f>HCW!D22*'t_occupation age profile'!O$33</f>
        <v>103.48997271002754</v>
      </c>
      <c r="Q22">
        <f>'law enforcement'!I23*'t_occupation age profile'!C$39</f>
        <v>2170.6355566268358</v>
      </c>
      <c r="R22">
        <f>'law enforcement'!I23*'t_occupation age profile'!D$39</f>
        <v>8816.0858115167139</v>
      </c>
      <c r="S22">
        <f>'law enforcement'!I23*'t_occupation age profile'!E$39</f>
        <v>4232.5766895294237</v>
      </c>
      <c r="T22">
        <f>'law enforcement'!I23*'t_occupation age profile'!F$39</f>
        <v>2449.5428212155725</v>
      </c>
      <c r="U22">
        <f>'law enforcement'!I23*'t_occupation age profile'!G$39</f>
        <v>1214.5038450155264</v>
      </c>
      <c r="V22">
        <f>'law enforcement'!I23*'t_occupation age profile'!H$39</f>
        <v>526.24209114282428</v>
      </c>
      <c r="W22">
        <f>'law enforcement'!I23*'t_occupation age profile'!I$39</f>
        <v>372.69393107017748</v>
      </c>
      <c r="X22">
        <f>'law enforcement'!I23*'t_occupation age profile'!J$39</f>
        <v>135.8832505276402</v>
      </c>
      <c r="Y22">
        <f>'law enforcement'!I23*'t_occupation age profile'!K$39</f>
        <v>74.347438104734593</v>
      </c>
      <c r="Z22">
        <f>'law enforcement'!I23*'t_occupation age profile'!L$39</f>
        <v>12.063628527289058</v>
      </c>
      <c r="AA22">
        <f>'law enforcement'!I23*'t_occupation age profile'!M$39</f>
        <v>0</v>
      </c>
      <c r="AB22">
        <f>'law enforcement'!I23*'t_occupation age profile'!N$39</f>
        <v>0</v>
      </c>
      <c r="AC22">
        <f>'law enforcement'!I23*'t_occupation age profile'!O$39</f>
        <v>0</v>
      </c>
      <c r="AD22">
        <f>'community workers'!D22*'t_occupation age profile'!C$35</f>
        <v>289.82724637681156</v>
      </c>
      <c r="AE22">
        <f>'community workers'!D22*'t_occupation age profile'!D$35</f>
        <v>1921.9840171765968</v>
      </c>
      <c r="AF22">
        <f>'community workers'!D22*'t_occupation age profile'!E$35</f>
        <v>2521.8995813204506</v>
      </c>
      <c r="AG22">
        <f>'community workers'!D22*'t_occupation age profile'!F$35</f>
        <v>2620.1188148148149</v>
      </c>
      <c r="AH22">
        <f>'community workers'!D22*'t_occupation age profile'!G$35</f>
        <v>3830.4159269994634</v>
      </c>
      <c r="AI22">
        <f>'community workers'!D22*'t_occupation age profile'!H$35</f>
        <v>4871.1104283413842</v>
      </c>
      <c r="AJ22">
        <f>'community workers'!D22*'t_occupation age profile'!I$35</f>
        <v>5640.7627826086955</v>
      </c>
      <c r="AK22">
        <f>'community workers'!D22*'t_occupation age profile'!J$35</f>
        <v>3937.3568137412772</v>
      </c>
      <c r="AL22">
        <f>'community workers'!D22*'t_occupation age profile'!K$35</f>
        <v>3296.5165689747719</v>
      </c>
      <c r="AM22">
        <f>'community workers'!D22*'t_occupation age profile'!L$35</f>
        <v>1377.6186752549652</v>
      </c>
      <c r="AN22">
        <f>'community workers'!D22*'t_occupation age profile'!M$35</f>
        <v>610.64990660225442</v>
      </c>
      <c r="AO22">
        <f>'community workers'!D22*'t_occupation age profile'!N$35</f>
        <v>230.25164573268921</v>
      </c>
      <c r="AP22">
        <f>'community workers'!D22*'t_occupation age profile'!O$35</f>
        <v>98.487592055823939</v>
      </c>
      <c r="AQ22">
        <f>'energy, food, transport'!D22*'t_occupation age profile'!C$3</f>
        <v>656.83705671277653</v>
      </c>
      <c r="AR22">
        <f>'energy, food, transport'!D22*'t_occupation age profile'!D$3</f>
        <v>2483.6942965096782</v>
      </c>
      <c r="AS22">
        <f>'energy, food, transport'!D22*'t_occupation age profile'!E$3</f>
        <v>2397.6762151700541</v>
      </c>
      <c r="AT22">
        <f>'energy, food, transport'!D22*'t_occupation age profile'!F$3</f>
        <v>2592.1194033791617</v>
      </c>
      <c r="AU22">
        <f>'energy, food, transport'!D22*'t_occupation age profile'!G$3</f>
        <v>3624.8343133553185</v>
      </c>
      <c r="AV22">
        <f>'energy, food, transport'!D22*'t_occupation age profile'!H$3</f>
        <v>4184.2008090132103</v>
      </c>
      <c r="AW22">
        <f>'energy, food, transport'!D22*'t_occupation age profile'!I$3</f>
        <v>3380.4110098671099</v>
      </c>
      <c r="AX22">
        <f>'energy, food, transport'!D22*'t_occupation age profile'!J$3</f>
        <v>1896.5679858897956</v>
      </c>
      <c r="AY22">
        <f>'energy, food, transport'!D22*'t_occupation age profile'!K$3</f>
        <v>1443.8215867114827</v>
      </c>
      <c r="AZ22">
        <f>'energy, food, transport'!D22*'t_occupation age profile'!L$3</f>
        <v>572.56174402547447</v>
      </c>
      <c r="BA22">
        <f>'energy, food, transport'!D22*'t_occupation age profile'!M$3</f>
        <v>226.80889175223706</v>
      </c>
      <c r="BB22">
        <f>'energy, food, transport'!D22*'t_occupation age profile'!N$3</f>
        <v>80.976500595406264</v>
      </c>
      <c r="BC22">
        <f>'energy, food, transport'!D22*'t_occupation age profile'!O$3</f>
        <v>32.490187018295209</v>
      </c>
      <c r="BD22">
        <f>'energy, food, transport'!E22*'t_occupation age profile'!C$5</f>
        <v>387.94829012360265</v>
      </c>
      <c r="BE22">
        <f>'energy, food, transport'!E22*'t_occupation age profile'!D$5</f>
        <v>1352.8577978399073</v>
      </c>
      <c r="BF22">
        <f>'energy, food, transport'!E22*'t_occupation age profile'!E$5</f>
        <v>1277.4526977524636</v>
      </c>
      <c r="BG22">
        <f>'energy, food, transport'!E22*'t_occupation age profile'!F$5</f>
        <v>1216.9177321390589</v>
      </c>
      <c r="BH22">
        <f>'energy, food, transport'!E22*'t_occupation age profile'!G$5</f>
        <v>1420.6115378252548</v>
      </c>
      <c r="BI22">
        <f>'energy, food, transport'!E22*'t_occupation age profile'!H$5</f>
        <v>1402.3077541181196</v>
      </c>
      <c r="BJ22">
        <f>'energy, food, transport'!E22*'t_occupation age profile'!I$5</f>
        <v>1040.260534587479</v>
      </c>
      <c r="BK22">
        <f>'energy, food, transport'!E22*'t_occupation age profile'!J$5</f>
        <v>523.53687991870106</v>
      </c>
      <c r="BL22">
        <f>'energy, food, transport'!E22*'t_occupation age profile'!K$5</f>
        <v>346.77153593458274</v>
      </c>
      <c r="BM22">
        <f>'energy, food, transport'!E22*'t_occupation age profile'!L$5</f>
        <v>117.93368468319429</v>
      </c>
      <c r="BN22">
        <f>'energy, food, transport'!E22*'t_occupation age profile'!M$5</f>
        <v>43.015243542173799</v>
      </c>
      <c r="BO22">
        <f>'energy, food, transport'!E22*'t_occupation age profile'!N$5</f>
        <v>15.27568359605795</v>
      </c>
      <c r="BP22">
        <f>'energy, food, transport'!E22*'t_occupation age profile'!O$5</f>
        <v>7.1106279394039653</v>
      </c>
      <c r="BQ22">
        <f>'energy, food, transport'!J22*'t_occupation age profile'!C$7</f>
        <v>503.95407887709615</v>
      </c>
      <c r="BR22">
        <f>'energy, food, transport'!J22*'t_occupation age profile'!D$7</f>
        <v>2410.0740589966981</v>
      </c>
      <c r="BS22">
        <f>'energy, food, transport'!J22*'t_occupation age profile'!E$7</f>
        <v>2637.5444014049467</v>
      </c>
      <c r="BT22">
        <f>'energy, food, transport'!J22*'t_occupation age profile'!F$7</f>
        <v>2580.7351149565943</v>
      </c>
      <c r="BU22">
        <f>'energy, food, transport'!J22*'t_occupation age profile'!G$7</f>
        <v>2852.0626151639954</v>
      </c>
      <c r="BV22">
        <f>'energy, food, transport'!J22*'t_occupation age profile'!H$7</f>
        <v>2561.0947778401287</v>
      </c>
      <c r="BW22">
        <f>'energy, food, transport'!J22*'t_occupation age profile'!I$7</f>
        <v>1842.3698555379081</v>
      </c>
      <c r="BX22">
        <f>'energy, food, transport'!J22*'t_occupation age profile'!J$7</f>
        <v>890.30257051211026</v>
      </c>
      <c r="BY22">
        <f>'energy, food, transport'!J22*'t_occupation age profile'!K$7</f>
        <v>579.60046965746756</v>
      </c>
      <c r="BZ22">
        <f>'energy, food, transport'!J22*'t_occupation age profile'!L$7</f>
        <v>213.54980003909111</v>
      </c>
      <c r="CA22">
        <f>'energy, food, transport'!J22*'t_occupation age profile'!M$7</f>
        <v>90.033326379207296</v>
      </c>
      <c r="CB22">
        <f>'energy, food, transport'!J22*'t_occupation age profile'!N$7</f>
        <v>35.921995210870861</v>
      </c>
      <c r="CC22">
        <f>'energy, food, transport'!J22*'t_occupation age profile'!O$7</f>
        <v>19.756935423885334</v>
      </c>
      <c r="CD22">
        <f>'energy, food, transport'!K22*'t_occupation age profile'!C$9</f>
        <v>213.64505404331931</v>
      </c>
      <c r="CE22">
        <f>'energy, food, transport'!K22*'t_occupation age profile'!D$9</f>
        <v>1808.0240326941416</v>
      </c>
      <c r="CF22">
        <f>'energy, food, transport'!K22*'t_occupation age profile'!E$9</f>
        <v>2910.9837880122827</v>
      </c>
      <c r="CG22">
        <f>'energy, food, transport'!K22*'t_occupation age profile'!F$9</f>
        <v>3544.0871628719069</v>
      </c>
      <c r="CH22">
        <f>'energy, food, transport'!K22*'t_occupation age profile'!G$9</f>
        <v>4813.2435467579044</v>
      </c>
      <c r="CI22">
        <f>'energy, food, transport'!K22*'t_occupation age profile'!H$9</f>
        <v>4627.620017298701</v>
      </c>
      <c r="CJ22">
        <f>'energy, food, transport'!K22*'t_occupation age profile'!I$9</f>
        <v>3744.1537285958816</v>
      </c>
      <c r="CK22">
        <f>'energy, food, transport'!K22*'t_occupation age profile'!J$9</f>
        <v>2055.1830335631093</v>
      </c>
      <c r="CL22">
        <f>'energy, food, transport'!K22*'t_occupation age profile'!K$9</f>
        <v>1225.3695732382241</v>
      </c>
      <c r="CM22">
        <f>'energy, food, transport'!K22*'t_occupation age profile'!L$9</f>
        <v>191.06509593924085</v>
      </c>
      <c r="CN22">
        <f>'energy, food, transport'!K22*'t_occupation age profile'!M$9</f>
        <v>62.603442401172607</v>
      </c>
      <c r="CO22">
        <f>'energy, food, transport'!K22*'t_occupation age profile'!N$9</f>
        <v>18.460641422929044</v>
      </c>
      <c r="CP22">
        <f>'energy, food, transport'!K22*'t_occupation age profile'!O$9</f>
        <v>9.5608831611863927</v>
      </c>
      <c r="CQ22">
        <f>'energy, food, transport'!O22*'t_occupation age profile'!C$17</f>
        <v>996.34257933339211</v>
      </c>
      <c r="CR22">
        <f>'energy, food, transport'!O22*'t_occupation age profile'!D$17</f>
        <v>7095.2822049244232</v>
      </c>
      <c r="CS22">
        <f>'energy, food, transport'!O22*'t_occupation age profile'!E$17</f>
        <v>10676.415158305248</v>
      </c>
      <c r="CT22">
        <f>'energy, food, transport'!O22*'t_occupation age profile'!F$17</f>
        <v>12303.568912533639</v>
      </c>
      <c r="CU22">
        <f>'energy, food, transport'!O22*'t_occupation age profile'!G$17</f>
        <v>15268.061550577198</v>
      </c>
      <c r="CV22">
        <f>'energy, food, transport'!O22*'t_occupation age profile'!H$17</f>
        <v>14282.275142020448</v>
      </c>
      <c r="CW22">
        <f>'energy, food, transport'!O22*'t_occupation age profile'!I$17</f>
        <v>10906.123832084202</v>
      </c>
      <c r="CX22">
        <f>'energy, food, transport'!O22*'t_occupation age profile'!J$17</f>
        <v>5794.3461160905154</v>
      </c>
      <c r="CY22">
        <f>'energy, food, transport'!O22*'t_occupation age profile'!K$17</f>
        <v>3141.3244927504338</v>
      </c>
      <c r="CZ22">
        <f>'energy, food, transport'!O22*'t_occupation age profile'!L$17</f>
        <v>645.81373275634417</v>
      </c>
      <c r="DA22">
        <f>'energy, food, transport'!O22*'t_occupation age profile'!M$17</f>
        <v>194.61740304569804</v>
      </c>
      <c r="DB22">
        <f>'energy, food, transport'!O22*'t_occupation age profile'!N$17</f>
        <v>59.978243049093329</v>
      </c>
      <c r="DC22">
        <f>'energy, food, transport'!O22*'t_occupation age profile'!O$17</f>
        <v>36.85063252936294</v>
      </c>
      <c r="DD22">
        <f>'social welfare'!F22*'t_occupation age profile'!C$37</f>
        <v>5.8959145617901347</v>
      </c>
      <c r="DE22">
        <f>'social welfare'!F22*'t_occupation age profile'!D$37</f>
        <v>37.800757190484262</v>
      </c>
      <c r="DF22">
        <f>'social welfare'!F22*'t_occupation age profile'!E$37</f>
        <v>57.370175736000455</v>
      </c>
      <c r="DG22">
        <f>'social welfare'!F22*'t_occupation age profile'!F$37</f>
        <v>63.976945244956774</v>
      </c>
      <c r="DH22">
        <f>'social welfare'!F22*'t_occupation age profile'!G$37</f>
        <v>91.449398203085266</v>
      </c>
      <c r="DI22">
        <f>'social welfare'!F22*'t_occupation age profile'!H$37</f>
        <v>129.33378538735377</v>
      </c>
      <c r="DJ22">
        <f>'social welfare'!F22*'t_occupation age profile'!I$37</f>
        <v>148.73594394530144</v>
      </c>
      <c r="DK22">
        <f>'social welfare'!F22*'t_occupation age profile'!J$37</f>
        <v>94.669152963779169</v>
      </c>
      <c r="DL22">
        <f>'social welfare'!F22*'t_occupation age profile'!K$37</f>
        <v>73.21805955811719</v>
      </c>
      <c r="DM22">
        <f>'social welfare'!F22*'t_occupation age profile'!L$37</f>
        <v>22.078318359043905</v>
      </c>
      <c r="DN22">
        <f>'social welfare'!F22*'t_occupation age profile'!M$37</f>
        <v>9.9519692603266083</v>
      </c>
      <c r="DO22">
        <f>'social welfare'!F22*'t_occupation age profile'!N$37</f>
        <v>3.637904729615189</v>
      </c>
      <c r="DP22">
        <f>'social welfare'!F22*'t_occupation age profile'!O$37</f>
        <v>1.8816748601457873</v>
      </c>
    </row>
    <row r="23" spans="1:120" ht="15.5" x14ac:dyDescent="0.3">
      <c r="A23" s="102">
        <v>22</v>
      </c>
      <c r="B23" s="102" t="s">
        <v>48</v>
      </c>
      <c r="C23" s="102" t="s">
        <v>49</v>
      </c>
      <c r="D23">
        <f>HCW!D23*'t_occupation age profile'!C$33</f>
        <v>2725.584234591628</v>
      </c>
      <c r="E23">
        <f>HCW!D23*'t_occupation age profile'!D$33</f>
        <v>25450.39644943882</v>
      </c>
      <c r="F23">
        <f>HCW!D23*'t_occupation age profile'!E$33</f>
        <v>38672.160442867302</v>
      </c>
      <c r="G23">
        <f>HCW!D23*'t_occupation age profile'!F$33</f>
        <v>38039.148880438537</v>
      </c>
      <c r="H23">
        <f>HCW!D23*'t_occupation age profile'!G$33</f>
        <v>39133.743993652686</v>
      </c>
      <c r="I23">
        <f>HCW!D23*'t_occupation age profile'!H$33</f>
        <v>32458.349335312923</v>
      </c>
      <c r="J23">
        <f>HCW!D23*'t_occupation age profile'!I$33</f>
        <v>28852.606440234213</v>
      </c>
      <c r="K23">
        <f>HCW!D23*'t_occupation age profile'!J$33</f>
        <v>17821.849931307988</v>
      </c>
      <c r="L23">
        <f>HCW!D23*'t_occupation age profile'!K$33</f>
        <v>12473.659419649028</v>
      </c>
      <c r="M23">
        <f>HCW!D23*'t_occupation age profile'!L$33</f>
        <v>4375.0488130543472</v>
      </c>
      <c r="N23">
        <f>HCW!D23*'t_occupation age profile'!M$33</f>
        <v>2070.1598225840403</v>
      </c>
      <c r="O23">
        <f>HCW!D23*'t_occupation age profile'!N$33</f>
        <v>761.73400933414212</v>
      </c>
      <c r="P23">
        <f>HCW!D23*'t_occupation age profile'!O$33</f>
        <v>332.55822753434916</v>
      </c>
      <c r="Q23">
        <f>'law enforcement'!I24*'t_occupation age profile'!C$39</f>
        <v>7833.8460941801941</v>
      </c>
      <c r="R23">
        <f>'law enforcement'!I24*'t_occupation age profile'!D$39</f>
        <v>31817.344551304024</v>
      </c>
      <c r="S23">
        <f>'law enforcement'!I24*'t_occupation age profile'!E$39</f>
        <v>15275.412892947672</v>
      </c>
      <c r="T23">
        <f>'law enforcement'!I24*'t_occupation age profile'!F$39</f>
        <v>8840.4252864663067</v>
      </c>
      <c r="U23">
        <f>'law enforcement'!I24*'t_occupation age profile'!G$39</f>
        <v>4383.1568931943675</v>
      </c>
      <c r="V23">
        <f>'law enforcement'!I24*'t_occupation age profile'!H$39</f>
        <v>1899.2131303233552</v>
      </c>
      <c r="W23">
        <f>'law enforcement'!I24*'t_occupation age profile'!I$39</f>
        <v>1345.0562381719517</v>
      </c>
      <c r="X23">
        <f>'law enforcement'!I24*'t_occupation age profile'!J$39</f>
        <v>490.40405155100126</v>
      </c>
      <c r="Y23">
        <f>'law enforcement'!I24*'t_occupation age profile'!K$39</f>
        <v>268.32067033591233</v>
      </c>
      <c r="Z23">
        <f>'law enforcement'!I24*'t_occupation age profile'!L$39</f>
        <v>43.537759681318484</v>
      </c>
      <c r="AA23">
        <f>'law enforcement'!I24*'t_occupation age profile'!M$39</f>
        <v>0</v>
      </c>
      <c r="AB23">
        <f>'law enforcement'!I24*'t_occupation age profile'!N$39</f>
        <v>0</v>
      </c>
      <c r="AC23">
        <f>'law enforcement'!I24*'t_occupation age profile'!O$39</f>
        <v>0</v>
      </c>
      <c r="AD23">
        <f>'community workers'!D23*'t_occupation age profile'!C$35</f>
        <v>757.54666666666662</v>
      </c>
      <c r="AE23">
        <f>'community workers'!D23*'t_occupation age profile'!D$35</f>
        <v>5023.6566913580245</v>
      </c>
      <c r="AF23">
        <f>'community workers'!D23*'t_occupation age profile'!E$35</f>
        <v>6591.7081481481473</v>
      </c>
      <c r="AG23">
        <f>'community workers'!D23*'t_occupation age profile'!F$35</f>
        <v>6848.432296296297</v>
      </c>
      <c r="AH23">
        <f>'community workers'!D23*'t_occupation age profile'!G$35</f>
        <v>10011.891061728395</v>
      </c>
      <c r="AI23">
        <f>'community workers'!D23*'t_occupation age profile'!H$35</f>
        <v>12732.044740740741</v>
      </c>
      <c r="AJ23">
        <f>'community workers'!D23*'t_occupation age profile'!I$35</f>
        <v>14743.752</v>
      </c>
      <c r="AK23">
        <f>'community workers'!D23*'t_occupation age profile'!J$35</f>
        <v>10291.411753086419</v>
      </c>
      <c r="AL23">
        <f>'community workers'!D23*'t_occupation age profile'!K$35</f>
        <v>8616.3919012345686</v>
      </c>
      <c r="AM23">
        <f>'community workers'!D23*'t_occupation age profile'!L$35</f>
        <v>3600.8016790123461</v>
      </c>
      <c r="AN23">
        <f>'community workers'!D23*'t_occupation age profile'!M$35</f>
        <v>1596.1087407407406</v>
      </c>
      <c r="AO23">
        <f>'community workers'!D23*'t_occupation age profile'!N$35</f>
        <v>601.82874074074073</v>
      </c>
      <c r="AP23">
        <f>'community workers'!D23*'t_occupation age profile'!O$35</f>
        <v>257.42558024691357</v>
      </c>
      <c r="AQ23">
        <f>'energy, food, transport'!D23*'t_occupation age profile'!C$3</f>
        <v>2747.469745176681</v>
      </c>
      <c r="AR23">
        <f>'energy, food, transport'!D23*'t_occupation age profile'!D$3</f>
        <v>10388.99201284282</v>
      </c>
      <c r="AS23">
        <f>'energy, food, transport'!D23*'t_occupation age profile'!E$3</f>
        <v>10029.188811114955</v>
      </c>
      <c r="AT23">
        <f>'energy, food, transport'!D23*'t_occupation age profile'!F$3</f>
        <v>10842.521084774762</v>
      </c>
      <c r="AU23">
        <f>'energy, food, transport'!D23*'t_occupation age profile'!G$3</f>
        <v>15162.242302624803</v>
      </c>
      <c r="AV23">
        <f>'energy, food, transport'!D23*'t_occupation age profile'!H$3</f>
        <v>17502.004512413758</v>
      </c>
      <c r="AW23">
        <f>'energy, food, transport'!D23*'t_occupation age profile'!I$3</f>
        <v>14139.849268482018</v>
      </c>
      <c r="AX23">
        <f>'energy, food, transport'!D23*'t_occupation age profile'!J$3</f>
        <v>7933.1138638565953</v>
      </c>
      <c r="AY23">
        <f>'energy, food, transport'!D23*'t_occupation age profile'!K$3</f>
        <v>6039.3305864553658</v>
      </c>
      <c r="AZ23">
        <f>'energy, food, transport'!D23*'t_occupation age profile'!L$3</f>
        <v>2394.9563333535762</v>
      </c>
      <c r="BA23">
        <f>'energy, food, transport'!D23*'t_occupation age profile'!M$3</f>
        <v>948.71408617680527</v>
      </c>
      <c r="BB23">
        <f>'energy, food, transport'!D23*'t_occupation age profile'!N$3</f>
        <v>338.71488093194944</v>
      </c>
      <c r="BC23">
        <f>'energy, food, transport'!D23*'t_occupation age profile'!O$3</f>
        <v>135.90251179590899</v>
      </c>
      <c r="BD23">
        <f>'energy, food, transport'!E23*'t_occupation age profile'!C$5</f>
        <v>1978.2310755559756</v>
      </c>
      <c r="BE23">
        <f>'energy, food, transport'!E23*'t_occupation age profile'!D$5</f>
        <v>6898.5104577789334</v>
      </c>
      <c r="BF23">
        <f>'energy, food, transport'!E23*'t_occupation age profile'!E$5</f>
        <v>6514.0037695270948</v>
      </c>
      <c r="BG23">
        <f>'energy, food, transport'!E23*'t_occupation age profile'!F$5</f>
        <v>6205.3230685604904</v>
      </c>
      <c r="BH23">
        <f>'energy, food, transport'!E23*'t_occupation age profile'!G$5</f>
        <v>7244.0012289367342</v>
      </c>
      <c r="BI23">
        <f>'energy, food, transport'!E23*'t_occupation age profile'!H$5</f>
        <v>7150.666331860185</v>
      </c>
      <c r="BJ23">
        <f>'energy, food, transport'!E23*'t_occupation age profile'!I$5</f>
        <v>5304.5103396119393</v>
      </c>
      <c r="BK23">
        <f>'energy, food, transport'!E23*'t_occupation age profile'!J$5</f>
        <v>2669.626214165859</v>
      </c>
      <c r="BL23">
        <f>'energy, food, transport'!E23*'t_occupation age profile'!K$5</f>
        <v>1768.2620234915983</v>
      </c>
      <c r="BM23">
        <f>'energy, food, transport'!E23*'t_occupation age profile'!L$5</f>
        <v>601.36901188759953</v>
      </c>
      <c r="BN23">
        <f>'energy, food, transport'!E23*'t_occupation age profile'!M$5</f>
        <v>219.34390140146053</v>
      </c>
      <c r="BO23">
        <f>'energy, food, transport'!E23*'t_occupation age profile'!N$5</f>
        <v>77.893968756646899</v>
      </c>
      <c r="BP23">
        <f>'energy, food, transport'!E23*'t_occupation age profile'!O$5</f>
        <v>36.25860846548342</v>
      </c>
      <c r="BQ23">
        <f>'energy, food, transport'!J23*'t_occupation age profile'!C$7</f>
        <v>5162.5949182708346</v>
      </c>
      <c r="BR23">
        <f>'energy, food, transport'!J23*'t_occupation age profile'!D$7</f>
        <v>24689.225886129039</v>
      </c>
      <c r="BS23">
        <f>'energy, food, transport'!J23*'t_occupation age profile'!E$7</f>
        <v>27019.472396665857</v>
      </c>
      <c r="BT23">
        <f>'energy, food, transport'!J23*'t_occupation age profile'!F$7</f>
        <v>26437.507995896751</v>
      </c>
      <c r="BU23">
        <f>'energy, food, transport'!J23*'t_occupation age profile'!G$7</f>
        <v>29217.035005339752</v>
      </c>
      <c r="BV23">
        <f>'energy, food, transport'!J23*'t_occupation age profile'!H$7</f>
        <v>26236.308900898814</v>
      </c>
      <c r="BW23">
        <f>'energy, food, transport'!J23*'t_occupation age profile'!I$7</f>
        <v>18873.563390871986</v>
      </c>
      <c r="BX23">
        <f>'energy, food, transport'!J23*'t_occupation age profile'!J$7</f>
        <v>9120.4173532847144</v>
      </c>
      <c r="BY23">
        <f>'energy, food, transport'!J23*'t_occupation age profile'!K$7</f>
        <v>5937.5299550076197</v>
      </c>
      <c r="BZ23">
        <f>'energy, food, transport'!J23*'t_occupation age profile'!L$7</f>
        <v>2187.6420068591888</v>
      </c>
      <c r="CA23">
        <f>'energy, food, transport'!J23*'t_occupation age profile'!M$7</f>
        <v>922.31735533520987</v>
      </c>
      <c r="CB23">
        <f>'energy, food, transport'!J23*'t_occupation age profile'!N$7</f>
        <v>367.99128671209485</v>
      </c>
      <c r="CC23">
        <f>'energy, food, transport'!J23*'t_occupation age profile'!O$7</f>
        <v>202.393548728138</v>
      </c>
      <c r="CD23">
        <f>'energy, food, transport'!K23*'t_occupation age profile'!C$9</f>
        <v>719.18867681066786</v>
      </c>
      <c r="CE23">
        <f>'energy, food, transport'!K23*'t_occupation age profile'!D$9</f>
        <v>6086.3117919478382</v>
      </c>
      <c r="CF23">
        <f>'energy, food, transport'!K23*'t_occupation age profile'!E$9</f>
        <v>9799.1811141734433</v>
      </c>
      <c r="CG23">
        <f>'energy, food, transport'!K23*'t_occupation age profile'!F$9</f>
        <v>11930.383170259138</v>
      </c>
      <c r="CH23">
        <f>'energy, food, transport'!K23*'t_occupation age profile'!G$9</f>
        <v>16202.716571470046</v>
      </c>
      <c r="CI23">
        <f>'energy, food, transport'!K23*'t_occupation age profile'!H$9</f>
        <v>15577.856140534808</v>
      </c>
      <c r="CJ23">
        <f>'energy, food, transport'!K23*'t_occupation age profile'!I$9</f>
        <v>12603.862878560296</v>
      </c>
      <c r="CK23">
        <f>'energy, food, transport'!K23*'t_occupation age profile'!J$9</f>
        <v>6918.3177356040742</v>
      </c>
      <c r="CL23">
        <f>'energy, food, transport'!K23*'t_occupation age profile'!K$9</f>
        <v>4124.9348173656381</v>
      </c>
      <c r="CM23">
        <f>'energy, food, transport'!K23*'t_occupation age profile'!L$9</f>
        <v>643.17825726676494</v>
      </c>
      <c r="CN23">
        <f>'energy, food, transport'!K23*'t_occupation age profile'!M$9</f>
        <v>210.74060013185724</v>
      </c>
      <c r="CO23">
        <f>'energy, food, transport'!K23*'t_occupation age profile'!N$9</f>
        <v>62.143653816299086</v>
      </c>
      <c r="CP23">
        <f>'energy, food, transport'!K23*'t_occupation age profile'!O$9</f>
        <v>32.184592059130104</v>
      </c>
      <c r="CQ23">
        <f>'energy, food, transport'!O23*'t_occupation age profile'!C$17</f>
        <v>4798.8238557411787</v>
      </c>
      <c r="CR23">
        <f>'energy, food, transport'!O23*'t_occupation age profile'!D$17</f>
        <v>34173.998195467917</v>
      </c>
      <c r="CS23">
        <f>'energy, food, transport'!O23*'t_occupation age profile'!E$17</f>
        <v>51422.30877029313</v>
      </c>
      <c r="CT23">
        <f>'energy, food, transport'!O23*'t_occupation age profile'!F$17</f>
        <v>59259.396549854129</v>
      </c>
      <c r="CU23">
        <f>'energy, food, transport'!O23*'t_occupation age profile'!G$17</f>
        <v>73537.69629002038</v>
      </c>
      <c r="CV23">
        <f>'energy, food, transport'!O23*'t_occupation age profile'!H$17</f>
        <v>68789.715593247776</v>
      </c>
      <c r="CW23">
        <f>'energy, food, transport'!O23*'t_occupation age profile'!I$17</f>
        <v>52528.68672348532</v>
      </c>
      <c r="CX23">
        <f>'energy, food, transport'!O23*'t_occupation age profile'!J$17</f>
        <v>27908.11809821496</v>
      </c>
      <c r="CY23">
        <f>'energy, food, transport'!O23*'t_occupation age profile'!K$17</f>
        <v>15129.999687979427</v>
      </c>
      <c r="CZ23">
        <f>'energy, food, transport'!O23*'t_occupation age profile'!L$17</f>
        <v>3110.5228376266946</v>
      </c>
      <c r="DA23">
        <f>'energy, food, transport'!O23*'t_occupation age profile'!M$17</f>
        <v>937.36296716631875</v>
      </c>
      <c r="DB23">
        <f>'energy, food, transport'!O23*'t_occupation age profile'!N$17</f>
        <v>288.88158504879152</v>
      </c>
      <c r="DC23">
        <f>'energy, food, transport'!O23*'t_occupation age profile'!O$17</f>
        <v>177.48884585397752</v>
      </c>
      <c r="DD23">
        <f>'social welfare'!F23*'t_occupation age profile'!C$37</f>
        <v>74.51957958976098</v>
      </c>
      <c r="DE23">
        <f>'social welfare'!F23*'t_occupation age profile'!D$37</f>
        <v>477.77092162513418</v>
      </c>
      <c r="DF23">
        <f>'social welfare'!F23*'t_occupation age profile'!E$37</f>
        <v>725.11250494434091</v>
      </c>
      <c r="DG23">
        <f>'social welfare'!F23*'t_occupation age profile'!F$37</f>
        <v>808.61671469740634</v>
      </c>
      <c r="DH23">
        <f>'social welfare'!F23*'t_occupation age profile'!G$37</f>
        <v>1155.8462451262926</v>
      </c>
      <c r="DI23">
        <f>'social welfare'!F23*'t_occupation age profile'!H$37</f>
        <v>1634.6741820647567</v>
      </c>
      <c r="DJ23">
        <f>'social welfare'!F23*'t_occupation age profile'!I$37</f>
        <v>1879.9017347573033</v>
      </c>
      <c r="DK23">
        <f>'social welfare'!F23*'t_occupation age profile'!J$37</f>
        <v>1196.5413346894952</v>
      </c>
      <c r="DL23">
        <f>'social welfare'!F23*'t_occupation age profile'!K$37</f>
        <v>925.41690682036494</v>
      </c>
      <c r="DM23">
        <f>'social welfare'!F23*'t_occupation age profile'!L$37</f>
        <v>279.05204271910497</v>
      </c>
      <c r="DN23">
        <f>'social welfare'!F23*'t_occupation age profile'!M$37</f>
        <v>125.78482228626321</v>
      </c>
      <c r="DO23">
        <f>'social welfare'!F23*'t_occupation age profile'!N$37</f>
        <v>45.98016612985252</v>
      </c>
      <c r="DP23">
        <f>'social welfare'!F23*'t_occupation age profile'!O$37</f>
        <v>23.782844549923713</v>
      </c>
    </row>
    <row r="24" spans="1:120" ht="15.5" x14ac:dyDescent="0.3">
      <c r="A24" s="102">
        <v>23</v>
      </c>
      <c r="B24" s="102" t="s">
        <v>50</v>
      </c>
      <c r="C24" s="102" t="s">
        <v>51</v>
      </c>
      <c r="D24">
        <f>HCW!D24*'t_occupation age profile'!C$33</f>
        <v>7172.3305212995056</v>
      </c>
      <c r="E24">
        <f>HCW!D24*'t_occupation age profile'!D$33</f>
        <v>66972.303742002026</v>
      </c>
      <c r="F24">
        <f>HCW!D24*'t_occupation age profile'!E$33</f>
        <v>101765.1603457145</v>
      </c>
      <c r="G24">
        <f>HCW!D24*'t_occupation age profile'!F$33</f>
        <v>100099.40072914422</v>
      </c>
      <c r="H24">
        <f>HCW!D24*'t_occupation age profile'!G$33</f>
        <v>102979.80994172078</v>
      </c>
      <c r="I24">
        <f>HCW!D24*'t_occupation age profile'!H$33</f>
        <v>85413.617621525074</v>
      </c>
      <c r="J24">
        <f>HCW!D24*'t_occupation age profile'!I$33</f>
        <v>75925.163920439329</v>
      </c>
      <c r="K24">
        <f>HCW!D24*'t_occupation age profile'!J$33</f>
        <v>46897.907826903604</v>
      </c>
      <c r="L24">
        <f>HCW!D24*'t_occupation age profile'!K$33</f>
        <v>32824.231602311236</v>
      </c>
      <c r="M24">
        <f>HCW!D24*'t_occupation age profile'!L$33</f>
        <v>11512.869694429533</v>
      </c>
      <c r="N24">
        <f>HCW!D24*'t_occupation age profile'!M$33</f>
        <v>5447.5918561042481</v>
      </c>
      <c r="O24">
        <f>HCW!D24*'t_occupation age profile'!N$33</f>
        <v>2004.4906390785927</v>
      </c>
      <c r="P24">
        <f>HCW!D24*'t_occupation age profile'!O$33</f>
        <v>875.12155932735391</v>
      </c>
      <c r="Q24">
        <f>'law enforcement'!I25*'t_occupation age profile'!C$39</f>
        <v>10943.218685410799</v>
      </c>
      <c r="R24">
        <f>'law enforcement'!I25*'t_occupation age profile'!D$39</f>
        <v>44446.132235435616</v>
      </c>
      <c r="S24">
        <f>'law enforcement'!I25*'t_occupation age profile'!E$39</f>
        <v>21338.456460314643</v>
      </c>
      <c r="T24">
        <f>'law enforcement'!I25*'t_occupation age profile'!F$39</f>
        <v>12349.324459374673</v>
      </c>
      <c r="U24">
        <f>'law enforcement'!I25*'t_occupation age profile'!G$39</f>
        <v>6122.8984892013432</v>
      </c>
      <c r="V24">
        <f>'law enforcement'!I25*'t_occupation age profile'!H$39</f>
        <v>2653.0396902706902</v>
      </c>
      <c r="W24">
        <f>'law enforcement'!I25*'t_occupation age profile'!I$39</f>
        <v>1878.9295042988738</v>
      </c>
      <c r="X24">
        <f>'law enforcement'!I25*'t_occupation age profile'!J$39</f>
        <v>685.05287387774354</v>
      </c>
      <c r="Y24">
        <f>'law enforcement'!I25*'t_occupation age profile'!K$39</f>
        <v>374.82122293458048</v>
      </c>
      <c r="Z24">
        <f>'law enforcement'!I25*'t_occupation age profile'!L$39</f>
        <v>60.818558283839863</v>
      </c>
      <c r="AA24">
        <f>'law enforcement'!I25*'t_occupation age profile'!M$39</f>
        <v>0</v>
      </c>
      <c r="AB24">
        <f>'law enforcement'!I25*'t_occupation age profile'!N$39</f>
        <v>0</v>
      </c>
      <c r="AC24">
        <f>'law enforcement'!I25*'t_occupation age profile'!O$39</f>
        <v>0</v>
      </c>
      <c r="AD24">
        <f>'community workers'!D24*'t_occupation age profile'!C$35</f>
        <v>3018.3049275362318</v>
      </c>
      <c r="AE24">
        <f>'community workers'!D24*'t_occupation age profile'!D$35</f>
        <v>20015.833232420828</v>
      </c>
      <c r="AF24">
        <f>'community workers'!D24*'t_occupation age profile'!E$35</f>
        <v>26263.444959742348</v>
      </c>
      <c r="AG24">
        <f>'community workers'!D24*'t_occupation age profile'!F$35</f>
        <v>27286.314962962966</v>
      </c>
      <c r="AH24">
        <f>'community workers'!D24*'t_occupation age profile'!G$35</f>
        <v>39890.532762211486</v>
      </c>
      <c r="AI24">
        <f>'community workers'!D24*'t_occupation age profile'!H$35</f>
        <v>50728.483233494364</v>
      </c>
      <c r="AJ24">
        <f>'community workers'!D24*'t_occupation age profile'!I$35</f>
        <v>58743.759652173918</v>
      </c>
      <c r="AK24">
        <f>'community workers'!D24*'t_occupation age profile'!J$35</f>
        <v>41004.231385936662</v>
      </c>
      <c r="AL24">
        <f>'community workers'!D24*'t_occupation age profile'!K$35</f>
        <v>34330.423823939884</v>
      </c>
      <c r="AM24">
        <f>'community workers'!D24*'t_occupation age profile'!L$35</f>
        <v>14346.729949543747</v>
      </c>
      <c r="AN24">
        <f>'community workers'!D24*'t_occupation age profile'!M$35</f>
        <v>6359.4007987117548</v>
      </c>
      <c r="AO24">
        <f>'community workers'!D24*'t_occupation age profile'!N$35</f>
        <v>2397.8755813204507</v>
      </c>
      <c r="AP24">
        <f>'community workers'!D24*'t_occupation age profile'!O$35</f>
        <v>1025.6647300053678</v>
      </c>
      <c r="AQ24">
        <f>'energy, food, transport'!D24*'t_occupation age profile'!C$3</f>
        <v>5709.4362308011187</v>
      </c>
      <c r="AR24">
        <f>'energy, food, transport'!D24*'t_occupation age profile'!D$3</f>
        <v>21589.059353159086</v>
      </c>
      <c r="AS24">
        <f>'energy, food, transport'!D24*'t_occupation age profile'!E$3</f>
        <v>20841.362880974197</v>
      </c>
      <c r="AT24">
        <f>'energy, food, transport'!D24*'t_occupation age profile'!F$3</f>
        <v>22531.524805073761</v>
      </c>
      <c r="AU24">
        <f>'energy, food, transport'!D24*'t_occupation age profile'!G$3</f>
        <v>31508.210670841989</v>
      </c>
      <c r="AV24">
        <f>'energy, food, transport'!D24*'t_occupation age profile'!H$3</f>
        <v>36370.401839818558</v>
      </c>
      <c r="AW24">
        <f>'energy, food, transport'!D24*'t_occupation age profile'!I$3</f>
        <v>29383.605716956274</v>
      </c>
      <c r="AX24">
        <f>'energy, food, transport'!D24*'t_occupation age profile'!J$3</f>
        <v>16485.571059295071</v>
      </c>
      <c r="AY24">
        <f>'energy, food, transport'!D24*'t_occupation age profile'!K$3</f>
        <v>12550.155618866062</v>
      </c>
      <c r="AZ24">
        <f>'energy, food, transport'!D24*'t_occupation age profile'!L$3</f>
        <v>4976.8884570396558</v>
      </c>
      <c r="BA24">
        <f>'energy, food, transport'!D24*'t_occupation age profile'!M$3</f>
        <v>1971.4948948203614</v>
      </c>
      <c r="BB24">
        <f>'energy, food, transport'!D24*'t_occupation age profile'!N$3</f>
        <v>703.87345174568895</v>
      </c>
      <c r="BC24">
        <f>'energy, food, transport'!D24*'t_occupation age profile'!O$3</f>
        <v>282.41502060818567</v>
      </c>
      <c r="BD24">
        <f>'energy, food, transport'!E24*'t_occupation age profile'!C$5</f>
        <v>5596.9340510008742</v>
      </c>
      <c r="BE24">
        <f>'energy, food, transport'!E24*'t_occupation age profile'!D$5</f>
        <v>19517.693640252404</v>
      </c>
      <c r="BF24">
        <f>'energy, food, transport'!E24*'t_occupation age profile'!E$5</f>
        <v>18429.823470328265</v>
      </c>
      <c r="BG24">
        <f>'energy, food, transport'!E24*'t_occupation age profile'!F$5</f>
        <v>17556.484886441522</v>
      </c>
      <c r="BH24">
        <f>'energy, food, transport'!E24*'t_occupation age profile'!G$5</f>
        <v>20495.177557724579</v>
      </c>
      <c r="BI24">
        <f>'energy, food, transport'!E24*'t_occupation age profile'!H$5</f>
        <v>20231.108678184009</v>
      </c>
      <c r="BJ24">
        <f>'energy, food, transport'!E24*'t_occupation age profile'!I$5</f>
        <v>15007.84964431735</v>
      </c>
      <c r="BK24">
        <f>'energy, food, transport'!E24*'t_occupation age profile'!J$5</f>
        <v>7553.072058232694</v>
      </c>
      <c r="BL24">
        <f>'energy, food, transport'!E24*'t_occupation age profile'!K$5</f>
        <v>5002.8765863918888</v>
      </c>
      <c r="BM24">
        <f>'energy, food, transport'!E24*'t_occupation age profile'!L$5</f>
        <v>1701.4305059910664</v>
      </c>
      <c r="BN24">
        <f>'energy, food, transport'!E24*'t_occupation age profile'!M$5</f>
        <v>620.58136979178971</v>
      </c>
      <c r="BO24">
        <f>'energy, food, transport'!E24*'t_occupation age profile'!N$5</f>
        <v>220.38244747477137</v>
      </c>
      <c r="BP24">
        <f>'energy, food, transport'!E24*'t_occupation age profile'!O$5</f>
        <v>102.58510386878737</v>
      </c>
      <c r="BQ24">
        <f>'energy, food, transport'!J24*'t_occupation age profile'!C$7</f>
        <v>4989.9854507016744</v>
      </c>
      <c r="BR24">
        <f>'energy, food, transport'!J24*'t_occupation age profile'!D$7</f>
        <v>23863.750674076793</v>
      </c>
      <c r="BS24">
        <f>'energy, food, transport'!J24*'t_occupation age profile'!E$7</f>
        <v>26116.086247215608</v>
      </c>
      <c r="BT24">
        <f>'energy, food, transport'!J24*'t_occupation age profile'!F$7</f>
        <v>25553.579612734815</v>
      </c>
      <c r="BU24">
        <f>'energy, food, transport'!J24*'t_occupation age profile'!G$7</f>
        <v>28240.174156084824</v>
      </c>
      <c r="BV24">
        <f>'energy, food, transport'!J24*'t_occupation age profile'!H$7</f>
        <v>25359.107535682848</v>
      </c>
      <c r="BW24">
        <f>'energy, food, transport'!J24*'t_occupation age profile'!I$7</f>
        <v>18242.532721294996</v>
      </c>
      <c r="BX24">
        <f>'energy, food, transport'!J24*'t_occupation age profile'!J$7</f>
        <v>8815.4795442407521</v>
      </c>
      <c r="BY24">
        <f>'energy, food, transport'!J24*'t_occupation age profile'!K$7</f>
        <v>5739.0108187138358</v>
      </c>
      <c r="BZ24">
        <f>'energy, food, transport'!J24*'t_occupation age profile'!L$7</f>
        <v>2114.4989987375347</v>
      </c>
      <c r="CA24">
        <f>'energy, food, transport'!J24*'t_occupation age profile'!M$7</f>
        <v>891.48001284475356</v>
      </c>
      <c r="CB24">
        <f>'energy, food, transport'!J24*'t_occupation age profile'!N$7</f>
        <v>355.68763301176926</v>
      </c>
      <c r="CC24">
        <f>'energy, food, transport'!J24*'t_occupation age profile'!O$7</f>
        <v>195.62659465979556</v>
      </c>
      <c r="CD24">
        <f>'energy, food, transport'!K24*'t_occupation age profile'!C$9</f>
        <v>2514.5050515029502</v>
      </c>
      <c r="CE24">
        <f>'energy, food, transport'!K24*'t_occupation age profile'!D$9</f>
        <v>21279.619993104716</v>
      </c>
      <c r="CF24">
        <f>'energy, food, transport'!K24*'t_occupation age profile'!E$9</f>
        <v>34260.954331832632</v>
      </c>
      <c r="CG24">
        <f>'energy, food, transport'!K24*'t_occupation age profile'!F$9</f>
        <v>41712.292914589176</v>
      </c>
      <c r="CH24">
        <f>'energy, food, transport'!K24*'t_occupation age profile'!G$9</f>
        <v>56649.685931801178</v>
      </c>
      <c r="CI24">
        <f>'energy, food, transport'!K24*'t_occupation age profile'!H$9</f>
        <v>54464.98147143799</v>
      </c>
      <c r="CJ24">
        <f>'energy, food, transport'!K24*'t_occupation age profile'!I$9</f>
        <v>44066.985338443636</v>
      </c>
      <c r="CK24">
        <f>'energy, food, transport'!K24*'t_occupation age profile'!J$9</f>
        <v>24188.568945807485</v>
      </c>
      <c r="CL24">
        <f>'energy, food, transport'!K24*'t_occupation age profile'!K$9</f>
        <v>14422.042184233182</v>
      </c>
      <c r="CM24">
        <f>'energy, food, transport'!K24*'t_occupation age profile'!L$9</f>
        <v>2248.749221256031</v>
      </c>
      <c r="CN24">
        <f>'energy, food, transport'!K24*'t_occupation age profile'!M$9</f>
        <v>736.81402485125739</v>
      </c>
      <c r="CO24">
        <f>'energy, food, transport'!K24*'t_occupation age profile'!N$9</f>
        <v>217.2733477018736</v>
      </c>
      <c r="CP24">
        <f>'energy, food, transport'!K24*'t_occupation age profile'!O$9</f>
        <v>112.52724343788496</v>
      </c>
      <c r="CQ24">
        <f>'energy, food, transport'!O24*'t_occupation age profile'!C$17</f>
        <v>6372.2669163093233</v>
      </c>
      <c r="CR24">
        <f>'energy, food, transport'!O24*'t_occupation age profile'!D$17</f>
        <v>45379.002156635899</v>
      </c>
      <c r="CS24">
        <f>'energy, food, transport'!O24*'t_occupation age profile'!E$17</f>
        <v>68282.705676966754</v>
      </c>
      <c r="CT24">
        <f>'energy, food, transport'!O24*'t_occupation age profile'!F$17</f>
        <v>78689.42546480849</v>
      </c>
      <c r="CU24">
        <f>'energy, food, transport'!O24*'t_occupation age profile'!G$17</f>
        <v>97649.308092414678</v>
      </c>
      <c r="CV24">
        <f>'energy, food, transport'!O24*'t_occupation age profile'!H$17</f>
        <v>91344.554839777047</v>
      </c>
      <c r="CW24">
        <f>'energy, food, transport'!O24*'t_occupation age profile'!I$17</f>
        <v>69751.843915834615</v>
      </c>
      <c r="CX24">
        <f>'energy, food, transport'!O24*'t_occupation age profile'!J$17</f>
        <v>37058.659163108947</v>
      </c>
      <c r="CY24">
        <f>'energy, food, transport'!O24*'t_occupation age profile'!K$17</f>
        <v>20090.838787536781</v>
      </c>
      <c r="CZ24">
        <f>'energy, food, transport'!O24*'t_occupation age profile'!L$17</f>
        <v>4130.4041086900479</v>
      </c>
      <c r="DA24">
        <f>'energy, food, transport'!O24*'t_occupation age profile'!M$17</f>
        <v>1244.7064538743996</v>
      </c>
      <c r="DB24">
        <f>'energy, food, transport'!O24*'t_occupation age profile'!N$17</f>
        <v>383.60036177095645</v>
      </c>
      <c r="DC24">
        <f>'energy, food, transport'!O24*'t_occupation age profile'!O$17</f>
        <v>235.68406227207564</v>
      </c>
      <c r="DD24">
        <f>'social welfare'!F24*'t_occupation age profile'!C$37</f>
        <v>168.28055602644517</v>
      </c>
      <c r="DE24">
        <f>'social welfare'!F24*'t_occupation age profile'!D$37</f>
        <v>1078.9051251624569</v>
      </c>
      <c r="DF24">
        <f>'social welfare'!F24*'t_occupation age profile'!E$37</f>
        <v>1637.4533536757642</v>
      </c>
      <c r="DG24">
        <f>'social welfare'!F24*'t_occupation age profile'!F$37</f>
        <v>1826.0230547550434</v>
      </c>
      <c r="DH24">
        <f>'social welfare'!F24*'t_occupation age profile'!G$37</f>
        <v>2610.1388370910327</v>
      </c>
      <c r="DI24">
        <f>'social welfare'!F24*'t_occupation age profile'!H$37</f>
        <v>3691.4309204949991</v>
      </c>
      <c r="DJ24">
        <f>'social welfare'!F24*'t_occupation age profile'!I$37</f>
        <v>4245.2052325252862</v>
      </c>
      <c r="DK24">
        <f>'social welfare'!F24*'t_occupation age profile'!J$37</f>
        <v>2702.0367293891618</v>
      </c>
      <c r="DL24">
        <f>'social welfare'!F24*'t_occupation age profile'!K$37</f>
        <v>2089.7819404418829</v>
      </c>
      <c r="DM24">
        <f>'social welfare'!F24*'t_occupation age profile'!L$37</f>
        <v>630.15697575860315</v>
      </c>
      <c r="DN24">
        <f>'social welfare'!F24*'t_occupation age profile'!M$37</f>
        <v>284.04803073967338</v>
      </c>
      <c r="DO24">
        <f>'social welfare'!F24*'t_occupation age profile'!N$37</f>
        <v>103.83268350567893</v>
      </c>
      <c r="DP24">
        <f>'social welfare'!F24*'t_occupation age profile'!O$37</f>
        <v>53.706560433971859</v>
      </c>
    </row>
    <row r="25" spans="1:120" ht="15.5" x14ac:dyDescent="0.3">
      <c r="A25" s="102">
        <v>24</v>
      </c>
      <c r="B25" s="102" t="s">
        <v>52</v>
      </c>
      <c r="C25" s="102" t="s">
        <v>53</v>
      </c>
      <c r="D25">
        <f>HCW!D25*'t_occupation age profile'!C$33</f>
        <v>3152.7026875204733</v>
      </c>
      <c r="E25">
        <f>HCW!D25*'t_occupation age profile'!D$33</f>
        <v>29438.654753823525</v>
      </c>
      <c r="F25">
        <f>HCW!D25*'t_occupation age profile'!E$33</f>
        <v>44732.363290440786</v>
      </c>
      <c r="G25">
        <f>HCW!D25*'t_occupation age profile'!F$33</f>
        <v>44000.154309785408</v>
      </c>
      <c r="H25">
        <f>HCW!D25*'t_occupation age profile'!G$33</f>
        <v>45266.280269636387</v>
      </c>
      <c r="I25">
        <f>HCW!D25*'t_occupation age profile'!H$33</f>
        <v>37544.803746361438</v>
      </c>
      <c r="J25">
        <f>HCW!D25*'t_occupation age profile'!I$33</f>
        <v>33374.015270427313</v>
      </c>
      <c r="K25">
        <f>HCW!D25*'t_occupation age profile'!J$33</f>
        <v>20614.660688863176</v>
      </c>
      <c r="L25">
        <f>HCW!D25*'t_occupation age profile'!K$33</f>
        <v>14428.370650388175</v>
      </c>
      <c r="M25">
        <f>HCW!D25*'t_occupation age profile'!L$33</f>
        <v>5060.6501079267973</v>
      </c>
      <c r="N25">
        <f>HCW!D25*'t_occupation age profile'!M$33</f>
        <v>2394.5686042007378</v>
      </c>
      <c r="O25">
        <f>HCW!D25*'t_occupation age profile'!N$33</f>
        <v>881.10315136281713</v>
      </c>
      <c r="P25">
        <f>HCW!D25*'t_occupation age profile'!O$33</f>
        <v>384.6724692629715</v>
      </c>
      <c r="Q25">
        <f>'law enforcement'!I26*'t_occupation age profile'!C$39</f>
        <v>5955.4625994230737</v>
      </c>
      <c r="R25">
        <f>'law enforcement'!I26*'t_occupation age profile'!D$39</f>
        <v>24188.247153466491</v>
      </c>
      <c r="S25">
        <f>'law enforcement'!I26*'t_occupation age profile'!E$39</f>
        <v>11612.705825594221</v>
      </c>
      <c r="T25">
        <f>'law enforcement'!I26*'t_occupation age profile'!F$39</f>
        <v>6720.6863044778474</v>
      </c>
      <c r="U25">
        <f>'law enforcement'!I26*'t_occupation age profile'!G$39</f>
        <v>3332.1725536853592</v>
      </c>
      <c r="V25">
        <f>'law enforcement'!I26*'t_occupation age profile'!H$39</f>
        <v>1443.8237144302257</v>
      </c>
      <c r="W25">
        <f>'law enforcement'!I26*'t_occupation age profile'!I$39</f>
        <v>1022.5414214487498</v>
      </c>
      <c r="X25">
        <f>'law enforcement'!I26*'t_occupation age profile'!J$39</f>
        <v>372.81597729973913</v>
      </c>
      <c r="Y25">
        <f>'law enforcement'!I26*'t_occupation age profile'!K$39</f>
        <v>203.98329219472379</v>
      </c>
      <c r="Z25">
        <f>'law enforcement'!I26*'t_occupation age profile'!L$39</f>
        <v>33.098365263696991</v>
      </c>
      <c r="AA25">
        <f>'law enforcement'!I26*'t_occupation age profile'!M$39</f>
        <v>0</v>
      </c>
      <c r="AB25">
        <f>'law enforcement'!I26*'t_occupation age profile'!N$39</f>
        <v>0</v>
      </c>
      <c r="AC25">
        <f>'law enforcement'!I26*'t_occupation age profile'!O$39</f>
        <v>0</v>
      </c>
      <c r="AD25">
        <f>'community workers'!D25*'t_occupation age profile'!C$35</f>
        <v>1066.9542028985506</v>
      </c>
      <c r="AE25">
        <f>'community workers'!D25*'t_occupation age profile'!D$35</f>
        <v>7075.4870381105748</v>
      </c>
      <c r="AF25">
        <f>'community workers'!D25*'t_occupation age profile'!E$35</f>
        <v>9283.9834460547499</v>
      </c>
      <c r="AG25">
        <f>'community workers'!D25*'t_occupation age profile'!F$35</f>
        <v>9645.5623703703714</v>
      </c>
      <c r="AH25">
        <f>'community workers'!D25*'t_occupation age profile'!G$35</f>
        <v>14101.084088030058</v>
      </c>
      <c r="AI25">
        <f>'community workers'!D25*'t_occupation age profile'!H$35</f>
        <v>17932.240012882448</v>
      </c>
      <c r="AJ25">
        <f>'community workers'!D25*'t_occupation age profile'!I$35</f>
        <v>20765.596173913043</v>
      </c>
      <c r="AK25">
        <f>'community workers'!D25*'t_occupation age profile'!J$35</f>
        <v>14494.770430488459</v>
      </c>
      <c r="AL25">
        <f>'community workers'!D25*'t_occupation age profile'!K$35</f>
        <v>12135.616137412775</v>
      </c>
      <c r="AM25">
        <f>'community workers'!D25*'t_occupation age profile'!L$35</f>
        <v>5071.4901857219538</v>
      </c>
      <c r="AN25">
        <f>'community workers'!D25*'t_occupation age profile'!M$35</f>
        <v>2248.013230273752</v>
      </c>
      <c r="AO25">
        <f>'community workers'!D25*'t_occupation age profile'!N$35</f>
        <v>847.63583896940418</v>
      </c>
      <c r="AP25">
        <f>'community workers'!D25*'t_occupation age profile'!O$35</f>
        <v>362.5668448738594</v>
      </c>
      <c r="AQ25">
        <f>'energy, food, transport'!D25*'t_occupation age profile'!C$3</f>
        <v>1429.5045823838957</v>
      </c>
      <c r="AR25">
        <f>'energy, food, transport'!D25*'t_occupation age profile'!D$3</f>
        <v>5405.3776988010022</v>
      </c>
      <c r="AS25">
        <f>'energy, food, transport'!D25*'t_occupation age profile'!E$3</f>
        <v>5218.1726070873156</v>
      </c>
      <c r="AT25">
        <f>'energy, food, transport'!D25*'t_occupation age profile'!F$3</f>
        <v>5641.3482268511061</v>
      </c>
      <c r="AU25">
        <f>'energy, food, transport'!D25*'t_occupation age profile'!G$3</f>
        <v>7888.8930037783866</v>
      </c>
      <c r="AV25">
        <f>'energy, food, transport'!D25*'t_occupation age profile'!H$3</f>
        <v>9106.267938098872</v>
      </c>
      <c r="AW25">
        <f>'energy, food, transport'!D25*'t_occupation age profile'!I$3</f>
        <v>7356.9433690753121</v>
      </c>
      <c r="AX25">
        <f>'energy, food, transport'!D25*'t_occupation age profile'!J$3</f>
        <v>4127.5878072415135</v>
      </c>
      <c r="AY25">
        <f>'energy, food, transport'!D25*'t_occupation age profile'!K$3</f>
        <v>3142.2550741551436</v>
      </c>
      <c r="AZ25">
        <f>'energy, food, transport'!D25*'t_occupation age profile'!L$3</f>
        <v>1246.0923579408186</v>
      </c>
      <c r="BA25">
        <f>'energy, food, transport'!D25*'t_occupation age profile'!M$3</f>
        <v>493.61458336083729</v>
      </c>
      <c r="BB25">
        <f>'energy, food, transport'!D25*'t_occupation age profile'!N$3</f>
        <v>176.2328685379938</v>
      </c>
      <c r="BC25">
        <f>'energy, food, transport'!D25*'t_occupation age profile'!O$3</f>
        <v>70.709882687803798</v>
      </c>
      <c r="BD25">
        <f>'energy, food, transport'!E25*'t_occupation age profile'!C$5</f>
        <v>1076.5649829839529</v>
      </c>
      <c r="BE25">
        <f>'energy, food, transport'!E25*'t_occupation age profile'!D$5</f>
        <v>3754.2099532058705</v>
      </c>
      <c r="BF25">
        <f>'energy, food, transport'!E25*'t_occupation age profile'!E$5</f>
        <v>3544.9591526244885</v>
      </c>
      <c r="BG25">
        <f>'energy, food, transport'!E25*'t_occupation age profile'!F$5</f>
        <v>3376.9733001677973</v>
      </c>
      <c r="BH25">
        <f>'energy, food, transport'!E25*'t_occupation age profile'!G$5</f>
        <v>3942.2280622976396</v>
      </c>
      <c r="BI25">
        <f>'energy, food, transport'!E25*'t_occupation age profile'!H$5</f>
        <v>3891.4346625150665</v>
      </c>
      <c r="BJ25">
        <f>'energy, food, transport'!E25*'t_occupation age profile'!I$5</f>
        <v>2886.7457164464822</v>
      </c>
      <c r="BK25">
        <f>'energy, food, transport'!E25*'t_occupation age profile'!J$5</f>
        <v>1452.8262827027154</v>
      </c>
      <c r="BL25">
        <f>'energy, food, transport'!E25*'t_occupation age profile'!K$5</f>
        <v>962.29859026776637</v>
      </c>
      <c r="BM25">
        <f>'energy, food, transport'!E25*'t_occupation age profile'!L$5</f>
        <v>327.26855221799445</v>
      </c>
      <c r="BN25">
        <f>'energy, food, transport'!E25*'t_occupation age profile'!M$5</f>
        <v>119.36824084796633</v>
      </c>
      <c r="BO25">
        <f>'energy, food, transport'!E25*'t_occupation age profile'!N$5</f>
        <v>42.390355800817716</v>
      </c>
      <c r="BP25">
        <f>'energy, food, transport'!E25*'t_occupation age profile'!O$5</f>
        <v>19.732147921442582</v>
      </c>
      <c r="BQ25">
        <f>'energy, food, transport'!J25*'t_occupation age profile'!C$7</f>
        <v>2053.6633634254486</v>
      </c>
      <c r="BR25">
        <f>'energy, food, transport'!J25*'t_occupation age profile'!D$7</f>
        <v>9821.293259758806</v>
      </c>
      <c r="BS25">
        <f>'energy, food, transport'!J25*'t_occupation age profile'!E$7</f>
        <v>10748.257695706132</v>
      </c>
      <c r="BT25">
        <f>'energy, food, transport'!J25*'t_occupation age profile'!F$7</f>
        <v>10516.754161611756</v>
      </c>
      <c r="BU25">
        <f>'energy, food, transport'!J25*'t_occupation age profile'!G$7</f>
        <v>11622.440909712555</v>
      </c>
      <c r="BV25">
        <f>'energy, food, transport'!J25*'t_occupation age profile'!H$7</f>
        <v>10436.717820063965</v>
      </c>
      <c r="BW25">
        <f>'energy, food, transport'!J25*'t_occupation age profile'!I$7</f>
        <v>7507.8417514314433</v>
      </c>
      <c r="BX25">
        <f>'energy, food, transport'!J25*'t_occupation age profile'!J$7</f>
        <v>3628.0721757391048</v>
      </c>
      <c r="BY25">
        <f>'energy, food, transport'!J25*'t_occupation age profile'!K$7</f>
        <v>2361.9299849937611</v>
      </c>
      <c r="BZ25">
        <f>'energy, food, transport'!J25*'t_occupation age profile'!L$7</f>
        <v>870.23683107060879</v>
      </c>
      <c r="CA25">
        <f>'energy, food, transport'!J25*'t_occupation age profile'!M$7</f>
        <v>366.8948255846874</v>
      </c>
      <c r="CB25">
        <f>'energy, food, transport'!J25*'t_occupation age profile'!N$7</f>
        <v>146.38572956902541</v>
      </c>
      <c r="CC25">
        <f>'energy, food, transport'!J25*'t_occupation age profile'!O$7</f>
        <v>80.511491332707138</v>
      </c>
      <c r="CD25">
        <f>'energy, food, transport'!K25*'t_occupation age profile'!C$9</f>
        <v>883.82682145442152</v>
      </c>
      <c r="CE25">
        <f>'energy, food, transport'!K25*'t_occupation age profile'!D$9</f>
        <v>7479.6027508563666</v>
      </c>
      <c r="CF25">
        <f>'energy, food, transport'!K25*'t_occupation age profile'!E$9</f>
        <v>12042.429721507044</v>
      </c>
      <c r="CG25">
        <f>'energy, food, transport'!K25*'t_occupation age profile'!F$9</f>
        <v>14661.510916528727</v>
      </c>
      <c r="CH25">
        <f>'energy, food, transport'!K25*'t_occupation age profile'!G$9</f>
        <v>19911.875628791651</v>
      </c>
      <c r="CI25">
        <f>'energy, food, transport'!K25*'t_occupation age profile'!H$9</f>
        <v>19143.970868423017</v>
      </c>
      <c r="CJ25">
        <f>'energy, food, transport'!K25*'t_occupation age profile'!I$9</f>
        <v>15489.164978800018</v>
      </c>
      <c r="CK25">
        <f>'energy, food, transport'!K25*'t_occupation age profile'!J$9</f>
        <v>8502.0731989088508</v>
      </c>
      <c r="CL25">
        <f>'energy, food, transport'!K25*'t_occupation age profile'!K$9</f>
        <v>5069.2233427622677</v>
      </c>
      <c r="CM25">
        <f>'energy, food, transport'!K25*'t_occupation age profile'!L$9</f>
        <v>790.41594101505871</v>
      </c>
      <c r="CN25">
        <f>'energy, food, transport'!K25*'t_occupation age profile'!M$9</f>
        <v>258.98376986679193</v>
      </c>
      <c r="CO25">
        <f>'energy, food, transport'!K25*'t_occupation age profile'!N$9</f>
        <v>76.369706305154722</v>
      </c>
      <c r="CP25">
        <f>'energy, food, transport'!K25*'t_occupation age profile'!O$9</f>
        <v>39.552354780631099</v>
      </c>
      <c r="CQ25">
        <f>'energy, food, transport'!O25*'t_occupation age profile'!C$17</f>
        <v>1996.8467350230126</v>
      </c>
      <c r="CR25">
        <f>'energy, food, transport'!O25*'t_occupation age profile'!D$17</f>
        <v>14220.200359648901</v>
      </c>
      <c r="CS25">
        <f>'energy, food, transport'!O25*'t_occupation age profile'!E$17</f>
        <v>21397.424131844018</v>
      </c>
      <c r="CT25">
        <f>'energy, food, transport'!O25*'t_occupation age profile'!F$17</f>
        <v>24658.528022119666</v>
      </c>
      <c r="CU25">
        <f>'energy, food, transport'!O25*'t_occupation age profile'!G$17</f>
        <v>30599.895547772943</v>
      </c>
      <c r="CV25">
        <f>'energy, food, transport'!O25*'t_occupation age profile'!H$17</f>
        <v>28624.205245875357</v>
      </c>
      <c r="CW25">
        <f>'energy, food, transport'!O25*'t_occupation age profile'!I$17</f>
        <v>21857.800938733933</v>
      </c>
      <c r="CX25">
        <f>'energy, food, transport'!O25*'t_occupation age profile'!J$17</f>
        <v>11612.894363352279</v>
      </c>
      <c r="CY25">
        <f>'energy, food, transport'!O25*'t_occupation age profile'!K$17</f>
        <v>6295.7698357058425</v>
      </c>
      <c r="CZ25">
        <f>'energy, food, transport'!O25*'t_occupation age profile'!L$17</f>
        <v>1294.3249344521014</v>
      </c>
      <c r="DA25">
        <f>'energy, food, transport'!O25*'t_occupation age profile'!M$17</f>
        <v>390.04769434873367</v>
      </c>
      <c r="DB25">
        <f>'energy, food, transport'!O25*'t_occupation age profile'!N$17</f>
        <v>120.20700639445687</v>
      </c>
      <c r="DC25">
        <f>'energy, food, transport'!O25*'t_occupation age profile'!O$17</f>
        <v>73.85518472875431</v>
      </c>
      <c r="DD25">
        <f>'social welfare'!F25*'t_occupation age profile'!C$37</f>
        <v>49.708933717579256</v>
      </c>
      <c r="DE25">
        <f>'social welfare'!F25*'t_occupation age profile'!D$37</f>
        <v>318.70124879923151</v>
      </c>
      <c r="DF25">
        <f>'social welfare'!F25*'t_occupation age profile'!E$37</f>
        <v>483.69260326609032</v>
      </c>
      <c r="DG25">
        <f>'social welfare'!F25*'t_occupation age profile'!F$37</f>
        <v>539.39481268011525</v>
      </c>
      <c r="DH25">
        <f>'social welfare'!F25*'t_occupation age profile'!G$37</f>
        <v>771.0172910662825</v>
      </c>
      <c r="DI25">
        <f>'social welfare'!F25*'t_occupation age profile'!H$37</f>
        <v>1090.4236311239192</v>
      </c>
      <c r="DJ25">
        <f>'social welfare'!F25*'t_occupation age profile'!I$37</f>
        <v>1254.0048030739672</v>
      </c>
      <c r="DK25">
        <f>'social welfare'!F25*'t_occupation age profile'!J$37</f>
        <v>798.16330451488943</v>
      </c>
      <c r="DL25">
        <f>'social welfare'!F25*'t_occupation age profile'!K$37</f>
        <v>617.30739673390963</v>
      </c>
      <c r="DM25">
        <f>'social welfare'!F25*'t_occupation age profile'!L$37</f>
        <v>186.14409221902019</v>
      </c>
      <c r="DN25">
        <f>'social welfare'!F25*'t_occupation age profile'!M$37</f>
        <v>83.905859750240154</v>
      </c>
      <c r="DO25">
        <f>'social welfare'!F25*'t_occupation age profile'!N$37</f>
        <v>30.671469740634006</v>
      </c>
      <c r="DP25">
        <f>'social welfare'!F25*'t_occupation age profile'!O$37</f>
        <v>15.864553314121036</v>
      </c>
    </row>
    <row r="26" spans="1:120" ht="15.5" x14ac:dyDescent="0.3">
      <c r="A26" s="102">
        <v>25</v>
      </c>
      <c r="B26" s="102" t="s">
        <v>54</v>
      </c>
      <c r="C26" s="102" t="s">
        <v>350</v>
      </c>
      <c r="D26">
        <f>HCW!D26*'t_occupation age profile'!C$33</f>
        <v>3805.5305900537951</v>
      </c>
      <c r="E26">
        <f>HCW!D26*'t_occupation age profile'!D$33</f>
        <v>35534.496049742236</v>
      </c>
      <c r="F26">
        <f>HCW!D26*'t_occupation age profile'!E$33</f>
        <v>53995.061932419012</v>
      </c>
      <c r="G26">
        <f>HCW!D26*'t_occupation age profile'!F$33</f>
        <v>53111.234959065041</v>
      </c>
      <c r="H26">
        <f>HCW!D26*'t_occupation age profile'!G$33</f>
        <v>54639.536720644595</v>
      </c>
      <c r="I26">
        <f>HCW!D26*'t_occupation age profile'!H$33</f>
        <v>45319.179547093569</v>
      </c>
      <c r="J26">
        <f>HCW!D26*'t_occupation age profile'!I$33</f>
        <v>40284.748868730378</v>
      </c>
      <c r="K26">
        <f>HCW!D26*'t_occupation age profile'!J$33</f>
        <v>24883.323811528553</v>
      </c>
      <c r="L26">
        <f>HCW!D26*'t_occupation age profile'!K$33</f>
        <v>17416.043095985719</v>
      </c>
      <c r="M26">
        <f>HCW!D26*'t_occupation age profile'!L$33</f>
        <v>6108.5553254058314</v>
      </c>
      <c r="N26">
        <f>HCW!D26*'t_occupation age profile'!M$33</f>
        <v>2890.4102214710183</v>
      </c>
      <c r="O26">
        <f>HCW!D26*'t_occupation age profile'!N$33</f>
        <v>1063.5525540599283</v>
      </c>
      <c r="P26">
        <f>HCW!D26*'t_occupation age profile'!O$33</f>
        <v>464.32632380031862</v>
      </c>
      <c r="Q26">
        <f>'law enforcement'!I27*'t_occupation age profile'!C$39</f>
        <v>10187.552123085188</v>
      </c>
      <c r="R26">
        <f>'law enforcement'!I27*'t_occupation age profile'!D$39</f>
        <v>41376.975260641928</v>
      </c>
      <c r="S26">
        <f>'law enforcement'!I27*'t_occupation age profile'!E$39</f>
        <v>19864.963285934624</v>
      </c>
      <c r="T26">
        <f>'law enforcement'!I27*'t_occupation age profile'!F$39</f>
        <v>11496.561499085816</v>
      </c>
      <c r="U26">
        <f>'law enforcement'!I27*'t_occupation age profile'!G$39</f>
        <v>5700.0914718315935</v>
      </c>
      <c r="V26">
        <f>'law enforcement'!I27*'t_occupation age profile'!H$39</f>
        <v>2469.8382538292326</v>
      </c>
      <c r="W26">
        <f>'law enforcement'!I27*'t_occupation age profile'!I$39</f>
        <v>1749.1830156119033</v>
      </c>
      <c r="X26">
        <f>'law enforcement'!I27*'t_occupation age profile'!J$39</f>
        <v>637.74763717397366</v>
      </c>
      <c r="Y26">
        <f>'law enforcement'!I27*'t_occupation age profile'!K$39</f>
        <v>348.93853949709569</v>
      </c>
      <c r="Z26">
        <f>'law enforcement'!I27*'t_occupation age profile'!L$39</f>
        <v>56.618829466831038</v>
      </c>
      <c r="AA26">
        <f>'law enforcement'!I27*'t_occupation age profile'!M$39</f>
        <v>0</v>
      </c>
      <c r="AB26">
        <f>'law enforcement'!I27*'t_occupation age profile'!N$39</f>
        <v>0</v>
      </c>
      <c r="AC26">
        <f>'law enforcement'!I27*'t_occupation age profile'!O$39</f>
        <v>0</v>
      </c>
      <c r="AD26">
        <f>'community workers'!D26*'t_occupation age profile'!C$35</f>
        <v>993.64173913043476</v>
      </c>
      <c r="AE26">
        <f>'community workers'!D26*'t_occupation age profile'!D$35</f>
        <v>6589.3167922705316</v>
      </c>
      <c r="AF26">
        <f>'community workers'!D26*'t_occupation age profile'!E$35</f>
        <v>8646.0631884057966</v>
      </c>
      <c r="AG26">
        <f>'community workers'!D26*'t_occupation age profile'!F$35</f>
        <v>8982.7973333333339</v>
      </c>
      <c r="AH26">
        <f>'community workers'!D26*'t_occupation age profile'!G$35</f>
        <v>13132.171632850241</v>
      </c>
      <c r="AI26">
        <f>'community workers'!D26*'t_occupation age profile'!H$35</f>
        <v>16700.081507246377</v>
      </c>
      <c r="AJ26">
        <f>'community workers'!D26*'t_occupation age profile'!I$35</f>
        <v>19338.752347826088</v>
      </c>
      <c r="AK26">
        <f>'community workers'!D26*'t_occupation age profile'!J$35</f>
        <v>13498.807033816425</v>
      </c>
      <c r="AL26">
        <f>'community workers'!D26*'t_occupation age profile'!K$35</f>
        <v>11301.754743961354</v>
      </c>
      <c r="AM26">
        <f>'community workers'!D26*'t_occupation age profile'!L$35</f>
        <v>4723.0183961352659</v>
      </c>
      <c r="AN26">
        <f>'community workers'!D26*'t_occupation age profile'!M$35</f>
        <v>2093.5479420289853</v>
      </c>
      <c r="AO26">
        <f>'community workers'!D26*'t_occupation age profile'!N$35</f>
        <v>789.39315942028986</v>
      </c>
      <c r="AP26">
        <f>'community workers'!D26*'t_occupation age profile'!O$35</f>
        <v>337.65418357487926</v>
      </c>
      <c r="AQ26">
        <f>'energy, food, transport'!D26*'t_occupation age profile'!C$3</f>
        <v>2926.8300359356062</v>
      </c>
      <c r="AR26">
        <f>'energy, food, transport'!D26*'t_occupation age profile'!D$3</f>
        <v>11067.206079216756</v>
      </c>
      <c r="AS26">
        <f>'energy, food, transport'!D26*'t_occupation age profile'!E$3</f>
        <v>10683.914208690556</v>
      </c>
      <c r="AT26">
        <f>'energy, food, transport'!D26*'t_occupation age profile'!F$3</f>
        <v>11550.342431211435</v>
      </c>
      <c r="AU26">
        <f>'energy, food, transport'!D26*'t_occupation age profile'!G$3</f>
        <v>16152.06364378071</v>
      </c>
      <c r="AV26">
        <f>'energy, food, transport'!D26*'t_occupation age profile'!H$3</f>
        <v>18644.570185328452</v>
      </c>
      <c r="AW26">
        <f>'energy, food, transport'!D26*'t_occupation age profile'!I$3</f>
        <v>15062.926758428763</v>
      </c>
      <c r="AX26">
        <f>'energy, food, transport'!D26*'t_occupation age profile'!J$3</f>
        <v>8451.0033189608512</v>
      </c>
      <c r="AY26">
        <f>'energy, food, transport'!D26*'t_occupation age profile'!K$3</f>
        <v>6433.5901017339393</v>
      </c>
      <c r="AZ26">
        <f>'energy, food, transport'!D26*'t_occupation age profile'!L$3</f>
        <v>2551.3038473013971</v>
      </c>
      <c r="BA26">
        <f>'energy, food, transport'!D26*'t_occupation age profile'!M$3</f>
        <v>1010.648029086454</v>
      </c>
      <c r="BB26">
        <f>'energy, food, transport'!D26*'t_occupation age profile'!N$3</f>
        <v>360.82686219579494</v>
      </c>
      <c r="BC26">
        <f>'energy, food, transport'!D26*'t_occupation age profile'!O$3</f>
        <v>144.77449812928896</v>
      </c>
      <c r="BD26">
        <f>'energy, food, transport'!E26*'t_occupation age profile'!C$5</f>
        <v>1944.02278555054</v>
      </c>
      <c r="BE26">
        <f>'energy, food, transport'!E26*'t_occupation age profile'!D$5</f>
        <v>6779.2189102639859</v>
      </c>
      <c r="BF26">
        <f>'energy, food, transport'!E26*'t_occupation age profile'!E$5</f>
        <v>6401.3612512702948</v>
      </c>
      <c r="BG26">
        <f>'energy, food, transport'!E26*'t_occupation age profile'!F$5</f>
        <v>6098.0183690591548</v>
      </c>
      <c r="BH26">
        <f>'energy, food, transport'!E26*'t_occupation age profile'!G$5</f>
        <v>7118.7353295677458</v>
      </c>
      <c r="BI26">
        <f>'energy, food, transport'!E26*'t_occupation age profile'!H$5</f>
        <v>7027.0144134190441</v>
      </c>
      <c r="BJ26">
        <f>'energy, food, transport'!E26*'t_occupation age profile'!I$5</f>
        <v>5212.7828208824712</v>
      </c>
      <c r="BK26">
        <f>'energy, food, transport'!E26*'t_occupation age profile'!J$5</f>
        <v>2623.4620683950557</v>
      </c>
      <c r="BL26">
        <f>'energy, food, transport'!E26*'t_occupation age profile'!K$5</f>
        <v>1737.684594569045</v>
      </c>
      <c r="BM26">
        <f>'energy, food, transport'!E26*'t_occupation age profile'!L$5</f>
        <v>590.96992059178024</v>
      </c>
      <c r="BN26">
        <f>'energy, food, transport'!E26*'t_occupation age profile'!M$5</f>
        <v>215.55092702006473</v>
      </c>
      <c r="BO26">
        <f>'energy, food, transport'!E26*'t_occupation age profile'!N$5</f>
        <v>76.546997967527716</v>
      </c>
      <c r="BP26">
        <f>'energy, food, transport'!E26*'t_occupation age profile'!O$5</f>
        <v>35.631611443291661</v>
      </c>
      <c r="BQ26">
        <f>'energy, food, transport'!J26*'t_occupation age profile'!C$7</f>
        <v>2778.5528774750092</v>
      </c>
      <c r="BR26">
        <f>'energy, food, transport'!J26*'t_occupation age profile'!D$7</f>
        <v>13287.953193025533</v>
      </c>
      <c r="BS26">
        <f>'energy, food, transport'!J26*'t_occupation age profile'!E$7</f>
        <v>14542.1118573367</v>
      </c>
      <c r="BT26">
        <f>'energy, food, transport'!J26*'t_occupation age profile'!F$7</f>
        <v>14228.89362388161</v>
      </c>
      <c r="BU26">
        <f>'energy, food, transport'!J26*'t_occupation age profile'!G$7</f>
        <v>15724.858907304259</v>
      </c>
      <c r="BV26">
        <f>'energy, food, transport'!J26*'t_occupation age profile'!H$7</f>
        <v>14120.606544766919</v>
      </c>
      <c r="BW26">
        <f>'energy, food, transport'!J26*'t_occupation age profile'!I$7</f>
        <v>10157.913742625977</v>
      </c>
      <c r="BX26">
        <f>'energy, food, transport'!J26*'t_occupation age profile'!J$7</f>
        <v>4908.6868681206115</v>
      </c>
      <c r="BY26">
        <f>'energy, food, transport'!J26*'t_occupation age profile'!K$7</f>
        <v>3195.6295627986738</v>
      </c>
      <c r="BZ26">
        <f>'energy, food, transport'!J26*'t_occupation age profile'!L$7</f>
        <v>1177.4076969571215</v>
      </c>
      <c r="CA26">
        <f>'energy, food, transport'!J26*'t_occupation age profile'!M$7</f>
        <v>496.39911365932693</v>
      </c>
      <c r="CB26">
        <f>'energy, food, transport'!J26*'t_occupation age profile'!N$7</f>
        <v>198.05606768816446</v>
      </c>
      <c r="CC26">
        <f>'energy, food, transport'!J26*'t_occupation age profile'!O$7</f>
        <v>108.92994436009404</v>
      </c>
      <c r="CD26">
        <f>'energy, food, transport'!K26*'t_occupation age profile'!C$9</f>
        <v>1054.6141220304401</v>
      </c>
      <c r="CE26">
        <f>'energy, food, transport'!K26*'t_occupation age profile'!D$9</f>
        <v>8924.9324604680332</v>
      </c>
      <c r="CF26">
        <f>'energy, food, transport'!K26*'t_occupation age profile'!E$9</f>
        <v>14369.46259105508</v>
      </c>
      <c r="CG26">
        <f>'energy, food, transport'!K26*'t_occupation age profile'!F$9</f>
        <v>17494.644977429027</v>
      </c>
      <c r="CH26">
        <f>'energy, food, transport'!K26*'t_occupation age profile'!G$9</f>
        <v>23759.570002278266</v>
      </c>
      <c r="CI26">
        <f>'energy, food, transport'!K26*'t_occupation age profile'!H$9</f>
        <v>22843.27827521064</v>
      </c>
      <c r="CJ26">
        <f>'energy, food, transport'!K26*'t_occupation age profile'!I$9</f>
        <v>18482.231732027394</v>
      </c>
      <c r="CK26">
        <f>'energy, food, transport'!K26*'t_occupation age profile'!J$9</f>
        <v>10144.981171029314</v>
      </c>
      <c r="CL26">
        <f>'energy, food, transport'!K26*'t_occupation age profile'!K$9</f>
        <v>6048.7805927930149</v>
      </c>
      <c r="CM26">
        <f>'energy, food, transport'!K26*'t_occupation age profile'!L$9</f>
        <v>943.15288180632308</v>
      </c>
      <c r="CN26">
        <f>'energy, food, transport'!K26*'t_occupation age profile'!M$9</f>
        <v>309.02879890965767</v>
      </c>
      <c r="CO26">
        <f>'energy, food, transport'!K26*'t_occupation age profile'!N$9</f>
        <v>91.127095048095626</v>
      </c>
      <c r="CP26">
        <f>'energy, food, transport'!K26*'t_occupation age profile'!O$9</f>
        <v>47.195299914716195</v>
      </c>
      <c r="CQ26">
        <f>'energy, food, transport'!O26*'t_occupation age profile'!C$17</f>
        <v>2913.1524090817638</v>
      </c>
      <c r="CR26">
        <f>'energy, food, transport'!O26*'t_occupation age profile'!D$17</f>
        <v>20745.513518271673</v>
      </c>
      <c r="CS26">
        <f>'energy, food, transport'!O26*'t_occupation age profile'!E$17</f>
        <v>31216.195296584592</v>
      </c>
      <c r="CT26">
        <f>'energy, food, transport'!O26*'t_occupation age profile'!F$17</f>
        <v>35973.742527225171</v>
      </c>
      <c r="CU26">
        <f>'energy, food, transport'!O26*'t_occupation age profile'!G$17</f>
        <v>44641.462897059937</v>
      </c>
      <c r="CV26">
        <f>'energy, food, transport'!O26*'t_occupation age profile'!H$17</f>
        <v>41759.175107203038</v>
      </c>
      <c r="CW26">
        <f>'energy, food, transport'!O26*'t_occupation age profile'!I$17</f>
        <v>31887.828116747565</v>
      </c>
      <c r="CX26">
        <f>'energy, food, transport'!O26*'t_occupation age profile'!J$17</f>
        <v>16941.776550828701</v>
      </c>
      <c r="CY26">
        <f>'energy, food, transport'!O26*'t_occupation age profile'!K$17</f>
        <v>9184.7495064258947</v>
      </c>
      <c r="CZ26">
        <f>'energy, food, transport'!O26*'t_occupation age profile'!L$17</f>
        <v>1888.259992517794</v>
      </c>
      <c r="DA26">
        <f>'energy, food, transport'!O26*'t_occupation age profile'!M$17</f>
        <v>569.03134352757729</v>
      </c>
      <c r="DB26">
        <f>'energy, food, transport'!O26*'t_occupation age profile'!N$17</f>
        <v>175.36715468675334</v>
      </c>
      <c r="DC26">
        <f>'energy, food, transport'!O26*'t_occupation age profile'!O$17</f>
        <v>107.74557983954126</v>
      </c>
      <c r="DD26">
        <f>'social welfare'!F26*'t_occupation age profile'!C$37</f>
        <v>39.749618579420243</v>
      </c>
      <c r="DE26">
        <f>'social welfare'!F26*'t_occupation age profile'!D$37</f>
        <v>254.84861840989998</v>
      </c>
      <c r="DF26">
        <f>'social welfare'!F26*'t_occupation age profile'!E$37</f>
        <v>386.78352263095439</v>
      </c>
      <c r="DG26">
        <f>'social welfare'!F26*'t_occupation age profile'!F$37</f>
        <v>431.32564841498561</v>
      </c>
      <c r="DH26">
        <f>'social welfare'!F26*'t_occupation age profile'!G$37</f>
        <v>616.5419562637735</v>
      </c>
      <c r="DI26">
        <f>'social welfare'!F26*'t_occupation age profile'!H$37</f>
        <v>871.95439905068656</v>
      </c>
      <c r="DJ26">
        <f>'social welfare'!F26*'t_occupation age profile'!I$37</f>
        <v>1002.7616545177149</v>
      </c>
      <c r="DK26">
        <f>'social welfare'!F26*'t_occupation age profile'!J$37</f>
        <v>638.24919477877597</v>
      </c>
      <c r="DL26">
        <f>'social welfare'!F26*'t_occupation age profile'!K$37</f>
        <v>493.62824207492793</v>
      </c>
      <c r="DM26">
        <f>'social welfare'!F26*'t_occupation age profile'!L$37</f>
        <v>148.84963553144601</v>
      </c>
      <c r="DN26">
        <f>'social welfare'!F26*'t_occupation age profile'!M$37</f>
        <v>67.095100864553316</v>
      </c>
      <c r="DO26">
        <f>'social welfare'!F26*'t_occupation age profile'!N$37</f>
        <v>24.526360400067809</v>
      </c>
      <c r="DP26">
        <f>'social welfare'!F26*'t_occupation age profile'!O$37</f>
        <v>12.686048482793693</v>
      </c>
    </row>
    <row r="27" spans="1:120" ht="15.5" x14ac:dyDescent="0.3">
      <c r="A27" s="102">
        <v>26</v>
      </c>
      <c r="B27" s="102" t="s">
        <v>55</v>
      </c>
      <c r="C27" s="102" t="s">
        <v>56</v>
      </c>
      <c r="D27">
        <f>HCW!D27*'t_occupation age profile'!C$33</f>
        <v>197.82222158560842</v>
      </c>
      <c r="E27">
        <f>HCW!D27*'t_occupation age profile'!D$33</f>
        <v>1847.183404557961</v>
      </c>
      <c r="F27">
        <f>HCW!D27*'t_occupation age profile'!E$33</f>
        <v>2806.815726049032</v>
      </c>
      <c r="G27">
        <f>HCW!D27*'t_occupation age profile'!F$33</f>
        <v>2760.8719052785109</v>
      </c>
      <c r="H27">
        <f>HCW!D27*'t_occupation age profile'!G$33</f>
        <v>2840.3173446395945</v>
      </c>
      <c r="I27">
        <f>HCW!D27*'t_occupation age profile'!H$33</f>
        <v>2355.8188710595509</v>
      </c>
      <c r="J27">
        <f>HCW!D27*'t_occupation age profile'!I$33</f>
        <v>2094.1149541824902</v>
      </c>
      <c r="K27">
        <f>HCW!D27*'t_occupation age profile'!J$33</f>
        <v>1293.5054075497692</v>
      </c>
      <c r="L27">
        <f>HCW!D27*'t_occupation age profile'!K$33</f>
        <v>905.33507876227327</v>
      </c>
      <c r="M27">
        <f>HCW!D27*'t_occupation age profile'!L$33</f>
        <v>317.53994786133057</v>
      </c>
      <c r="N27">
        <f>HCW!D27*'t_occupation age profile'!M$33</f>
        <v>150.25168180215954</v>
      </c>
      <c r="O27">
        <f>HCW!D27*'t_occupation age profile'!N$33</f>
        <v>55.286463750172814</v>
      </c>
      <c r="P27">
        <f>HCW!D27*'t_occupation age profile'!O$33</f>
        <v>24.136992921546625</v>
      </c>
      <c r="Q27">
        <f>'law enforcement'!I28*'t_occupation age profile'!C$39</f>
        <v>1254.8323688952321</v>
      </c>
      <c r="R27">
        <f>'law enforcement'!I28*'t_occupation age profile'!D$39</f>
        <v>5096.5302809471141</v>
      </c>
      <c r="S27">
        <f>'law enforcement'!I28*'t_occupation age profile'!E$39</f>
        <v>2446.8290946576508</v>
      </c>
      <c r="T27">
        <f>'law enforcement'!I28*'t_occupation age profile'!F$39</f>
        <v>1416.0671107004596</v>
      </c>
      <c r="U27">
        <f>'law enforcement'!I28*'t_occupation age profile'!G$39</f>
        <v>702.09793266332213</v>
      </c>
      <c r="V27">
        <f>'law enforcement'!I28*'t_occupation age profile'!H$39</f>
        <v>304.21763240039559</v>
      </c>
      <c r="W27">
        <f>'law enforcement'!I28*'t_occupation age profile'!I$39</f>
        <v>215.45229320965475</v>
      </c>
      <c r="X27">
        <f>'law enforcement'!I28*'t_occupation age profile'!J$39</f>
        <v>78.553353017839825</v>
      </c>
      <c r="Y27">
        <f>'law enforcement'!I28*'t_occupation age profile'!K$39</f>
        <v>42.979841361869987</v>
      </c>
      <c r="Z27">
        <f>'law enforcement'!I28*'t_occupation age profile'!L$39</f>
        <v>6.9739167020254644</v>
      </c>
      <c r="AA27">
        <f>'law enforcement'!I28*'t_occupation age profile'!M$39</f>
        <v>0</v>
      </c>
      <c r="AB27">
        <f>'law enforcement'!I28*'t_occupation age profile'!N$39</f>
        <v>0</v>
      </c>
      <c r="AC27">
        <f>'law enforcement'!I28*'t_occupation age profile'!O$39</f>
        <v>0</v>
      </c>
      <c r="AD27">
        <f>'community workers'!D27*'t_occupation age profile'!C$35</f>
        <v>361.23826086956518</v>
      </c>
      <c r="AE27">
        <f>'community workers'!D27*'t_occupation age profile'!D$35</f>
        <v>2395.5448373590984</v>
      </c>
      <c r="AF27">
        <f>'community workers'!D27*'t_occupation age profile'!E$35</f>
        <v>3143.2745893719803</v>
      </c>
      <c r="AG27">
        <f>'community workers'!D27*'t_occupation age profile'!F$35</f>
        <v>3265.6942222222224</v>
      </c>
      <c r="AH27">
        <f>'community workers'!D27*'t_occupation age profile'!G$35</f>
        <v>4774.1984412238326</v>
      </c>
      <c r="AI27">
        <f>'community workers'!D27*'t_occupation age profile'!H$35</f>
        <v>6071.3113816425121</v>
      </c>
      <c r="AJ27">
        <f>'community workers'!D27*'t_occupation age profile'!I$35</f>
        <v>7030.5996521739135</v>
      </c>
      <c r="AK27">
        <f>'community workers'!D27*'t_occupation age profile'!J$35</f>
        <v>4907.4886698872788</v>
      </c>
      <c r="AL27">
        <f>'community workers'!D27*'t_occupation age profile'!K$35</f>
        <v>4108.7507375201285</v>
      </c>
      <c r="AM27">
        <f>'community workers'!D27*'t_occupation age profile'!L$35</f>
        <v>1717.0524186795492</v>
      </c>
      <c r="AN27">
        <f>'community workers'!D27*'t_occupation age profile'!M$35</f>
        <v>761.10894685990331</v>
      </c>
      <c r="AO27">
        <f>'community workers'!D27*'t_occupation age profile'!N$35</f>
        <v>286.98372946859899</v>
      </c>
      <c r="AP27">
        <f>'community workers'!D27*'t_occupation age profile'!O$35</f>
        <v>122.75411272141707</v>
      </c>
      <c r="AQ27">
        <f>'energy, food, transport'!D27*'t_occupation age profile'!C$3</f>
        <v>169.2456743933061</v>
      </c>
      <c r="AR27">
        <f>'energy, food, transport'!D27*'t_occupation age profile'!D$3</f>
        <v>639.9677239638479</v>
      </c>
      <c r="AS27">
        <f>'energy, food, transport'!D27*'t_occupation age profile'!E$3</f>
        <v>617.80364531213286</v>
      </c>
      <c r="AT27">
        <f>'energy, food, transport'!D27*'t_occupation age profile'!F$3</f>
        <v>667.90536868981576</v>
      </c>
      <c r="AU27">
        <f>'energy, food, transport'!D27*'t_occupation age profile'!G$3</f>
        <v>934.00261397871316</v>
      </c>
      <c r="AV27">
        <f>'energy, food, transport'!D27*'t_occupation age profile'!H$3</f>
        <v>1078.1332759490197</v>
      </c>
      <c r="AW27">
        <f>'energy, food, transport'!D27*'t_occupation age profile'!I$3</f>
        <v>871.02263071873858</v>
      </c>
      <c r="AX27">
        <f>'energy, food, transport'!D27*'t_occupation age profile'!J$3</f>
        <v>488.68425513488393</v>
      </c>
      <c r="AY27">
        <f>'energy, food, transport'!D27*'t_occupation age profile'!K$3</f>
        <v>372.02614506789746</v>
      </c>
      <c r="AZ27">
        <f>'energy, food, transport'!D27*'t_occupation age profile'!L$3</f>
        <v>147.5306508806996</v>
      </c>
      <c r="BA27">
        <f>'energy, food, transport'!D27*'t_occupation age profile'!M$3</f>
        <v>58.441318818270389</v>
      </c>
      <c r="BB27">
        <f>'energy, food, transport'!D27*'t_occupation age profile'!N$3</f>
        <v>20.865026285008174</v>
      </c>
      <c r="BC27">
        <f>'energy, food, transport'!D27*'t_occupation age profile'!O$3</f>
        <v>8.3716708076666144</v>
      </c>
      <c r="BD27">
        <f>'energy, food, transport'!E27*'t_occupation age profile'!C$5</f>
        <v>112.07771843168766</v>
      </c>
      <c r="BE27">
        <f>'energy, food, transport'!E27*'t_occupation age profile'!D$5</f>
        <v>390.83872568714111</v>
      </c>
      <c r="BF27">
        <f>'energy, food, transport'!E27*'t_occupation age profile'!E$5</f>
        <v>369.05429773355701</v>
      </c>
      <c r="BG27">
        <f>'energy, food, transport'!E27*'t_occupation age profile'!F$5</f>
        <v>351.56583083213201</v>
      </c>
      <c r="BH27">
        <f>'energy, food, transport'!E27*'t_occupation age profile'!G$5</f>
        <v>410.41268640843242</v>
      </c>
      <c r="BI27">
        <f>'energy, food, transport'!E27*'t_occupation age profile'!H$5</f>
        <v>405.12474889513862</v>
      </c>
      <c r="BJ27">
        <f>'energy, food, transport'!E27*'t_occupation age profile'!I$5</f>
        <v>300.52981353248413</v>
      </c>
      <c r="BK27">
        <f>'energy, food, transport'!E27*'t_occupation age profile'!J$5</f>
        <v>151.24907238910026</v>
      </c>
      <c r="BL27">
        <f>'energy, food, transport'!E27*'t_occupation age profile'!K$5</f>
        <v>100.18181173634579</v>
      </c>
      <c r="BM27">
        <f>'energy, food, transport'!E27*'t_occupation age profile'!L$5</f>
        <v>34.070876562758485</v>
      </c>
      <c r="BN27">
        <f>'energy, food, transport'!E27*'t_occupation age profile'!M$5</f>
        <v>12.427043698154231</v>
      </c>
      <c r="BO27">
        <f>'energy, food, transport'!E27*'t_occupation age profile'!N$5</f>
        <v>4.4131236263086997</v>
      </c>
      <c r="BP27">
        <f>'energy, food, transport'!E27*'t_occupation age profile'!O$5</f>
        <v>2.0542504667596249</v>
      </c>
      <c r="BQ27">
        <f>'energy, food, transport'!J27*'t_occupation age profile'!C$7</f>
        <v>325.34411260492095</v>
      </c>
      <c r="BR27">
        <f>'energy, food, transport'!J27*'t_occupation age profile'!D$7</f>
        <v>1555.9024897338852</v>
      </c>
      <c r="BS27">
        <f>'energy, food, transport'!J27*'t_occupation age profile'!E$7</f>
        <v>1702.7534426215939</v>
      </c>
      <c r="BT27">
        <f>'energy, food, transport'!J27*'t_occupation age profile'!F$7</f>
        <v>1666.0783413337135</v>
      </c>
      <c r="BU27">
        <f>'energy, food, transport'!J27*'t_occupation age profile'!G$7</f>
        <v>1841.2427233285596</v>
      </c>
      <c r="BV27">
        <f>'energy, food, transport'!J27*'t_occupation age profile'!H$7</f>
        <v>1653.3988764414839</v>
      </c>
      <c r="BW27">
        <f>'energy, food, transport'!J27*'t_occupation age profile'!I$7</f>
        <v>1189.402389748728</v>
      </c>
      <c r="BX27">
        <f>'energy, food, transport'!J27*'t_occupation age profile'!J$7</f>
        <v>574.76407453343234</v>
      </c>
      <c r="BY27">
        <f>'energy, food, transport'!J27*'t_occupation age profile'!K$7</f>
        <v>374.18012547149635</v>
      </c>
      <c r="BZ27">
        <f>'energy, food, transport'!J27*'t_occupation age profile'!L$7</f>
        <v>137.86408941363175</v>
      </c>
      <c r="CA27">
        <f>'energy, food, transport'!J27*'t_occupation age profile'!M$7</f>
        <v>58.12397181302719</v>
      </c>
      <c r="CB27">
        <f>'energy, food, transport'!J27*'t_occupation age profile'!N$7</f>
        <v>23.190624195204137</v>
      </c>
      <c r="CC27">
        <f>'energy, food, transport'!J27*'t_occupation age profile'!O$7</f>
        <v>12.754738760323255</v>
      </c>
      <c r="CD27">
        <f>'energy, food, transport'!K27*'t_occupation age profile'!C$9</f>
        <v>85.944194551917263</v>
      </c>
      <c r="CE27">
        <f>'energy, food, transport'!K27*'t_occupation age profile'!D$9</f>
        <v>727.32397160432345</v>
      </c>
      <c r="CF27">
        <f>'energy, food, transport'!K27*'t_occupation age profile'!E$9</f>
        <v>1171.0177805645667</v>
      </c>
      <c r="CG27">
        <f>'energy, food, transport'!K27*'t_occupation age profile'!F$9</f>
        <v>1425.6998272146068</v>
      </c>
      <c r="CH27">
        <f>'energy, food, transport'!K27*'t_occupation age profile'!G$9</f>
        <v>1936.2504863999548</v>
      </c>
      <c r="CI27">
        <f>'energy, food, transport'!K27*'t_occupation age profile'!H$9</f>
        <v>1861.5786677580843</v>
      </c>
      <c r="CJ27">
        <f>'energy, food, transport'!K27*'t_occupation age profile'!I$9</f>
        <v>1506.1817270877898</v>
      </c>
      <c r="CK27">
        <f>'energy, food, transport'!K27*'t_occupation age profile'!J$9</f>
        <v>826.75000957678674</v>
      </c>
      <c r="CL27">
        <f>'energy, food, transport'!K27*'t_occupation age profile'!K$9</f>
        <v>492.93629319886855</v>
      </c>
      <c r="CM27">
        <f>'energy, food, transport'!K27*'t_occupation age profile'!L$9</f>
        <v>76.860828119865076</v>
      </c>
      <c r="CN27">
        <f>'energy, food, transport'!K27*'t_occupation age profile'!M$9</f>
        <v>25.183838013189757</v>
      </c>
      <c r="CO27">
        <f>'energy, food, transport'!K27*'t_occupation age profile'!N$9</f>
        <v>7.4262657991778074</v>
      </c>
      <c r="CP27">
        <f>'energy, food, transport'!K27*'t_occupation age profile'!O$9</f>
        <v>3.8461101108689473</v>
      </c>
      <c r="CQ27">
        <f>'energy, food, transport'!O27*'t_occupation age profile'!C$17</f>
        <v>308.8379253539901</v>
      </c>
      <c r="CR27">
        <f>'energy, food, transport'!O27*'t_occupation age profile'!D$17</f>
        <v>2199.3361333970474</v>
      </c>
      <c r="CS27">
        <f>'energy, food, transport'!O27*'t_occupation age profile'!E$17</f>
        <v>3309.3857234475995</v>
      </c>
      <c r="CT27">
        <f>'energy, food, transport'!O27*'t_occupation age profile'!F$17</f>
        <v>3813.7572118407488</v>
      </c>
      <c r="CU27">
        <f>'energy, food, transport'!O27*'t_occupation age profile'!G$17</f>
        <v>4732.6658031739644</v>
      </c>
      <c r="CV27">
        <f>'energy, food, transport'!O27*'t_occupation age profile'!H$17</f>
        <v>4427.099991197405</v>
      </c>
      <c r="CW27">
        <f>'energy, food, transport'!O27*'t_occupation age profile'!I$17</f>
        <v>3380.5888936394958</v>
      </c>
      <c r="CX27">
        <f>'energy, food, transport'!O27*'t_occupation age profile'!J$17</f>
        <v>1796.0828638615728</v>
      </c>
      <c r="CY27">
        <f>'energy, food, transport'!O27*'t_occupation age profile'!K$17</f>
        <v>973.72144815271247</v>
      </c>
      <c r="CZ27">
        <f>'energy, food, transport'!O27*'t_occupation age profile'!L$17</f>
        <v>200.18393023314303</v>
      </c>
      <c r="DA27">
        <f>'energy, food, transport'!O27*'t_occupation age profile'!M$17</f>
        <v>60.325872085712128</v>
      </c>
      <c r="DB27">
        <f>'energy, food, transport'!O27*'t_occupation age profile'!N$17</f>
        <v>18.591553280853095</v>
      </c>
      <c r="DC27">
        <f>'energy, food, transport'!O27*'t_occupation age profile'!O$17</f>
        <v>11.422650335756142</v>
      </c>
      <c r="DD27">
        <f>'social welfare'!F27*'t_occupation age profile'!C$37</f>
        <v>0.65333107306323113</v>
      </c>
      <c r="DE27">
        <f>'social welfare'!F27*'t_occupation age profile'!D$37</f>
        <v>4.1887325535401478</v>
      </c>
      <c r="DF27">
        <f>'social welfare'!F27*'t_occupation age profile'!E$37</f>
        <v>6.3572356896649147</v>
      </c>
      <c r="DG27">
        <f>'social welfare'!F27*'t_occupation age profile'!F$37</f>
        <v>7.0893371757925072</v>
      </c>
      <c r="DH27">
        <f>'social welfare'!F27*'t_occupation age profile'!G$37</f>
        <v>10.133581963044584</v>
      </c>
      <c r="DI27">
        <f>'social welfare'!F27*'t_occupation age profile'!H$37</f>
        <v>14.331581624004068</v>
      </c>
      <c r="DJ27">
        <f>'social welfare'!F27*'t_occupation age profile'!I$37</f>
        <v>16.481550545290162</v>
      </c>
      <c r="DK27">
        <f>'social welfare'!F27*'t_occupation age profile'!J$37</f>
        <v>10.490365598689042</v>
      </c>
      <c r="DL27">
        <f>'social welfare'!F27*'t_occupation age profile'!K$37</f>
        <v>8.113352545629203</v>
      </c>
      <c r="DM27">
        <f>'social welfare'!F27*'t_occupation age profile'!L$37</f>
        <v>2.4465163587048653</v>
      </c>
      <c r="DN27">
        <f>'social welfare'!F27*'t_occupation age profile'!M$37</f>
        <v>1.1027857829010566</v>
      </c>
      <c r="DO27">
        <f>'social welfare'!F27*'t_occupation age profile'!N$37</f>
        <v>0.40311917274114256</v>
      </c>
      <c r="DP27">
        <f>'social welfare'!F27*'t_occupation age profile'!O$37</f>
        <v>0.20850991693507373</v>
      </c>
    </row>
    <row r="28" spans="1:120" ht="15.5" x14ac:dyDescent="0.3">
      <c r="A28" s="102">
        <v>27</v>
      </c>
      <c r="B28" s="102" t="s">
        <v>57</v>
      </c>
      <c r="C28" s="102" t="s">
        <v>58</v>
      </c>
      <c r="D28">
        <f>HCW!D28*'t_occupation age profile'!C$33</f>
        <v>3849.4462489677512</v>
      </c>
      <c r="E28">
        <f>HCW!D28*'t_occupation age profile'!D$33</f>
        <v>35944.562601901453</v>
      </c>
      <c r="F28">
        <f>HCW!D28*'t_occupation age profile'!E$33</f>
        <v>54618.162618840914</v>
      </c>
      <c r="G28">
        <f>HCW!D28*'t_occupation age profile'!F$33</f>
        <v>53724.13632032524</v>
      </c>
      <c r="H28">
        <f>HCW!D28*'t_occupation age profile'!G$33</f>
        <v>55270.074618332736</v>
      </c>
      <c r="I28">
        <f>HCW!D28*'t_occupation age profile'!H$33</f>
        <v>45842.160924894655</v>
      </c>
      <c r="J28">
        <f>HCW!D28*'t_occupation age profile'!I$33</f>
        <v>40749.633133588839</v>
      </c>
      <c r="K28">
        <f>HCW!D28*'t_occupation age profile'!J$33</f>
        <v>25170.476295339533</v>
      </c>
      <c r="L28">
        <f>HCW!D28*'t_occupation age profile'!K$33</f>
        <v>17617.023482330023</v>
      </c>
      <c r="M28">
        <f>HCW!D28*'t_occupation age profile'!L$33</f>
        <v>6179.0477904588479</v>
      </c>
      <c r="N28">
        <f>HCW!D28*'t_occupation age profile'!M$33</f>
        <v>2923.7654307917082</v>
      </c>
      <c r="O28">
        <f>HCW!D28*'t_occupation age profile'!N$33</f>
        <v>1075.8259046731741</v>
      </c>
      <c r="P28">
        <f>HCW!D28*'t_occupation age profile'!O$33</f>
        <v>469.6846295551274</v>
      </c>
      <c r="Q28">
        <f>'law enforcement'!I29*'t_occupation age profile'!C$39</f>
        <v>8224.1800902157902</v>
      </c>
      <c r="R28">
        <f>'law enforcement'!I29*'t_occupation age profile'!D$39</f>
        <v>33402.694977217849</v>
      </c>
      <c r="S28">
        <f>'law enforcement'!I29*'t_occupation age profile'!E$39</f>
        <v>16036.534937460074</v>
      </c>
      <c r="T28">
        <f>'law enforcement'!I29*'t_occupation age profile'!F$39</f>
        <v>9280.9137115943013</v>
      </c>
      <c r="U28">
        <f>'law enforcement'!I29*'t_occupation age profile'!G$39</f>
        <v>4601.5547433439333</v>
      </c>
      <c r="V28">
        <f>'law enforcement'!I29*'t_occupation age profile'!H$39</f>
        <v>1993.8444827356939</v>
      </c>
      <c r="W28">
        <f>'law enforcement'!I29*'t_occupation age profile'!I$39</f>
        <v>1412.0758311057859</v>
      </c>
      <c r="X28">
        <f>'law enforcement'!I29*'t_occupation age profile'!J$39</f>
        <v>514.83922308904778</v>
      </c>
      <c r="Y28">
        <f>'law enforcement'!I29*'t_occupation age profile'!K$39</f>
        <v>281.69017979678551</v>
      </c>
      <c r="Z28">
        <f>'law enforcement'!I29*'t_occupation age profile'!L$39</f>
        <v>45.707098663797552</v>
      </c>
      <c r="AA28">
        <f>'law enforcement'!I29*'t_occupation age profile'!M$39</f>
        <v>0</v>
      </c>
      <c r="AB28">
        <f>'law enforcement'!I29*'t_occupation age profile'!N$39</f>
        <v>0</v>
      </c>
      <c r="AC28">
        <f>'law enforcement'!I29*'t_occupation age profile'!O$39</f>
        <v>0</v>
      </c>
      <c r="AD28">
        <f>'community workers'!D28*'t_occupation age profile'!C$35</f>
        <v>1375.5733333333333</v>
      </c>
      <c r="AE28">
        <f>'community workers'!D28*'t_occupation age profile'!D$35</f>
        <v>9122.0890864197536</v>
      </c>
      <c r="AF28">
        <f>'community workers'!D28*'t_occupation age profile'!E$35</f>
        <v>11969.398518518517</v>
      </c>
      <c r="AG28">
        <f>'community workers'!D28*'t_occupation age profile'!F$35</f>
        <v>12435.565037037039</v>
      </c>
      <c r="AH28">
        <f>'community workers'!D28*'t_occupation age profile'!G$35</f>
        <v>18179.857382716051</v>
      </c>
      <c r="AI28">
        <f>'community workers'!D28*'t_occupation age profile'!H$35</f>
        <v>23119.184592592592</v>
      </c>
      <c r="AJ28">
        <f>'community workers'!D28*'t_occupation age profile'!I$35</f>
        <v>26772.096000000001</v>
      </c>
      <c r="AK28">
        <f>'community workers'!D28*'t_occupation age profile'!J$35</f>
        <v>18687.418469135802</v>
      </c>
      <c r="AL28">
        <f>'community workers'!D28*'t_occupation age profile'!K$35</f>
        <v>15645.87298765432</v>
      </c>
      <c r="AM28">
        <f>'community workers'!D28*'t_occupation age profile'!L$35</f>
        <v>6538.431209876544</v>
      </c>
      <c r="AN28">
        <f>'community workers'!D28*'t_occupation age profile'!M$35</f>
        <v>2898.2565925925924</v>
      </c>
      <c r="AO28">
        <f>'community workers'!D28*'t_occupation age profile'!N$35</f>
        <v>1092.8165925925925</v>
      </c>
      <c r="AP28">
        <f>'community workers'!D28*'t_occupation age profile'!O$35</f>
        <v>467.44019753086422</v>
      </c>
      <c r="AQ28">
        <f>'energy, food, transport'!D28*'t_occupation age profile'!C$3</f>
        <v>2284.8166043096321</v>
      </c>
      <c r="AR28">
        <f>'energy, food, transport'!D28*'t_occupation age profile'!D$3</f>
        <v>8639.5642735119454</v>
      </c>
      <c r="AS28">
        <f>'energy, food, transport'!D28*'t_occupation age profile'!E$3</f>
        <v>8340.3492117137939</v>
      </c>
      <c r="AT28">
        <f>'energy, food, transport'!D28*'t_occupation age profile'!F$3</f>
        <v>9016.7224773125126</v>
      </c>
      <c r="AU28">
        <f>'energy, food, transport'!D28*'t_occupation age profile'!G$3</f>
        <v>12609.035288712628</v>
      </c>
      <c r="AV28">
        <f>'energy, food, transport'!D28*'t_occupation age profile'!H$3</f>
        <v>14554.799225311765</v>
      </c>
      <c r="AW28">
        <f>'energy, food, transport'!D28*'t_occupation age profile'!I$3</f>
        <v>11758.80551470297</v>
      </c>
      <c r="AX28">
        <f>'energy, food, transport'!D28*'t_occupation age profile'!J$3</f>
        <v>6597.2374443209328</v>
      </c>
      <c r="AY28">
        <f>'energy, food, transport'!D28*'t_occupation age profile'!K$3</f>
        <v>5022.3529584166154</v>
      </c>
      <c r="AZ28">
        <f>'energy, food, transport'!D28*'t_occupation age profile'!L$3</f>
        <v>1991.6637868894445</v>
      </c>
      <c r="BA28">
        <f>'energy, food, transport'!D28*'t_occupation age profile'!M$3</f>
        <v>788.95780404665027</v>
      </c>
      <c r="BB28">
        <f>'energy, food, transport'!D28*'t_occupation age profile'!N$3</f>
        <v>281.67785484761032</v>
      </c>
      <c r="BC28">
        <f>'energy, food, transport'!D28*'t_occupation age profile'!O$3</f>
        <v>113.01755590349929</v>
      </c>
      <c r="BD28">
        <f>'energy, food, transport'!E28*'t_occupation age profile'!C$5</f>
        <v>2512.7621003001441</v>
      </c>
      <c r="BE28">
        <f>'energy, food, transport'!E28*'t_occupation age profile'!D$5</f>
        <v>8762.5332758253971</v>
      </c>
      <c r="BF28">
        <f>'energy, food, transport'!E28*'t_occupation age profile'!E$5</f>
        <v>8274.1303559189837</v>
      </c>
      <c r="BG28">
        <f>'energy, food, transport'!E28*'t_occupation age profile'!F$5</f>
        <v>7882.042102899818</v>
      </c>
      <c r="BH28">
        <f>'energy, food, transport'!E28*'t_occupation age profile'!G$5</f>
        <v>9201.3779216789171</v>
      </c>
      <c r="BI28">
        <f>'energy, food, transport'!E28*'t_occupation age profile'!H$5</f>
        <v>9082.8233226195262</v>
      </c>
      <c r="BJ28">
        <f>'energy, food, transport'!E28*'t_occupation age profile'!I$5</f>
        <v>6737.8238602793472</v>
      </c>
      <c r="BK28">
        <f>'energy, food, transport'!E28*'t_occupation age profile'!J$5</f>
        <v>3390.9767447356603</v>
      </c>
      <c r="BL28">
        <f>'energy, food, transport'!E28*'t_occupation age profile'!K$5</f>
        <v>2246.0580318105544</v>
      </c>
      <c r="BM28">
        <f>'energy, food, transport'!E28*'t_occupation age profile'!L$5</f>
        <v>763.86286720393252</v>
      </c>
      <c r="BN28">
        <f>'energy, food, transport'!E28*'t_occupation age profile'!M$5</f>
        <v>278.61206366837615</v>
      </c>
      <c r="BO28">
        <f>'energy, food, transport'!E28*'t_occupation age profile'!N$5</f>
        <v>98.941430529624469</v>
      </c>
      <c r="BP28">
        <f>'energy, food, transport'!E28*'t_occupation age profile'!O$5</f>
        <v>46.055922529718998</v>
      </c>
      <c r="BQ28">
        <f>'energy, food, transport'!J28*'t_occupation age profile'!C$7</f>
        <v>3940.5128629070869</v>
      </c>
      <c r="BR28">
        <f>'energy, food, transport'!J28*'t_occupation age profile'!D$7</f>
        <v>18844.827789063864</v>
      </c>
      <c r="BS28">
        <f>'energy, food, transport'!J28*'t_occupation age profile'!E$7</f>
        <v>20623.461691952034</v>
      </c>
      <c r="BT28">
        <f>'energy, food, transport'!J28*'t_occupation age profile'!F$7</f>
        <v>20179.259068409225</v>
      </c>
      <c r="BU28">
        <f>'energy, food, transport'!J28*'t_occupation age profile'!G$7</f>
        <v>22300.820435686968</v>
      </c>
      <c r="BV28">
        <f>'energy, food, transport'!J28*'t_occupation age profile'!H$7</f>
        <v>20025.687534249384</v>
      </c>
      <c r="BW28">
        <f>'energy, food, transport'!J28*'t_occupation age profile'!I$7</f>
        <v>14405.840568164012</v>
      </c>
      <c r="BX28">
        <f>'energy, food, transport'!J28*'t_occupation age profile'!J$7</f>
        <v>6961.4452546931416</v>
      </c>
      <c r="BY28">
        <f>'energy, food, transport'!J28*'t_occupation age profile'!K$7</f>
        <v>4532.0063905847283</v>
      </c>
      <c r="BZ28">
        <f>'energy, food, transport'!J28*'t_occupation age profile'!L$7</f>
        <v>1669.7865325354337</v>
      </c>
      <c r="CA28">
        <f>'energy, food, transport'!J28*'t_occupation age profile'!M$7</f>
        <v>703.98771546425189</v>
      </c>
      <c r="CB28">
        <f>'energy, food, transport'!J28*'t_occupation age profile'!N$7</f>
        <v>280.88091777156694</v>
      </c>
      <c r="CC28">
        <f>'energy, food, transport'!J28*'t_occupation age profile'!O$7</f>
        <v>154.48323851830838</v>
      </c>
      <c r="CD28">
        <f>'energy, food, transport'!K28*'t_occupation age profile'!C$9</f>
        <v>1322.432731642308</v>
      </c>
      <c r="CE28">
        <f>'energy, food, transport'!K28*'t_occupation age profile'!D$9</f>
        <v>11191.41358613362</v>
      </c>
      <c r="CF28">
        <f>'energy, food, transport'!K28*'t_occupation age profile'!E$9</f>
        <v>18018.578804857345</v>
      </c>
      <c r="CG28">
        <f>'energy, food, transport'!K28*'t_occupation age profile'!F$9</f>
        <v>21937.399341923541</v>
      </c>
      <c r="CH28">
        <f>'energy, food, transport'!K28*'t_occupation age profile'!G$9</f>
        <v>29793.298235250233</v>
      </c>
      <c r="CI28">
        <f>'energy, food, transport'!K28*'t_occupation age profile'!H$9</f>
        <v>28644.314785953778</v>
      </c>
      <c r="CJ28">
        <f>'energy, food, transport'!K28*'t_occupation age profile'!I$9</f>
        <v>23175.783147274848</v>
      </c>
      <c r="CK28">
        <f>'energy, food, transport'!K28*'t_occupation age profile'!J$9</f>
        <v>12721.292918621508</v>
      </c>
      <c r="CL28">
        <f>'energy, food, transport'!K28*'t_occupation age profile'!K$9</f>
        <v>7584.8647152871727</v>
      </c>
      <c r="CM28">
        <f>'energy, food, transport'!K28*'t_occupation age profile'!L$9</f>
        <v>1182.6659778100814</v>
      </c>
      <c r="CN28">
        <f>'energy, food, transport'!K28*'t_occupation age profile'!M$9</f>
        <v>387.50647289970993</v>
      </c>
      <c r="CO28">
        <f>'energy, food, transport'!K28*'t_occupation age profile'!N$9</f>
        <v>114.26876495742866</v>
      </c>
      <c r="CP28">
        <f>'energy, food, transport'!K28*'t_occupation age profile'!O$9</f>
        <v>59.180517388420355</v>
      </c>
      <c r="CQ28">
        <f>'energy, food, transport'!O28*'t_occupation age profile'!C$17</f>
        <v>3925.9332150222581</v>
      </c>
      <c r="CR28">
        <f>'energy, food, transport'!O28*'t_occupation age profile'!D$17</f>
        <v>27957.857724906313</v>
      </c>
      <c r="CS28">
        <f>'energy, food, transport'!O28*'t_occupation age profile'!E$17</f>
        <v>42068.756025062248</v>
      </c>
      <c r="CT28">
        <f>'energy, food, transport'!O28*'t_occupation age profile'!F$17</f>
        <v>48480.302718115745</v>
      </c>
      <c r="CU28">
        <f>'energy, food, transport'!O28*'t_occupation age profile'!G$17</f>
        <v>60161.425611780389</v>
      </c>
      <c r="CV28">
        <f>'energy, food, transport'!O28*'t_occupation age profile'!H$17</f>
        <v>56277.087348469606</v>
      </c>
      <c r="CW28">
        <f>'energy, food, transport'!O28*'t_occupation age profile'!I$17</f>
        <v>42973.887383365611</v>
      </c>
      <c r="CX28">
        <f>'energy, food, transport'!O28*'t_occupation age profile'!J$17</f>
        <v>22831.721085045647</v>
      </c>
      <c r="CY28">
        <f>'energy, food, transport'!O28*'t_occupation age profile'!K$17</f>
        <v>12377.901357485978</v>
      </c>
      <c r="CZ28">
        <f>'energy, food, transport'!O28*'t_occupation age profile'!L$17</f>
        <v>2544.7287275848194</v>
      </c>
      <c r="DA28">
        <f>'energy, food, transport'!O28*'t_occupation age profile'!M$17</f>
        <v>766.85965518975877</v>
      </c>
      <c r="DB28">
        <f>'energy, food, transport'!O28*'t_occupation age profile'!N$17</f>
        <v>236.33495290611401</v>
      </c>
      <c r="DC28">
        <f>'energy, food, transport'!O28*'t_occupation age profile'!O$17</f>
        <v>145.20419506551647</v>
      </c>
      <c r="DD28">
        <f>'social welfare'!F28*'t_occupation age profile'!C$37</f>
        <v>71.683166638413297</v>
      </c>
      <c r="DE28">
        <f>'social welfare'!F28*'t_occupation age profile'!D$37</f>
        <v>459.58569249025254</v>
      </c>
      <c r="DF28">
        <f>'social welfare'!F28*'t_occupation age profile'!E$37</f>
        <v>697.5127987794541</v>
      </c>
      <c r="DG28">
        <f>'social welfare'!F28*'t_occupation age profile'!F$37</f>
        <v>777.83861671469742</v>
      </c>
      <c r="DH28">
        <f>'social welfare'!F28*'t_occupation age profile'!G$37</f>
        <v>1111.8516697745381</v>
      </c>
      <c r="DI28">
        <f>'social welfare'!F28*'t_occupation age profile'!H$37</f>
        <v>1572.4541447703</v>
      </c>
      <c r="DJ28">
        <f>'social welfare'!F28*'t_occupation age profile'!I$37</f>
        <v>1808.3476860484827</v>
      </c>
      <c r="DK28">
        <f>'social welfare'!F28*'t_occupation age profile'!J$37</f>
        <v>1150.9977962366502</v>
      </c>
      <c r="DL28">
        <f>'social welfare'!F28*'t_occupation age profile'!K$37</f>
        <v>890.193083573487</v>
      </c>
      <c r="DM28">
        <f>'social welfare'!F28*'t_occupation age profile'!L$37</f>
        <v>268.43058145448384</v>
      </c>
      <c r="DN28">
        <f>'social welfare'!F28*'t_occupation age profile'!M$37</f>
        <v>120.99711815561959</v>
      </c>
      <c r="DO28">
        <f>'social welfare'!F28*'t_occupation age profile'!N$37</f>
        <v>44.230038989659263</v>
      </c>
      <c r="DP28">
        <f>'social welfare'!F28*'t_occupation age profile'!O$37</f>
        <v>22.877606373961687</v>
      </c>
    </row>
    <row r="29" spans="1:120" ht="15.5" x14ac:dyDescent="0.3">
      <c r="A29" s="102">
        <v>28</v>
      </c>
      <c r="B29" s="102" t="s">
        <v>59</v>
      </c>
      <c r="C29" s="102" t="s">
        <v>60</v>
      </c>
      <c r="D29">
        <f>HCW!D29*'t_occupation age profile'!C$33</f>
        <v>2017.138797721642</v>
      </c>
      <c r="E29">
        <f>HCW!D29*'t_occupation age profile'!D$33</f>
        <v>18835.221250555827</v>
      </c>
      <c r="F29">
        <f>HCW!D29*'t_occupation age profile'!E$33</f>
        <v>28620.328159739129</v>
      </c>
      <c r="G29">
        <f>HCW!D29*'t_occupation age profile'!F$33</f>
        <v>28151.851652656322</v>
      </c>
      <c r="H29">
        <f>HCW!D29*'t_occupation age profile'!G$33</f>
        <v>28961.934952463635</v>
      </c>
      <c r="I29">
        <f>HCW!D29*'t_occupation age profile'!H$33</f>
        <v>24021.637241408516</v>
      </c>
      <c r="J29">
        <f>HCW!D29*'t_occupation age profile'!I$33</f>
        <v>21353.11436254685</v>
      </c>
      <c r="K29">
        <f>HCW!D29*'t_occupation age profile'!J$33</f>
        <v>13189.518961610944</v>
      </c>
      <c r="L29">
        <f>HCW!D29*'t_occupation age profile'!K$33</f>
        <v>9231.452855358164</v>
      </c>
      <c r="M29">
        <f>HCW!D29*'t_occupation age profile'!L$33</f>
        <v>3237.8675334025029</v>
      </c>
      <c r="N29">
        <f>HCW!D29*'t_occupation age profile'!M$33</f>
        <v>1532.0750841679549</v>
      </c>
      <c r="O29">
        <f>HCW!D29*'t_occupation age profile'!N$33</f>
        <v>563.7408685709446</v>
      </c>
      <c r="P29">
        <f>HCW!D29*'t_occupation age profile'!O$33</f>
        <v>246.11827979757345</v>
      </c>
      <c r="Q29">
        <f>'law enforcement'!I30*'t_occupation age profile'!C$39</f>
        <v>4616.5239129273405</v>
      </c>
      <c r="R29">
        <f>'law enforcement'!I30*'t_occupation age profile'!D$39</f>
        <v>18750.117145659206</v>
      </c>
      <c r="S29">
        <f>'law enforcement'!I30*'t_occupation age profile'!E$39</f>
        <v>9001.8757137085831</v>
      </c>
      <c r="T29">
        <f>'law enforcement'!I30*'t_occupation age profile'!F$39</f>
        <v>5209.7059662352467</v>
      </c>
      <c r="U29">
        <f>'law enforcement'!I30*'t_occupation age profile'!G$39</f>
        <v>2583.0158479341021</v>
      </c>
      <c r="V29">
        <f>'law enforcement'!I30*'t_occupation age profile'!H$39</f>
        <v>1119.2156096093049</v>
      </c>
      <c r="W29">
        <f>'law enforcement'!I30*'t_occupation age profile'!I$39</f>
        <v>792.64823601346541</v>
      </c>
      <c r="X29">
        <f>'law enforcement'!I30*'t_occupation age profile'!J$39</f>
        <v>288.99751204756996</v>
      </c>
      <c r="Y29">
        <f>'law enforcement'!I30*'t_occupation age profile'!K$39</f>
        <v>158.12268661477486</v>
      </c>
      <c r="Z29">
        <f>'law enforcement'!I30*'t_occupation age profile'!L$39</f>
        <v>25.657015247390351</v>
      </c>
      <c r="AA29">
        <f>'law enforcement'!I30*'t_occupation age profile'!M$39</f>
        <v>0</v>
      </c>
      <c r="AB29">
        <f>'law enforcement'!I30*'t_occupation age profile'!N$39</f>
        <v>0</v>
      </c>
      <c r="AC29">
        <f>'law enforcement'!I30*'t_occupation age profile'!O$39</f>
        <v>0</v>
      </c>
      <c r="AD29">
        <f>'community workers'!D29*'t_occupation age profile'!C$35</f>
        <v>845.48637681159414</v>
      </c>
      <c r="AE29">
        <f>'community workers'!D29*'t_occupation age profile'!D$35</f>
        <v>5606.8272506709609</v>
      </c>
      <c r="AF29">
        <f>'community workers'!D29*'t_occupation age profile'!E$35</f>
        <v>7356.9057648953294</v>
      </c>
      <c r="AG29">
        <f>'community workers'!D29*'t_occupation age profile'!F$35</f>
        <v>7643.4317037037044</v>
      </c>
      <c r="AH29">
        <f>'community workers'!D29*'t_occupation age profile'!G$35</f>
        <v>11174.120184648416</v>
      </c>
      <c r="AI29">
        <f>'community workers'!D29*'t_occupation age profile'!H$35</f>
        <v>14210.042563607085</v>
      </c>
      <c r="AJ29">
        <f>'community workers'!D29*'t_occupation age profile'!I$35</f>
        <v>16455.278608695651</v>
      </c>
      <c r="AK29">
        <f>'community workers'!D29*'t_occupation age profile'!J$35</f>
        <v>11486.089000536769</v>
      </c>
      <c r="AL29">
        <f>'community workers'!D29*'t_occupation age profile'!K$35</f>
        <v>9616.6246784755767</v>
      </c>
      <c r="AM29">
        <f>'community workers'!D29*'t_occupation age profile'!L$35</f>
        <v>4018.8002920021472</v>
      </c>
      <c r="AN29">
        <f>'community workers'!D29*'t_occupation age profile'!M$35</f>
        <v>1781.3928244766505</v>
      </c>
      <c r="AO29">
        <f>'community workers'!D29*'t_occupation age profile'!N$35</f>
        <v>671.69195491143319</v>
      </c>
      <c r="AP29">
        <f>'community workers'!D29*'t_occupation age profile'!O$35</f>
        <v>287.30879656468062</v>
      </c>
      <c r="AQ29">
        <f>'energy, food, transport'!D29*'t_occupation age profile'!C$3</f>
        <v>908.36499592060898</v>
      </c>
      <c r="AR29">
        <f>'energy, food, transport'!D29*'t_occupation age profile'!D$3</f>
        <v>3434.7954891704708</v>
      </c>
      <c r="AS29">
        <f>'energy, food, transport'!D29*'t_occupation age profile'!E$3</f>
        <v>3315.8378065814177</v>
      </c>
      <c r="AT29">
        <f>'energy, food, transport'!D29*'t_occupation age profile'!F$3</f>
        <v>3584.7407012327949</v>
      </c>
      <c r="AU29">
        <f>'energy, food, transport'!D29*'t_occupation age profile'!G$3</f>
        <v>5012.921504067509</v>
      </c>
      <c r="AV29">
        <f>'energy, food, transport'!D29*'t_occupation age profile'!H$3</f>
        <v>5786.4907467793937</v>
      </c>
      <c r="AW29">
        <f>'energy, food, transport'!D29*'t_occupation age profile'!I$3</f>
        <v>4674.8992033965887</v>
      </c>
      <c r="AX29">
        <f>'energy, food, transport'!D29*'t_occupation age profile'!J$3</f>
        <v>2622.8361405000355</v>
      </c>
      <c r="AY29">
        <f>'energy, food, transport'!D29*'t_occupation age profile'!K$3</f>
        <v>1996.7158921984617</v>
      </c>
      <c r="AZ29">
        <f>'energy, food, transport'!D29*'t_occupation age profile'!L$3</f>
        <v>791.81745451280983</v>
      </c>
      <c r="BA29">
        <f>'energy, food, transport'!D29*'t_occupation age profile'!M$3</f>
        <v>313.66265944610052</v>
      </c>
      <c r="BB29">
        <f>'energy, food, transport'!D29*'t_occupation age profile'!N$3</f>
        <v>111.98548845756774</v>
      </c>
      <c r="BC29">
        <f>'energy, food, transport'!D29*'t_occupation age profile'!O$3</f>
        <v>44.931917736241623</v>
      </c>
      <c r="BD29">
        <f>'energy, food, transport'!E29*'t_occupation age profile'!C$5</f>
        <v>683.40278992271874</v>
      </c>
      <c r="BE29">
        <f>'energy, food, transport'!E29*'t_occupation age profile'!D$5</f>
        <v>2383.1701722874768</v>
      </c>
      <c r="BF29">
        <f>'energy, food, transport'!E29*'t_occupation age profile'!E$5</f>
        <v>2250.3378926098362</v>
      </c>
      <c r="BG29">
        <f>'energy, food, transport'!E29*'t_occupation age profile'!F$5</f>
        <v>2143.7005766549287</v>
      </c>
      <c r="BH29">
        <f>'energy, food, transport'!E29*'t_occupation age profile'!G$5</f>
        <v>2502.5239524496019</v>
      </c>
      <c r="BI29">
        <f>'energy, food, transport'!E29*'t_occupation age profile'!H$5</f>
        <v>2470.2803334672558</v>
      </c>
      <c r="BJ29">
        <f>'energy, food, transport'!E29*'t_occupation age profile'!I$5</f>
        <v>1832.5044076288611</v>
      </c>
      <c r="BK29">
        <f>'energy, food, transport'!E29*'t_occupation age profile'!J$5</f>
        <v>922.25323186727474</v>
      </c>
      <c r="BL29">
        <f>'energy, food, transport'!E29*'t_occupation age profile'!K$5</f>
        <v>610.8665540141327</v>
      </c>
      <c r="BM29">
        <f>'energy, food, transport'!E29*'t_occupation age profile'!L$5</f>
        <v>207.74987592465672</v>
      </c>
      <c r="BN29">
        <f>'energy, food, transport'!E29*'t_occupation age profile'!M$5</f>
        <v>75.77488596885118</v>
      </c>
      <c r="BO29">
        <f>'energy, food, transport'!E29*'t_occupation age profile'!N$5</f>
        <v>26.909371824262049</v>
      </c>
      <c r="BP29">
        <f>'energy, food, transport'!E29*'t_occupation age profile'!O$5</f>
        <v>12.525955380143218</v>
      </c>
      <c r="BQ29">
        <f>'energy, food, transport'!J29*'t_occupation age profile'!C$7</f>
        <v>1283.9603688182508</v>
      </c>
      <c r="BR29">
        <f>'energy, food, transport'!J29*'t_occupation age profile'!D$7</f>
        <v>6140.3205319097506</v>
      </c>
      <c r="BS29">
        <f>'energy, food, transport'!J29*'t_occupation age profile'!E$7</f>
        <v>6719.8632263244463</v>
      </c>
      <c r="BT29">
        <f>'energy, food, transport'!J29*'t_occupation age profile'!F$7</f>
        <v>6575.1260857043044</v>
      </c>
      <c r="BU29">
        <f>'energy, food, transport'!J29*'t_occupation age profile'!G$7</f>
        <v>7266.4068428976398</v>
      </c>
      <c r="BV29">
        <f>'energy, food, transport'!J29*'t_occupation age profile'!H$7</f>
        <v>6525.086973918641</v>
      </c>
      <c r="BW29">
        <f>'energy, food, transport'!J29*'t_occupation age profile'!I$7</f>
        <v>4693.9393455985555</v>
      </c>
      <c r="BX29">
        <f>'energy, food, transport'!J29*'t_occupation age profile'!J$7</f>
        <v>2268.28845068907</v>
      </c>
      <c r="BY29">
        <f>'energy, food, transport'!J29*'t_occupation age profile'!K$7</f>
        <v>1476.6901667842724</v>
      </c>
      <c r="BZ29">
        <f>'energy, food, transport'!J29*'t_occupation age profile'!L$7</f>
        <v>544.07631868006797</v>
      </c>
      <c r="CA29">
        <f>'energy, food, transport'!J29*'t_occupation age profile'!M$7</f>
        <v>229.38443756891027</v>
      </c>
      <c r="CB29">
        <f>'energy, food, transport'!J29*'t_occupation age profile'!N$7</f>
        <v>91.521073353362979</v>
      </c>
      <c r="CC29">
        <f>'energy, food, transport'!J29*'t_occupation age profile'!O$7</f>
        <v>50.336177752728709</v>
      </c>
      <c r="CD29">
        <f>'energy, food, transport'!K29*'t_occupation age profile'!C$9</f>
        <v>931.80887153194305</v>
      </c>
      <c r="CE29">
        <f>'energy, food, transport'!K29*'t_occupation age profile'!D$9</f>
        <v>7885.6626995247898</v>
      </c>
      <c r="CF29">
        <f>'energy, food, transport'!K29*'t_occupation age profile'!E$9</f>
        <v>12696.20085848332</v>
      </c>
      <c r="CG29">
        <f>'energy, food, transport'!K29*'t_occupation age profile'!F$9</f>
        <v>15457.469280692592</v>
      </c>
      <c r="CH29">
        <f>'energy, food, transport'!K29*'t_occupation age profile'!G$9</f>
        <v>20992.870898867117</v>
      </c>
      <c r="CI29">
        <f>'energy, food, transport'!K29*'t_occupation age profile'!H$9</f>
        <v>20183.277378016941</v>
      </c>
      <c r="CJ29">
        <f>'energy, food, transport'!K29*'t_occupation age profile'!I$9</f>
        <v>16330.055831658234</v>
      </c>
      <c r="CK29">
        <f>'energy, food, transport'!K29*'t_occupation age profile'!J$9</f>
        <v>8963.6420176979027</v>
      </c>
      <c r="CL29">
        <f>'energy, food, transport'!K29*'t_occupation age profile'!K$9</f>
        <v>5344.4262698315097</v>
      </c>
      <c r="CM29">
        <f>'energy, food, transport'!K29*'t_occupation age profile'!L$9</f>
        <v>833.32681036551071</v>
      </c>
      <c r="CN29">
        <f>'energy, food, transport'!K29*'t_occupation age profile'!M$9</f>
        <v>273.04373264837471</v>
      </c>
      <c r="CO29">
        <f>'energy, food, transport'!K29*'t_occupation age profile'!N$9</f>
        <v>80.515739196880588</v>
      </c>
      <c r="CP29">
        <f>'energy, food, transport'!K29*'t_occupation age profile'!O$9</f>
        <v>41.699611484885814</v>
      </c>
      <c r="CQ29">
        <f>'energy, food, transport'!O29*'t_occupation age profile'!C$17</f>
        <v>1520.7012002181787</v>
      </c>
      <c r="CR29">
        <f>'energy, food, transport'!O29*'t_occupation age profile'!D$17</f>
        <v>10829.411879731395</v>
      </c>
      <c r="CS29">
        <f>'energy, food, transport'!O29*'t_occupation age profile'!E$17</f>
        <v>16295.235877728805</v>
      </c>
      <c r="CT29">
        <f>'energy, food, transport'!O29*'t_occupation age profile'!F$17</f>
        <v>18778.733741134529</v>
      </c>
      <c r="CU29">
        <f>'energy, food, transport'!O29*'t_occupation age profile'!G$17</f>
        <v>23303.389824513972</v>
      </c>
      <c r="CV29">
        <f>'energy, food, transport'!O29*'t_occupation age profile'!H$17</f>
        <v>21798.800333162522</v>
      </c>
      <c r="CW29">
        <f>'energy, food, transport'!O29*'t_occupation age profile'!I$17</f>
        <v>16645.836427340862</v>
      </c>
      <c r="CX29">
        <f>'energy, food, transport'!O29*'t_occupation age profile'!J$17</f>
        <v>8843.8146436677889</v>
      </c>
      <c r="CY29">
        <f>'energy, food, transport'!O29*'t_occupation age profile'!K$17</f>
        <v>4794.5516185772485</v>
      </c>
      <c r="CZ29">
        <f>'energy, food, transport'!O29*'t_occupation age profile'!L$17</f>
        <v>985.69481912238132</v>
      </c>
      <c r="DA29">
        <f>'energy, food, transport'!O29*'t_occupation age profile'!M$17</f>
        <v>297.04132347023466</v>
      </c>
      <c r="DB29">
        <f>'energy, food, transport'!O29*'t_occupation age profile'!N$17</f>
        <v>91.543800379140364</v>
      </c>
      <c r="DC29">
        <f>'energy, food, transport'!O29*'t_occupation age profile'!O$17</f>
        <v>56.244510952943841</v>
      </c>
      <c r="DD29">
        <f>'social welfare'!F29*'t_occupation age profile'!C$37</f>
        <v>18.739447363959997</v>
      </c>
      <c r="DE29">
        <f>'social welfare'!F29*'t_occupation age profile'!D$37</f>
        <v>120.14510934056619</v>
      </c>
      <c r="DF29">
        <f>'social welfare'!F29*'t_occupation age profile'!E$37</f>
        <v>182.3441261230717</v>
      </c>
      <c r="DG29">
        <f>'social welfare'!F29*'t_occupation age profile'!F$37</f>
        <v>203.34293948126802</v>
      </c>
      <c r="DH29">
        <f>'social welfare'!F29*'t_occupation age profile'!G$37</f>
        <v>290.66078996440075</v>
      </c>
      <c r="DI29">
        <f>'social welfare'!F29*'t_occupation age profile'!H$37</f>
        <v>411.07170706899473</v>
      </c>
      <c r="DJ29">
        <f>'social welfare'!F29*'t_occupation age profile'!I$37</f>
        <v>472.73910832344461</v>
      </c>
      <c r="DK29">
        <f>'social welfare'!F29*'t_occupation age profile'!J$37</f>
        <v>300.89438887947108</v>
      </c>
      <c r="DL29">
        <f>'social welfare'!F29*'t_occupation age profile'!K$37</f>
        <v>232.71469740634004</v>
      </c>
      <c r="DM29">
        <f>'social welfare'!F29*'t_occupation age profile'!L$37</f>
        <v>70.17324970333955</v>
      </c>
      <c r="DN29">
        <f>'social welfare'!F29*'t_occupation age profile'!M$37</f>
        <v>31.631123919308354</v>
      </c>
      <c r="DO29">
        <f>'social welfare'!F29*'t_occupation age profile'!N$37</f>
        <v>11.562637735209357</v>
      </c>
      <c r="DP29">
        <f>'social welfare'!F29*'t_occupation age profile'!O$37</f>
        <v>5.9806746906255297</v>
      </c>
    </row>
    <row r="30" spans="1:120" ht="15.5" x14ac:dyDescent="0.3">
      <c r="A30" s="102">
        <v>29</v>
      </c>
      <c r="B30" s="102" t="s">
        <v>61</v>
      </c>
      <c r="C30" s="102" t="s">
        <v>62</v>
      </c>
      <c r="D30">
        <f>HCW!D30*'t_occupation age profile'!C$33</f>
        <v>597.91651585147576</v>
      </c>
      <c r="E30">
        <f>HCW!D30*'t_occupation age profile'!D$33</f>
        <v>5583.1011123995622</v>
      </c>
      <c r="F30">
        <f>HCW!D30*'t_occupation age profile'!E$33</f>
        <v>8483.5842308549818</v>
      </c>
      <c r="G30">
        <f>HCW!D30*'t_occupation age profile'!F$33</f>
        <v>8344.7192994037559</v>
      </c>
      <c r="H30">
        <f>HCW!D30*'t_occupation age profile'!G$33</f>
        <v>8584.8426784777894</v>
      </c>
      <c r="I30">
        <f>HCW!D30*'t_occupation age profile'!H$33</f>
        <v>7120.4488559012225</v>
      </c>
      <c r="J30">
        <f>HCW!D30*'t_occupation age profile'!I$33</f>
        <v>6329.4502870367032</v>
      </c>
      <c r="K30">
        <f>HCW!D30*'t_occupation age profile'!J$33</f>
        <v>3909.612582034953</v>
      </c>
      <c r="L30">
        <f>HCW!D30*'t_occupation age profile'!K$33</f>
        <v>2736.3700176494253</v>
      </c>
      <c r="M30">
        <f>HCW!D30*'t_occupation age profile'!L$33</f>
        <v>959.76264823586712</v>
      </c>
      <c r="N30">
        <f>HCW!D30*'t_occupation age profile'!M$33</f>
        <v>454.13483563116313</v>
      </c>
      <c r="O30">
        <f>HCW!D30*'t_occupation age profile'!N$33</f>
        <v>167.10301559800661</v>
      </c>
      <c r="P30">
        <f>HCW!D30*'t_occupation age profile'!O$33</f>
        <v>72.953920925093954</v>
      </c>
      <c r="Q30">
        <f>'law enforcement'!I31*'t_occupation age profile'!C$39</f>
        <v>1511.4652634062932</v>
      </c>
      <c r="R30">
        <f>'law enforcement'!I31*'t_occupation age profile'!D$39</f>
        <v>6138.8506341543325</v>
      </c>
      <c r="S30">
        <f>'law enforcement'!I31*'t_occupation age profile'!E$39</f>
        <v>2947.2440094312587</v>
      </c>
      <c r="T30">
        <f>'law enforcement'!I31*'t_occupation age profile'!F$39</f>
        <v>1705.6750379815542</v>
      </c>
      <c r="U30">
        <f>'law enforcement'!I31*'t_occupation age profile'!G$39</f>
        <v>845.68796839714207</v>
      </c>
      <c r="V30">
        <f>'law enforcement'!I31*'t_occupation age profile'!H$39</f>
        <v>366.43490818915387</v>
      </c>
      <c r="W30">
        <f>'law enforcement'!I31*'t_occupation age profile'!I$39</f>
        <v>259.51566534287389</v>
      </c>
      <c r="X30">
        <f>'law enforcement'!I31*'t_occupation age profile'!J$39</f>
        <v>94.61874538277057</v>
      </c>
      <c r="Y30">
        <f>'law enforcement'!I31*'t_occupation age profile'!K$39</f>
        <v>51.76989282032406</v>
      </c>
      <c r="Z30">
        <f>'law enforcement'!I31*'t_occupation age profile'!L$39</f>
        <v>8.4001920147156603</v>
      </c>
      <c r="AA30">
        <f>'law enforcement'!I31*'t_occupation age profile'!M$39</f>
        <v>0</v>
      </c>
      <c r="AB30">
        <f>'law enforcement'!I31*'t_occupation age profile'!N$39</f>
        <v>0</v>
      </c>
      <c r="AC30">
        <f>'law enforcement'!I31*'t_occupation age profile'!O$39</f>
        <v>0</v>
      </c>
      <c r="AD30">
        <f>'community workers'!D30*'t_occupation age profile'!C$35</f>
        <v>278.14956521739128</v>
      </c>
      <c r="AE30">
        <f>'community workers'!D30*'t_occupation age profile'!D$35</f>
        <v>1844.543690821256</v>
      </c>
      <c r="AF30">
        <f>'community workers'!D30*'t_occupation age profile'!E$35</f>
        <v>2420.2875362318837</v>
      </c>
      <c r="AG30">
        <f>'community workers'!D30*'t_occupation age profile'!F$35</f>
        <v>2514.5493333333334</v>
      </c>
      <c r="AH30">
        <f>'community workers'!D30*'t_occupation age profile'!G$35</f>
        <v>3676.0813140096616</v>
      </c>
      <c r="AI30">
        <f>'community workers'!D30*'t_occupation age profile'!H$35</f>
        <v>4674.844289855072</v>
      </c>
      <c r="AJ30">
        <f>'community workers'!D30*'t_occupation age profile'!I$35</f>
        <v>5413.4859130434788</v>
      </c>
      <c r="AK30">
        <f>'community workers'!D30*'t_occupation age profile'!J$35</f>
        <v>3778.7133526570046</v>
      </c>
      <c r="AL30">
        <f>'community workers'!D30*'t_occupation age profile'!K$35</f>
        <v>3163.6937584541065</v>
      </c>
      <c r="AM30">
        <f>'community workers'!D30*'t_occupation age profile'!L$35</f>
        <v>1322.1118454106281</v>
      </c>
      <c r="AN30">
        <f>'community workers'!D30*'t_occupation age profile'!M$35</f>
        <v>586.04568115942027</v>
      </c>
      <c r="AO30">
        <f>'community workers'!D30*'t_occupation age profile'!N$35</f>
        <v>220.9743768115942</v>
      </c>
      <c r="AP30">
        <f>'community workers'!D30*'t_occupation age profile'!O$35</f>
        <v>94.519342995169083</v>
      </c>
      <c r="AQ30">
        <f>'energy, food, transport'!D30*'t_occupation age profile'!C$3</f>
        <v>202.84960645098261</v>
      </c>
      <c r="AR30">
        <f>'energy, food, transport'!D30*'t_occupation age profile'!D$3</f>
        <v>767.03408469819101</v>
      </c>
      <c r="AS30">
        <f>'energy, food, transport'!D30*'t_occupation age profile'!E$3</f>
        <v>740.46930159241481</v>
      </c>
      <c r="AT30">
        <f>'energy, food, transport'!D30*'t_occupation age profile'!F$3</f>
        <v>800.51878236118853</v>
      </c>
      <c r="AU30">
        <f>'energy, food, transport'!D30*'t_occupation age profile'!G$3</f>
        <v>1119.4499555095542</v>
      </c>
      <c r="AV30">
        <f>'energy, food, transport'!D30*'t_occupation age profile'!H$3</f>
        <v>1292.1979336366253</v>
      </c>
      <c r="AW30">
        <f>'energy, food, transport'!D30*'t_occupation age profile'!I$3</f>
        <v>1043.9652208812013</v>
      </c>
      <c r="AX30">
        <f>'energy, food, transport'!D30*'t_occupation age profile'!J$3</f>
        <v>585.71310131411838</v>
      </c>
      <c r="AY30">
        <f>'energy, food, transport'!D30*'t_occupation age profile'!K$3</f>
        <v>445.89238328849086</v>
      </c>
      <c r="AZ30">
        <f>'energy, food, transport'!D30*'t_occupation age profile'!L$3</f>
        <v>176.823038921879</v>
      </c>
      <c r="BA30">
        <f>'energy, food, transport'!D30*'t_occupation age profile'!M$3</f>
        <v>70.044912906981963</v>
      </c>
      <c r="BB30">
        <f>'energy, food, transport'!D30*'t_occupation age profile'!N$3</f>
        <v>25.007802330401631</v>
      </c>
      <c r="BC30">
        <f>'energy, food, transport'!D30*'t_occupation age profile'!O$3</f>
        <v>10.033876107970523</v>
      </c>
      <c r="BD30">
        <f>'energy, food, transport'!E30*'t_occupation age profile'!C$5</f>
        <v>251.79336137829981</v>
      </c>
      <c r="BE30">
        <f>'energy, food, transport'!E30*'t_occupation age profile'!D$5</f>
        <v>878.0567437903245</v>
      </c>
      <c r="BF30">
        <f>'energy, food, transport'!E30*'t_occupation age profile'!E$5</f>
        <v>829.11593363741633</v>
      </c>
      <c r="BG30">
        <f>'energy, food, transport'!E30*'t_occupation age profile'!F$5</f>
        <v>789.8264126864085</v>
      </c>
      <c r="BH30">
        <f>'energy, food, transport'!E30*'t_occupation age profile'!G$5</f>
        <v>922.03152695389133</v>
      </c>
      <c r="BI30">
        <f>'energy, food, transport'!E30*'t_occupation age profile'!H$5</f>
        <v>910.15166733627962</v>
      </c>
      <c r="BJ30">
        <f>'energy, food, transport'!E30*'t_occupation age profile'!I$5</f>
        <v>675.16909696783489</v>
      </c>
      <c r="BK30">
        <f>'energy, food, transport'!E30*'t_occupation age profile'!J$5</f>
        <v>339.79557110108004</v>
      </c>
      <c r="BL30">
        <f>'energy, food, transport'!E30*'t_occupation age profile'!K$5</f>
        <v>225.0680641883109</v>
      </c>
      <c r="BM30">
        <f>'energy, food, transport'!E30*'t_occupation age profile'!L$5</f>
        <v>76.543497270342442</v>
      </c>
      <c r="BN30">
        <f>'energy, food, transport'!E30*'t_occupation age profile'!M$5</f>
        <v>27.918547491314722</v>
      </c>
      <c r="BO30">
        <f>'energy, food, transport'!E30*'t_occupation age profile'!N$5</f>
        <v>9.9145061801337651</v>
      </c>
      <c r="BP30">
        <f>'energy, food, transport'!E30*'t_occupation age profile'!O$5</f>
        <v>4.6150710183631505</v>
      </c>
      <c r="BQ30">
        <f>'energy, food, transport'!J30*'t_occupation age profile'!C$7</f>
        <v>502.60762550959043</v>
      </c>
      <c r="BR30">
        <f>'energy, food, transport'!J30*'t_occupation age profile'!D$7</f>
        <v>2403.6348764031077</v>
      </c>
      <c r="BS30">
        <f>'energy, food, transport'!J30*'t_occupation age profile'!E$7</f>
        <v>2630.4974685789825</v>
      </c>
      <c r="BT30">
        <f>'energy, food, transport'!J30*'t_occupation age profile'!F$7</f>
        <v>2573.8399639263334</v>
      </c>
      <c r="BU30">
        <f>'energy, food, transport'!J30*'t_occupation age profile'!G$7</f>
        <v>2844.4425373166619</v>
      </c>
      <c r="BV30">
        <f>'energy, food, transport'!J30*'t_occupation age profile'!H$7</f>
        <v>2554.2521014284048</v>
      </c>
      <c r="BW30">
        <f>'energy, food, transport'!J30*'t_occupation age profile'!I$7</f>
        <v>1837.4474524854165</v>
      </c>
      <c r="BX30">
        <f>'energy, food, transport'!J30*'t_occupation age profile'!J$7</f>
        <v>887.92387978529621</v>
      </c>
      <c r="BY30">
        <f>'energy, food, transport'!J30*'t_occupation age profile'!K$7</f>
        <v>578.05190593531836</v>
      </c>
      <c r="BZ30">
        <f>'energy, food, transport'!J30*'t_occupation age profile'!L$7</f>
        <v>212.97924240409091</v>
      </c>
      <c r="CA30">
        <f>'energy, food, transport'!J30*'t_occupation age profile'!M$7</f>
        <v>89.792777328069263</v>
      </c>
      <c r="CB30">
        <f>'energy, food, transport'!J30*'t_occupation age profile'!N$7</f>
        <v>35.826019618160167</v>
      </c>
      <c r="CC30">
        <f>'energy, food, transport'!J30*'t_occupation age profile'!O$7</f>
        <v>19.704149280567755</v>
      </c>
      <c r="CD30">
        <f>'energy, food, transport'!K30*'t_occupation age profile'!C$9</f>
        <v>261.33065720950577</v>
      </c>
      <c r="CE30">
        <f>'energy, food, transport'!K30*'t_occupation age profile'!D$9</f>
        <v>2211.5752261633779</v>
      </c>
      <c r="CF30">
        <f>'energy, food, transport'!K30*'t_occupation age profile'!E$9</f>
        <v>3560.7157387936477</v>
      </c>
      <c r="CG30">
        <f>'energy, food, transport'!K30*'t_occupation age profile'!F$9</f>
        <v>4335.1278672395265</v>
      </c>
      <c r="CH30">
        <f>'energy, food, transport'!K30*'t_occupation age profile'!G$9</f>
        <v>5887.5601170182517</v>
      </c>
      <c r="CI30">
        <f>'energy, food, transport'!K30*'t_occupation age profile'!H$9</f>
        <v>5660.5053922349398</v>
      </c>
      <c r="CJ30">
        <f>'energy, food, transport'!K30*'t_occupation age profile'!I$9</f>
        <v>4579.8493158141982</v>
      </c>
      <c r="CK30">
        <f>'energy, food, transport'!K30*'t_occupation age profile'!J$9</f>
        <v>2513.9001473817066</v>
      </c>
      <c r="CL30">
        <f>'energy, food, transport'!K30*'t_occupation age profile'!K$9</f>
        <v>1498.8722174394295</v>
      </c>
      <c r="CM30">
        <f>'energy, food, transport'!K30*'t_occupation age profile'!L$9</f>
        <v>233.71084959202889</v>
      </c>
      <c r="CN30">
        <f>'energy, food, transport'!K30*'t_occupation age profile'!M$9</f>
        <v>76.576538687193931</v>
      </c>
      <c r="CO30">
        <f>'energy, food, transport'!K30*'t_occupation age profile'!N$9</f>
        <v>22.581058930504785</v>
      </c>
      <c r="CP30">
        <f>'energy, food, transport'!K30*'t_occupation age profile'!O$9</f>
        <v>11.69487349568843</v>
      </c>
      <c r="CQ30">
        <f>'energy, food, transport'!O30*'t_occupation age profile'!C$17</f>
        <v>511.97181125977721</v>
      </c>
      <c r="CR30">
        <f>'energy, food, transport'!O30*'t_occupation age profile'!D$17</f>
        <v>3645.9191418726891</v>
      </c>
      <c r="CS30">
        <f>'energy, food, transport'!O30*'t_occupation age profile'!E$17</f>
        <v>5486.0885399637837</v>
      </c>
      <c r="CT30">
        <f>'energy, food, transport'!O30*'t_occupation age profile'!F$17</f>
        <v>6322.2034185508419</v>
      </c>
      <c r="CU30">
        <f>'energy, food, transport'!O30*'t_occupation age profile'!G$17</f>
        <v>7845.5114622368656</v>
      </c>
      <c r="CV30">
        <f>'energy, food, transport'!O30*'t_occupation age profile'!H$17</f>
        <v>7338.963951799502</v>
      </c>
      <c r="CW30">
        <f>'energy, food, transport'!O30*'t_occupation age profile'!I$17</f>
        <v>5604.1246133145542</v>
      </c>
      <c r="CX30">
        <f>'energy, food, transport'!O30*'t_occupation age profile'!J$17</f>
        <v>2977.4315959734413</v>
      </c>
      <c r="CY30">
        <f>'energy, food, transport'!O30*'t_occupation age profile'!K$17</f>
        <v>1614.1733010990667</v>
      </c>
      <c r="CZ30">
        <f>'energy, food, transport'!O30*'t_occupation age profile'!L$17</f>
        <v>331.85214940519609</v>
      </c>
      <c r="DA30">
        <f>'energy, food, transport'!O30*'t_occupation age profile'!M$17</f>
        <v>100.00438243504942</v>
      </c>
      <c r="DB30">
        <f>'energy, food, transport'!O30*'t_occupation age profile'!N$17</f>
        <v>30.819891036442744</v>
      </c>
      <c r="DC30">
        <f>'energy, food, transport'!O30*'t_occupation age profile'!O$17</f>
        <v>18.935741052790423</v>
      </c>
      <c r="DD30">
        <f>'social welfare'!F30*'t_occupation age profile'!C$37</f>
        <v>5.083234446516359</v>
      </c>
      <c r="DE30">
        <f>'social welfare'!F30*'t_occupation age profile'!D$37</f>
        <v>32.590382550714807</v>
      </c>
      <c r="DF30">
        <f>'social welfare'!F30*'t_occupation age profile'!E$37</f>
        <v>49.46239475617336</v>
      </c>
      <c r="DG30">
        <f>'social welfare'!F30*'t_occupation age profile'!F$37</f>
        <v>55.158501440922194</v>
      </c>
      <c r="DH30">
        <f>'social welfare'!F30*'t_occupation age profile'!G$37</f>
        <v>78.844210883200546</v>
      </c>
      <c r="DI30">
        <f>'social welfare'!F30*'t_occupation age profile'!H$37</f>
        <v>111.50669605017799</v>
      </c>
      <c r="DJ30">
        <f>'social welfare'!F30*'t_occupation age profile'!I$37</f>
        <v>128.23450302311124</v>
      </c>
      <c r="DK30">
        <f>'social welfare'!F30*'t_occupation age profile'!J$37</f>
        <v>81.620161609312305</v>
      </c>
      <c r="DL30">
        <f>'social welfare'!F30*'t_occupation age profile'!K$37</f>
        <v>63.125840537944285</v>
      </c>
      <c r="DM30">
        <f>'social welfare'!F30*'t_occupation age profile'!L$37</f>
        <v>19.035090693337853</v>
      </c>
      <c r="DN30">
        <f>'social welfare'!F30*'t_occupation age profile'!M$37</f>
        <v>8.5802113352545621</v>
      </c>
      <c r="DO30">
        <f>'social welfare'!F30*'t_occupation age profile'!N$37</f>
        <v>3.1364638074249873</v>
      </c>
      <c r="DP30">
        <f>'social welfare'!F30*'t_occupation age profile'!O$37</f>
        <v>1.622308865909476</v>
      </c>
    </row>
    <row r="31" spans="1:120" ht="15.5" x14ac:dyDescent="0.3">
      <c r="A31" s="102">
        <v>30</v>
      </c>
      <c r="B31" s="102" t="s">
        <v>63</v>
      </c>
      <c r="C31" s="102" t="s">
        <v>64</v>
      </c>
      <c r="D31">
        <f>HCW!D31*'t_occupation age profile'!C$33</f>
        <v>634.98366338298501</v>
      </c>
      <c r="E31">
        <f>HCW!D31*'t_occupation age profile'!D$33</f>
        <v>5929.2190521623352</v>
      </c>
      <c r="F31">
        <f>HCW!D31*'t_occupation age profile'!E$33</f>
        <v>9009.5142895576919</v>
      </c>
      <c r="G31">
        <f>HCW!D31*'t_occupation age profile'!F$33</f>
        <v>8862.0405862050502</v>
      </c>
      <c r="H31">
        <f>HCW!D31*'t_occupation age profile'!G$33</f>
        <v>9117.0501383181854</v>
      </c>
      <c r="I31">
        <f>HCW!D31*'t_occupation age profile'!H$33</f>
        <v>7561.8729029630349</v>
      </c>
      <c r="J31">
        <f>HCW!D31*'t_occupation age profile'!I$33</f>
        <v>6721.8372864973799</v>
      </c>
      <c r="K31">
        <f>HCW!D31*'t_occupation age profile'!J$33</f>
        <v>4151.9845228116019</v>
      </c>
      <c r="L31">
        <f>HCW!D31*'t_occupation age profile'!K$33</f>
        <v>2906.008133433143</v>
      </c>
      <c r="M31">
        <f>HCW!D31*'t_occupation age profile'!L$33</f>
        <v>1019.2620310664762</v>
      </c>
      <c r="N31">
        <f>HCW!D31*'t_occupation age profile'!M$33</f>
        <v>482.28840306953032</v>
      </c>
      <c r="O31">
        <f>HCW!D31*'t_occupation age profile'!N$33</f>
        <v>177.46237508703271</v>
      </c>
      <c r="P31">
        <f>HCW!D31*'t_occupation age profile'!O$33</f>
        <v>77.47661544555146</v>
      </c>
      <c r="Q31">
        <f>'law enforcement'!I32*'t_occupation age profile'!C$39</f>
        <v>1270.5607671822443</v>
      </c>
      <c r="R31">
        <f>'law enforcement'!I32*'t_occupation age profile'!D$39</f>
        <v>5160.4115292537135</v>
      </c>
      <c r="S31">
        <f>'law enforcement'!I32*'t_occupation age profile'!E$39</f>
        <v>2477.4982927872043</v>
      </c>
      <c r="T31">
        <f>'law enforcement'!I32*'t_occupation age profile'!F$39</f>
        <v>1433.8164675630373</v>
      </c>
      <c r="U31">
        <f>'law enforcement'!I32*'t_occupation age profile'!G$39</f>
        <v>710.8982124418385</v>
      </c>
      <c r="V31">
        <f>'law enforcement'!I32*'t_occupation age profile'!H$39</f>
        <v>308.03077605761405</v>
      </c>
      <c r="W31">
        <f>'law enforcement'!I32*'t_occupation age profile'!I$39</f>
        <v>218.1528288058436</v>
      </c>
      <c r="X31">
        <f>'law enforcement'!I32*'t_occupation age profile'!J$39</f>
        <v>79.537961363680168</v>
      </c>
      <c r="Y31">
        <f>'law enforcement'!I32*'t_occupation age profile'!K$39</f>
        <v>43.518561975084047</v>
      </c>
      <c r="Z31">
        <f>'law enforcement'!I32*'t_occupation age profile'!L$39</f>
        <v>7.0613296045205391</v>
      </c>
      <c r="AA31">
        <f>'law enforcement'!I32*'t_occupation age profile'!M$39</f>
        <v>0</v>
      </c>
      <c r="AB31">
        <f>'law enforcement'!I32*'t_occupation age profile'!N$39</f>
        <v>0</v>
      </c>
      <c r="AC31">
        <f>'law enforcement'!I32*'t_occupation age profile'!O$39</f>
        <v>0</v>
      </c>
      <c r="AD31">
        <f>'community workers'!D31*'t_occupation age profile'!C$35</f>
        <v>179.7472463768116</v>
      </c>
      <c r="AE31">
        <f>'community workers'!D31*'t_occupation age profile'!D$35</f>
        <v>1191.9905356951153</v>
      </c>
      <c r="AF31">
        <f>'community workers'!D31*'t_occupation age profile'!E$35</f>
        <v>1564.0506924315619</v>
      </c>
      <c r="AG31">
        <f>'community workers'!D31*'t_occupation age profile'!F$35</f>
        <v>1624.9650370370371</v>
      </c>
      <c r="AH31">
        <f>'community workers'!D31*'t_occupation age profile'!G$35</f>
        <v>2375.5762232957595</v>
      </c>
      <c r="AI31">
        <f>'community workers'!D31*'t_occupation age profile'!H$35</f>
        <v>3021.0019838969401</v>
      </c>
      <c r="AJ31">
        <f>'community workers'!D31*'t_occupation age profile'!I$35</f>
        <v>3498.3307826086957</v>
      </c>
      <c r="AK31">
        <f>'community workers'!D31*'t_occupation age profile'!J$35</f>
        <v>2441.8996285560925</v>
      </c>
      <c r="AL31">
        <f>'community workers'!D31*'t_occupation age profile'!K$35</f>
        <v>2044.4584949006978</v>
      </c>
      <c r="AM31">
        <f>'community workers'!D31*'t_occupation age profile'!L$35</f>
        <v>854.38193451422444</v>
      </c>
      <c r="AN31">
        <f>'community workers'!D31*'t_occupation age profile'!M$35</f>
        <v>378.71746215780996</v>
      </c>
      <c r="AO31">
        <f>'community workers'!D31*'t_occupation age profile'!N$35</f>
        <v>142.79920128824475</v>
      </c>
      <c r="AP31">
        <f>'community workers'!D31*'t_occupation age profile'!O$35</f>
        <v>61.08077724100913</v>
      </c>
      <c r="AQ31">
        <f>'energy, food, transport'!D31*'t_occupation age profile'!C$3</f>
        <v>357.57815928371701</v>
      </c>
      <c r="AR31">
        <f>'energy, food, transport'!D31*'t_occupation age profile'!D$3</f>
        <v>1352.1082979302041</v>
      </c>
      <c r="AS31">
        <f>'energy, food, transport'!D31*'t_occupation age profile'!E$3</f>
        <v>1305.2805696889366</v>
      </c>
      <c r="AT31">
        <f>'energy, food, transport'!D31*'t_occupation age profile'!F$3</f>
        <v>1411.1342766540017</v>
      </c>
      <c r="AU31">
        <f>'energy, food, transport'!D31*'t_occupation age profile'!G$3</f>
        <v>1973.3380877821578</v>
      </c>
      <c r="AV31">
        <f>'energy, food, transport'!D31*'t_occupation age profile'!H$3</f>
        <v>2277.8538574668701</v>
      </c>
      <c r="AW31">
        <f>'energy, food, transport'!D31*'t_occupation age profile'!I$3</f>
        <v>1840.2755054352276</v>
      </c>
      <c r="AX31">
        <f>'energy, food, transport'!D31*'t_occupation age profile'!J$3</f>
        <v>1032.4802512588024</v>
      </c>
      <c r="AY31">
        <f>'energy, food, transport'!D31*'t_occupation age profile'!K$3</f>
        <v>786.00782345346192</v>
      </c>
      <c r="AZ31">
        <f>'energy, food, transport'!D31*'t_occupation age profile'!L$3</f>
        <v>311.6991838577573</v>
      </c>
      <c r="BA31">
        <f>'energy, food, transport'!D31*'t_occupation age profile'!M$3</f>
        <v>123.47340210649719</v>
      </c>
      <c r="BB31">
        <f>'energy, food, transport'!D31*'t_occupation age profile'!N$3</f>
        <v>44.083121882698364</v>
      </c>
      <c r="BC31">
        <f>'energy, food, transport'!D31*'t_occupation age profile'!O$3</f>
        <v>17.687463199668368</v>
      </c>
      <c r="BD31">
        <f>'energy, food, transport'!E31*'t_occupation age profile'!C$5</f>
        <v>639.44492531846004</v>
      </c>
      <c r="BE31">
        <f>'energy, food, transport'!E31*'t_occupation age profile'!D$5</f>
        <v>2229.879794625765</v>
      </c>
      <c r="BF31">
        <f>'energy, food, transport'!E31*'t_occupation age profile'!E$5</f>
        <v>2105.5915587408122</v>
      </c>
      <c r="BG31">
        <f>'energy, food, transport'!E31*'t_occupation age profile'!F$5</f>
        <v>2005.8133729586652</v>
      </c>
      <c r="BH31">
        <f>'energy, food, transport'!E31*'t_occupation age profile'!G$5</f>
        <v>2341.5564956396383</v>
      </c>
      <c r="BI31">
        <f>'energy, food, transport'!E31*'t_occupation age profile'!H$5</f>
        <v>2311.3868521494578</v>
      </c>
      <c r="BJ31">
        <f>'energy, food, transport'!E31*'t_occupation age profile'!I$5</f>
        <v>1714.6339777373385</v>
      </c>
      <c r="BK31">
        <f>'energy, food, transport'!E31*'t_occupation age profile'!J$5</f>
        <v>862.93201852858454</v>
      </c>
      <c r="BL31">
        <f>'energy, food, transport'!E31*'t_occupation age profile'!K$5</f>
        <v>571.57436839741922</v>
      </c>
      <c r="BM31">
        <f>'energy, food, transport'!E31*'t_occupation age profile'!L$5</f>
        <v>194.38697917897571</v>
      </c>
      <c r="BN31">
        <f>'energy, food, transport'!E31*'t_occupation age profile'!M$5</f>
        <v>70.90089038829673</v>
      </c>
      <c r="BO31">
        <f>'energy, food, transport'!E31*'t_occupation age profile'!N$5</f>
        <v>25.178506014699973</v>
      </c>
      <c r="BP31">
        <f>'energy, food, transport'!E31*'t_occupation age profile'!O$5</f>
        <v>11.72026032188689</v>
      </c>
      <c r="BQ31">
        <f>'energy, food, transport'!J31*'t_occupation age profile'!C$7</f>
        <v>541.91820969568209</v>
      </c>
      <c r="BR31">
        <f>'energy, food, transport'!J31*'t_occupation age profile'!D$7</f>
        <v>2591.6310116898921</v>
      </c>
      <c r="BS31">
        <f>'energy, food, transport'!J31*'t_occupation age profile'!E$7</f>
        <v>2836.2372682587666</v>
      </c>
      <c r="BT31">
        <f>'energy, food, transport'!J31*'t_occupation age profile'!F$7</f>
        <v>2775.1483950924312</v>
      </c>
      <c r="BU31">
        <f>'energy, food, transport'!J31*'t_occupation age profile'!G$7</f>
        <v>3066.9156796855555</v>
      </c>
      <c r="BV31">
        <f>'energy, food, transport'!J31*'t_occupation age profile'!H$7</f>
        <v>2754.0285018837276</v>
      </c>
      <c r="BW31">
        <f>'energy, food, transport'!J31*'t_occupation age profile'!I$7</f>
        <v>1981.1602198657622</v>
      </c>
      <c r="BX31">
        <f>'energy, food, transport'!J31*'t_occupation age profile'!J$7</f>
        <v>957.37130687467084</v>
      </c>
      <c r="BY31">
        <f>'energy, food, transport'!J31*'t_occupation age profile'!K$7</f>
        <v>623.26323373632772</v>
      </c>
      <c r="BZ31">
        <f>'energy, food, transport'!J31*'t_occupation age profile'!L$7</f>
        <v>229.63704466072676</v>
      </c>
      <c r="CA31">
        <f>'energy, food, transport'!J31*'t_occupation age profile'!M$7</f>
        <v>96.815763755860132</v>
      </c>
      <c r="CB31">
        <f>'energy, food, transport'!J31*'t_occupation age profile'!N$7</f>
        <v>38.628089640126802</v>
      </c>
      <c r="CC31">
        <f>'energy, food, transport'!J31*'t_occupation age profile'!O$7</f>
        <v>21.245275160470062</v>
      </c>
      <c r="CD31">
        <f>'energy, food, transport'!K31*'t_occupation age profile'!C$9</f>
        <v>351.03549257950243</v>
      </c>
      <c r="CE31">
        <f>'energy, food, transport'!K31*'t_occupation age profile'!D$9</f>
        <v>2970.7245494373892</v>
      </c>
      <c r="CF31">
        <f>'energy, food, transport'!K31*'t_occupation age profile'!E$9</f>
        <v>4782.9734813736541</v>
      </c>
      <c r="CG31">
        <f>'energy, food, transport'!K31*'t_occupation age profile'!F$9</f>
        <v>5823.2117215836579</v>
      </c>
      <c r="CH31">
        <f>'energy, food, transport'!K31*'t_occupation age profile'!G$9</f>
        <v>7908.5346810728415</v>
      </c>
      <c r="CI31">
        <f>'energy, food, transport'!K31*'t_occupation age profile'!H$9</f>
        <v>7603.5407396505179</v>
      </c>
      <c r="CJ31">
        <f>'energy, food, transport'!K31*'t_occupation age profile'!I$9</f>
        <v>6151.9366984481567</v>
      </c>
      <c r="CK31">
        <f>'energy, food, transport'!K31*'t_occupation age profile'!J$9</f>
        <v>3376.8260714408125</v>
      </c>
      <c r="CL31">
        <f>'energy, food, transport'!K31*'t_occupation age profile'!K$9</f>
        <v>2013.3778133070964</v>
      </c>
      <c r="CM31">
        <f>'energy, food, transport'!K31*'t_occupation age profile'!L$9</f>
        <v>313.93485970511563</v>
      </c>
      <c r="CN31">
        <f>'energy, food, transport'!K31*'t_occupation age profile'!M$9</f>
        <v>102.86234024407702</v>
      </c>
      <c r="CO31">
        <f>'energy, food, transport'!K31*'t_occupation age profile'!N$9</f>
        <v>30.332274174329775</v>
      </c>
      <c r="CP31">
        <f>'energy, food, transport'!K31*'t_occupation age profile'!O$9</f>
        <v>15.709276982848479</v>
      </c>
      <c r="CQ31">
        <f>'energy, food, transport'!O31*'t_occupation age profile'!C$17</f>
        <v>601.54362236236523</v>
      </c>
      <c r="CR31">
        <f>'energy, food, transport'!O31*'t_occupation age profile'!D$17</f>
        <v>4283.789379039762</v>
      </c>
      <c r="CS31">
        <f>'energy, food, transport'!O31*'t_occupation age profile'!E$17</f>
        <v>6445.904833725258</v>
      </c>
      <c r="CT31">
        <f>'energy, food, transport'!O31*'t_occupation age profile'!F$17</f>
        <v>7428.3018362842986</v>
      </c>
      <c r="CU31">
        <f>'energy, food, transport'!O31*'t_occupation age profile'!G$17</f>
        <v>9218.1195926913315</v>
      </c>
      <c r="CV31">
        <f>'energy, food, transport'!O31*'t_occupation age profile'!H$17</f>
        <v>8622.9492774012233</v>
      </c>
      <c r="CW31">
        <f>'energy, food, transport'!O31*'t_occupation age profile'!I$17</f>
        <v>6584.5918582279119</v>
      </c>
      <c r="CX31">
        <f>'energy, food, transport'!O31*'t_occupation age profile'!J$17</f>
        <v>3498.3468780651892</v>
      </c>
      <c r="CY31">
        <f>'energy, food, transport'!O31*'t_occupation age profile'!K$17</f>
        <v>1896.5803063931992</v>
      </c>
      <c r="CZ31">
        <f>'energy, food, transport'!O31*'t_occupation age profile'!L$17</f>
        <v>389.91120145997337</v>
      </c>
      <c r="DA31">
        <f>'energy, food, transport'!O31*'t_occupation age profile'!M$17</f>
        <v>117.50060675033325</v>
      </c>
      <c r="DB31">
        <f>'energy, food, transport'!O31*'t_occupation age profile'!N$17</f>
        <v>36.211972001458712</v>
      </c>
      <c r="DC31">
        <f>'energy, food, transport'!O31*'t_occupation age profile'!O$17</f>
        <v>22.248635597696236</v>
      </c>
      <c r="DD31">
        <f>'social welfare'!F31*'t_occupation age profile'!C$37</f>
        <v>10.73215799288015</v>
      </c>
      <c r="DE31">
        <f>'social welfare'!F31*'t_occupation age profile'!D$37</f>
        <v>68.807594507543655</v>
      </c>
      <c r="DF31">
        <f>'social welfare'!F31*'t_occupation age profile'!E$37</f>
        <v>104.42922529242244</v>
      </c>
      <c r="DG31">
        <f>'social welfare'!F31*'t_occupation age profile'!F$37</f>
        <v>116.45533141210375</v>
      </c>
      <c r="DH31">
        <f>'social welfare'!F31*'t_occupation age profile'!G$37</f>
        <v>166.46262078318361</v>
      </c>
      <c r="DI31">
        <f>'social welfare'!F31*'t_occupation age profile'!H$37</f>
        <v>235.42244448211559</v>
      </c>
      <c r="DJ31">
        <f>'social welfare'!F31*'t_occupation age profile'!I$37</f>
        <v>270.73961688421764</v>
      </c>
      <c r="DK31">
        <f>'social welfare'!F31*'t_occupation age profile'!J$37</f>
        <v>172.32344465163587</v>
      </c>
      <c r="DL31">
        <f>'social welfare'!F31*'t_occupation age profile'!K$37</f>
        <v>133.27665706051872</v>
      </c>
      <c r="DM31">
        <f>'social welfare'!F31*'t_occupation age profile'!L$37</f>
        <v>40.18850652652992</v>
      </c>
      <c r="DN31">
        <f>'social welfare'!F31*'t_occupation age profile'!M$37</f>
        <v>18.115273775216139</v>
      </c>
      <c r="DO31">
        <f>'social welfare'!F31*'t_occupation age profile'!N$37</f>
        <v>6.6219698253941344</v>
      </c>
      <c r="DP31">
        <f>'social welfare'!F31*'t_occupation age profile'!O$37</f>
        <v>3.4251568062383453</v>
      </c>
    </row>
    <row r="32" spans="1:120" ht="15.5" x14ac:dyDescent="0.3">
      <c r="A32" s="102">
        <v>31</v>
      </c>
      <c r="B32" s="102" t="s">
        <v>65</v>
      </c>
      <c r="C32" s="102" t="s">
        <v>66</v>
      </c>
      <c r="D32">
        <f>HCW!D32*'t_occupation age profile'!C$33</f>
        <v>2441.9034251344256</v>
      </c>
      <c r="E32">
        <f>HCW!D32*'t_occupation age profile'!D$33</f>
        <v>22801.500490123421</v>
      </c>
      <c r="F32">
        <f>HCW!D32*'t_occupation age profile'!E$33</f>
        <v>34647.133573890307</v>
      </c>
      <c r="G32">
        <f>HCW!D32*'t_occupation age profile'!F$33</f>
        <v>34080.00631991421</v>
      </c>
      <c r="H32">
        <f>HCW!D32*'t_occupation age profile'!G$33</f>
        <v>35060.675169612601</v>
      </c>
      <c r="I32">
        <f>HCW!D32*'t_occupation age profile'!H$33</f>
        <v>29080.060491319146</v>
      </c>
      <c r="J32">
        <f>HCW!D32*'t_occupation age profile'!I$33</f>
        <v>25849.605965680152</v>
      </c>
      <c r="K32">
        <f>HCW!D32*'t_occupation age profile'!J$33</f>
        <v>15966.938697828637</v>
      </c>
      <c r="L32">
        <f>HCW!D32*'t_occupation age profile'!K$33</f>
        <v>11175.391783613311</v>
      </c>
      <c r="M32">
        <f>HCW!D32*'t_occupation age profile'!L$33</f>
        <v>3919.690518509477</v>
      </c>
      <c r="N32">
        <f>HCW!D32*'t_occupation age profile'!M$33</f>
        <v>1854.6960674290256</v>
      </c>
      <c r="O32">
        <f>HCW!D32*'t_occupation age profile'!N$33</f>
        <v>682.45217404301377</v>
      </c>
      <c r="P32">
        <f>HCW!D32*'t_occupation age profile'!O$33</f>
        <v>297.94532290227801</v>
      </c>
      <c r="Q32">
        <f>'law enforcement'!I33*'t_occupation age profile'!C$39</f>
        <v>6012.7253175749966</v>
      </c>
      <c r="R32">
        <f>'law enforcement'!I33*'t_occupation age profile'!D$39</f>
        <v>24420.820989035899</v>
      </c>
      <c r="S32">
        <f>'law enforcement'!I33*'t_occupation age profile'!E$39</f>
        <v>11724.363835290498</v>
      </c>
      <c r="T32">
        <f>'law enforcement'!I33*'t_occupation age profile'!F$39</f>
        <v>6785.3067700111351</v>
      </c>
      <c r="U32">
        <f>'law enforcement'!I33*'t_occupation age profile'!G$39</f>
        <v>3364.2119216756382</v>
      </c>
      <c r="V32">
        <f>'law enforcement'!I33*'t_occupation age profile'!H$39</f>
        <v>1457.7063086099774</v>
      </c>
      <c r="W32">
        <f>'law enforcement'!I33*'t_occupation age profile'!I$39</f>
        <v>1032.3733195150326</v>
      </c>
      <c r="X32">
        <f>'law enforcement'!I33*'t_occupation age profile'!J$39</f>
        <v>376.40066209529414</v>
      </c>
      <c r="Y32">
        <f>'law enforcement'!I33*'t_occupation age profile'!K$39</f>
        <v>205.94462392565924</v>
      </c>
      <c r="Z32">
        <f>'law enforcement'!I33*'t_occupation age profile'!L$39</f>
        <v>33.416611299121357</v>
      </c>
      <c r="AA32">
        <f>'law enforcement'!I33*'t_occupation age profile'!M$39</f>
        <v>0</v>
      </c>
      <c r="AB32">
        <f>'law enforcement'!I33*'t_occupation age profile'!N$39</f>
        <v>0</v>
      </c>
      <c r="AC32">
        <f>'law enforcement'!I33*'t_occupation age profile'!O$39</f>
        <v>0</v>
      </c>
      <c r="AD32">
        <f>'community workers'!D32*'t_occupation age profile'!C$35</f>
        <v>1503.656811594203</v>
      </c>
      <c r="AE32">
        <f>'community workers'!D32*'t_occupation age profile'!D$35</f>
        <v>9971.4723005904452</v>
      </c>
      <c r="AF32">
        <f>'community workers'!D32*'t_occupation age profile'!E$35</f>
        <v>13083.90267310789</v>
      </c>
      <c r="AG32">
        <f>'community workers'!D32*'t_occupation age profile'!F$35</f>
        <v>13593.475259259259</v>
      </c>
      <c r="AH32">
        <f>'community workers'!D32*'t_occupation age profile'!G$35</f>
        <v>19872.634722490606</v>
      </c>
      <c r="AI32">
        <f>'community workers'!D32*'t_occupation age profile'!H$35</f>
        <v>25271.876495974233</v>
      </c>
      <c r="AJ32">
        <f>'community workers'!D32*'t_occupation age profile'!I$35</f>
        <v>29264.920695652174</v>
      </c>
      <c r="AK32">
        <f>'community workers'!D32*'t_occupation age profile'!J$35</f>
        <v>20427.456240472355</v>
      </c>
      <c r="AL32">
        <f>'community workers'!D32*'t_occupation age profile'!K$35</f>
        <v>17102.703957058508</v>
      </c>
      <c r="AM32">
        <f>'community workers'!D32*'t_occupation age profile'!L$35</f>
        <v>7147.2428169618897</v>
      </c>
      <c r="AN32">
        <f>'community workers'!D32*'t_occupation age profile'!M$35</f>
        <v>3168.1213655394522</v>
      </c>
      <c r="AO32">
        <f>'community workers'!D32*'t_occupation age profile'!N$35</f>
        <v>1194.5718003220611</v>
      </c>
      <c r="AP32">
        <f>'community workers'!D32*'t_occupation age profile'!O$35</f>
        <v>510.96486097691894</v>
      </c>
      <c r="AQ32">
        <f>'energy, food, transport'!D32*'t_occupation age profile'!C$3</f>
        <v>1401.6406254538158</v>
      </c>
      <c r="AR32">
        <f>'energy, food, transport'!D32*'t_occupation age profile'!D$3</f>
        <v>5300.0158739798217</v>
      </c>
      <c r="AS32">
        <f>'energy, food, transport'!D32*'t_occupation age profile'!E$3</f>
        <v>5116.4597909345111</v>
      </c>
      <c r="AT32">
        <f>'energy, food, transport'!D32*'t_occupation age profile'!F$3</f>
        <v>5531.3868556476464</v>
      </c>
      <c r="AU32">
        <f>'energy, food, transport'!D32*'t_occupation age profile'!G$3</f>
        <v>7735.1224054941076</v>
      </c>
      <c r="AV32">
        <f>'energy, food, transport'!D32*'t_occupation age profile'!H$3</f>
        <v>8928.7682219399958</v>
      </c>
      <c r="AW32">
        <f>'energy, food, transport'!D32*'t_occupation age profile'!I$3</f>
        <v>7213.5415530202017</v>
      </c>
      <c r="AX32">
        <f>'energy, food, transport'!D32*'t_occupation age profile'!J$3</f>
        <v>4047.1327109071563</v>
      </c>
      <c r="AY32">
        <f>'energy, food, transport'!D32*'t_occupation age profile'!K$3</f>
        <v>3081.0061204067247</v>
      </c>
      <c r="AZ32">
        <f>'energy, food, transport'!D32*'t_occupation age profile'!L$3</f>
        <v>1221.803478968033</v>
      </c>
      <c r="BA32">
        <f>'energy, food, transport'!D32*'t_occupation age profile'!M$3</f>
        <v>483.993029390098</v>
      </c>
      <c r="BB32">
        <f>'energy, food, transport'!D32*'t_occupation age profile'!N$3</f>
        <v>172.79773085524633</v>
      </c>
      <c r="BC32">
        <f>'energy, food, transport'!D32*'t_occupation age profile'!O$3</f>
        <v>69.331603002643021</v>
      </c>
      <c r="BD32">
        <f>'energy, food, transport'!E32*'t_occupation age profile'!C$5</f>
        <v>1261.976458180701</v>
      </c>
      <c r="BE32">
        <f>'energy, food, transport'!E32*'t_occupation age profile'!D$5</f>
        <v>4400.7790099969279</v>
      </c>
      <c r="BF32">
        <f>'energy, food, transport'!E32*'t_occupation age profile'!E$5</f>
        <v>4155.4899764847678</v>
      </c>
      <c r="BG32">
        <f>'energy, food, transport'!E32*'t_occupation age profile'!F$5</f>
        <v>3958.5727495096071</v>
      </c>
      <c r="BH32">
        <f>'energy, food, transport'!E32*'t_occupation age profile'!G$5</f>
        <v>4621.1785503273231</v>
      </c>
      <c r="BI32">
        <f>'energy, food, transport'!E32*'t_occupation age profile'!H$5</f>
        <v>4561.6372539172362</v>
      </c>
      <c r="BJ32">
        <f>'energy, food, transport'!E32*'t_occupation age profile'!I$5</f>
        <v>3383.9156878500698</v>
      </c>
      <c r="BK32">
        <f>'energy, food, transport'!E32*'t_occupation age profile'!J$5</f>
        <v>1703.0393850589653</v>
      </c>
      <c r="BL32">
        <f>'energy, food, transport'!E32*'t_occupation age profile'!K$5</f>
        <v>1128.0305284427952</v>
      </c>
      <c r="BM32">
        <f>'energy, food, transport'!E32*'t_occupation age profile'!L$5</f>
        <v>383.63240020797389</v>
      </c>
      <c r="BN32">
        <f>'energy, food, transport'!E32*'t_occupation age profile'!M$5</f>
        <v>139.92644400066172</v>
      </c>
      <c r="BO32">
        <f>'energy, food, transport'!E32*'t_occupation age profile'!N$5</f>
        <v>49.691037624370765</v>
      </c>
      <c r="BP32">
        <f>'energy, food, transport'!E32*'t_occupation age profile'!O$5</f>
        <v>23.130518398600902</v>
      </c>
      <c r="BQ32">
        <f>'energy, food, transport'!J32*'t_occupation age profile'!C$7</f>
        <v>813.69689485417882</v>
      </c>
      <c r="BR32">
        <f>'energy, food, transport'!J32*'t_occupation age profile'!D$7</f>
        <v>3891.3660199831106</v>
      </c>
      <c r="BS32">
        <f>'energy, food, transport'!J32*'t_occupation age profile'!E$7</f>
        <v>4258.6453397604764</v>
      </c>
      <c r="BT32">
        <f>'energy, food, transport'!J32*'t_occupation age profile'!F$7</f>
        <v>4166.9196410918494</v>
      </c>
      <c r="BU32">
        <f>'energy, food, transport'!J32*'t_occupation age profile'!G$7</f>
        <v>4605.0118277832325</v>
      </c>
      <c r="BV32">
        <f>'energy, food, transport'!J32*'t_occupation age profile'!H$7</f>
        <v>4135.2078602066413</v>
      </c>
      <c r="BW32">
        <f>'energy, food, transport'!J32*'t_occupation age profile'!I$7</f>
        <v>2974.7365751349425</v>
      </c>
      <c r="BX32">
        <f>'energy, food, transport'!J32*'t_occupation age profile'!J$7</f>
        <v>1437.5048590152844</v>
      </c>
      <c r="BY32">
        <f>'energy, food, transport'!J32*'t_occupation age profile'!K$7</f>
        <v>935.8374546092781</v>
      </c>
      <c r="BZ32">
        <f>'energy, food, transport'!J32*'t_occupation age profile'!L$7</f>
        <v>344.80286294282939</v>
      </c>
      <c r="CA32">
        <f>'energy, food, transport'!J32*'t_occupation age profile'!M$7</f>
        <v>145.37006679535247</v>
      </c>
      <c r="CB32">
        <f>'energy, food, transport'!J32*'t_occupation age profile'!N$7</f>
        <v>58.000554386188014</v>
      </c>
      <c r="CC32">
        <f>'energy, food, transport'!J32*'t_occupation age profile'!O$7</f>
        <v>31.900043436637532</v>
      </c>
      <c r="CD32">
        <f>'energy, food, transport'!K32*'t_occupation age profile'!C$9</f>
        <v>957.37953511253215</v>
      </c>
      <c r="CE32">
        <f>'energy, food, transport'!K32*'t_occupation age profile'!D$9</f>
        <v>8102.0607551346702</v>
      </c>
      <c r="CF32">
        <f>'energy, food, transport'!K32*'t_occupation age profile'!E$9</f>
        <v>13044.609519124338</v>
      </c>
      <c r="CG32">
        <f>'energy, food, transport'!K32*'t_occupation age profile'!F$9</f>
        <v>15881.652564260239</v>
      </c>
      <c r="CH32">
        <f>'energy, food, transport'!K32*'t_occupation age profile'!G$9</f>
        <v>21568.95646291969</v>
      </c>
      <c r="CI32">
        <f>'energy, food, transport'!K32*'t_occupation age profile'!H$9</f>
        <v>20737.146107489854</v>
      </c>
      <c r="CJ32">
        <f>'energy, food, transport'!K32*'t_occupation age profile'!I$9</f>
        <v>16778.184602139958</v>
      </c>
      <c r="CK32">
        <f>'energy, food, transport'!K32*'t_occupation age profile'!J$9</f>
        <v>9209.6219407206991</v>
      </c>
      <c r="CL32">
        <f>'energy, food, transport'!K32*'t_occupation age profile'!K$9</f>
        <v>5491.0878120772359</v>
      </c>
      <c r="CM32">
        <f>'energy, food, transport'!K32*'t_occupation age profile'!L$9</f>
        <v>856.19493297257407</v>
      </c>
      <c r="CN32">
        <f>'energy, food, transport'!K32*'t_occupation age profile'!M$9</f>
        <v>280.53658836551472</v>
      </c>
      <c r="CO32">
        <f>'energy, food, transport'!K32*'t_occupation age profile'!N$9</f>
        <v>82.725249046857698</v>
      </c>
      <c r="CP32">
        <f>'energy, food, transport'!K32*'t_occupation age profile'!O$9</f>
        <v>42.843930635838149</v>
      </c>
      <c r="CQ32">
        <f>'energy, food, transport'!O32*'t_occupation age profile'!C$17</f>
        <v>2037.5200239399162</v>
      </c>
      <c r="CR32">
        <f>'energy, food, transport'!O32*'t_occupation age profile'!D$17</f>
        <v>14509.848186665326</v>
      </c>
      <c r="CS32">
        <f>'energy, food, transport'!O32*'t_occupation age profile'!E$17</f>
        <v>21833.26309661163</v>
      </c>
      <c r="CT32">
        <f>'energy, food, transport'!O32*'t_occupation age profile'!F$17</f>
        <v>25160.791624487563</v>
      </c>
      <c r="CU32">
        <f>'energy, food, transport'!O32*'t_occupation age profile'!G$17</f>
        <v>31223.177430459495</v>
      </c>
      <c r="CV32">
        <f>'energy, food, transport'!O32*'t_occupation age profile'!H$17</f>
        <v>29207.244769922159</v>
      </c>
      <c r="CW32">
        <f>'energy, food, transport'!O32*'t_occupation age profile'!I$17</f>
        <v>22303.017207502326</v>
      </c>
      <c r="CX32">
        <f>'energy, food, transport'!O32*'t_occupation age profile'!J$17</f>
        <v>11849.434604181861</v>
      </c>
      <c r="CY32">
        <f>'energy, food, transport'!O32*'t_occupation age profile'!K$17</f>
        <v>6424.0068510915216</v>
      </c>
      <c r="CZ32">
        <f>'energy, food, transport'!O32*'t_occupation age profile'!L$17</f>
        <v>1320.6887264687759</v>
      </c>
      <c r="DA32">
        <f>'energy, food, transport'!O32*'t_occupation age profile'!M$17</f>
        <v>397.99248164030081</v>
      </c>
      <c r="DB32">
        <f>'energy, food, transport'!O32*'t_occupation age profile'!N$17</f>
        <v>122.65547387829783</v>
      </c>
      <c r="DC32">
        <f>'energy, food, transport'!O32*'t_occupation age profile'!O$17</f>
        <v>75.359523150826192</v>
      </c>
      <c r="DD32">
        <f>'social welfare'!F32*'t_occupation age profile'!C$37</f>
        <v>41.359043905746738</v>
      </c>
      <c r="DE32">
        <f>'social welfare'!F32*'t_occupation age profile'!D$37</f>
        <v>265.16720348081594</v>
      </c>
      <c r="DF32">
        <f>'social welfare'!F32*'t_occupation age profile'!E$37</f>
        <v>402.44403006159234</v>
      </c>
      <c r="DG32">
        <f>'social welfare'!F32*'t_occupation age profile'!F$37</f>
        <v>448.78962536023056</v>
      </c>
      <c r="DH32">
        <f>'social welfare'!F32*'t_occupation age profile'!G$37</f>
        <v>641.50517036785902</v>
      </c>
      <c r="DI32">
        <f>'social welfare'!F32*'t_occupation age profile'!H$37</f>
        <v>907.25902695372088</v>
      </c>
      <c r="DJ32">
        <f>'social welfare'!F32*'t_occupation age profile'!I$37</f>
        <v>1043.3625473244051</v>
      </c>
      <c r="DK32">
        <f>'social welfare'!F32*'t_occupation age profile'!J$37</f>
        <v>664.09131491213191</v>
      </c>
      <c r="DL32">
        <f>'social welfare'!F32*'t_occupation age profile'!K$37</f>
        <v>513.61479346781937</v>
      </c>
      <c r="DM32">
        <f>'social welfare'!F32*'t_occupation age profile'!L$37</f>
        <v>154.87641973215801</v>
      </c>
      <c r="DN32">
        <f>'social welfare'!F32*'t_occupation age profile'!M$37</f>
        <v>69.811719500480308</v>
      </c>
      <c r="DO32">
        <f>'social welfare'!F32*'t_occupation age profile'!N$37</f>
        <v>25.519410069503305</v>
      </c>
      <c r="DP32">
        <f>'social welfare'!F32*'t_occupation age profile'!O$37</f>
        <v>13.199694863536191</v>
      </c>
    </row>
  </sheetData>
  <phoneticPr fontId="24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O39"/>
  <sheetViews>
    <sheetView workbookViewId="0">
      <selection activeCell="C40" sqref="C40"/>
    </sheetView>
  </sheetViews>
  <sheetFormatPr defaultColWidth="9" defaultRowHeight="14" x14ac:dyDescent="0.3"/>
  <cols>
    <col min="1" max="1" width="34.08203125" style="89" customWidth="1"/>
  </cols>
  <sheetData>
    <row r="1" spans="1:15" ht="15" x14ac:dyDescent="0.3">
      <c r="A1" s="90" t="s">
        <v>210</v>
      </c>
      <c r="B1" s="14" t="s">
        <v>211</v>
      </c>
      <c r="C1" s="14" t="s">
        <v>212</v>
      </c>
      <c r="D1" s="14" t="s">
        <v>213</v>
      </c>
      <c r="E1" s="14" t="s">
        <v>214</v>
      </c>
      <c r="F1" s="14" t="s">
        <v>215</v>
      </c>
      <c r="G1" s="14" t="s">
        <v>216</v>
      </c>
      <c r="H1" s="14" t="s">
        <v>217</v>
      </c>
      <c r="I1" s="14" t="s">
        <v>218</v>
      </c>
      <c r="J1" s="14" t="s">
        <v>219</v>
      </c>
      <c r="K1" s="14" t="s">
        <v>220</v>
      </c>
      <c r="L1" s="14" t="s">
        <v>221</v>
      </c>
      <c r="M1" s="14" t="s">
        <v>222</v>
      </c>
      <c r="N1" s="14" t="s">
        <v>223</v>
      </c>
      <c r="O1" s="14" t="s">
        <v>224</v>
      </c>
    </row>
    <row r="2" spans="1:15" ht="15" x14ac:dyDescent="0.3">
      <c r="A2" s="90" t="s">
        <v>225</v>
      </c>
      <c r="B2" s="15">
        <v>378733</v>
      </c>
      <c r="C2" s="15">
        <v>10553</v>
      </c>
      <c r="D2" s="15">
        <v>39904</v>
      </c>
      <c r="E2" s="15">
        <v>38522</v>
      </c>
      <c r="F2" s="15">
        <v>41646</v>
      </c>
      <c r="G2" s="15">
        <v>58238</v>
      </c>
      <c r="H2" s="15">
        <v>67225</v>
      </c>
      <c r="I2" s="15">
        <v>54311</v>
      </c>
      <c r="J2" s="15">
        <v>30471</v>
      </c>
      <c r="K2" s="15">
        <v>23197</v>
      </c>
      <c r="L2" s="15">
        <v>9199</v>
      </c>
      <c r="M2" s="15">
        <v>3644</v>
      </c>
      <c r="N2" s="15">
        <v>1301</v>
      </c>
      <c r="O2" s="15">
        <v>522</v>
      </c>
    </row>
    <row r="3" spans="1:15" ht="15" x14ac:dyDescent="0.3">
      <c r="A3" s="91" t="s">
        <v>226</v>
      </c>
      <c r="B3" s="16">
        <v>1</v>
      </c>
      <c r="C3" s="92">
        <f>C2/B2</f>
        <v>2.7863956930080029E-2</v>
      </c>
      <c r="D3" s="92">
        <f>D2/B2</f>
        <v>0.10536182482118009</v>
      </c>
      <c r="E3" s="92">
        <f>E2/B2</f>
        <v>0.10171281615280423</v>
      </c>
      <c r="F3" s="92">
        <f>F2/B2</f>
        <v>0.10996137120345996</v>
      </c>
      <c r="G3" s="92">
        <f>G2/B2</f>
        <v>0.15377059828427941</v>
      </c>
      <c r="H3" s="92">
        <f>H2/B2</f>
        <v>0.17749971615887711</v>
      </c>
      <c r="I3" s="92">
        <f>I2/B2</f>
        <v>0.14340181605511007</v>
      </c>
      <c r="J3" s="92">
        <f>J2/B2</f>
        <v>8.0455096334356921E-2</v>
      </c>
      <c r="K3" s="92">
        <f>K2/B2</f>
        <v>6.1248953748419072E-2</v>
      </c>
      <c r="L3" s="92">
        <f>L2/B2</f>
        <v>2.4288878972785578E-2</v>
      </c>
      <c r="M3" s="92">
        <f>M2/B2</f>
        <v>9.6215539707392803E-3</v>
      </c>
      <c r="N3" s="92">
        <f>N2/B2</f>
        <v>3.4351376827474766E-3</v>
      </c>
      <c r="O3" s="92">
        <f>O2/B2</f>
        <v>1.378279685160786E-3</v>
      </c>
    </row>
    <row r="4" spans="1:15" ht="15" x14ac:dyDescent="0.3">
      <c r="A4" s="90" t="s">
        <v>227</v>
      </c>
      <c r="B4" s="15">
        <v>338504</v>
      </c>
      <c r="C4" s="17">
        <v>14349</v>
      </c>
      <c r="D4" s="17">
        <v>50038</v>
      </c>
      <c r="E4" s="17">
        <v>47249</v>
      </c>
      <c r="F4" s="17">
        <v>45010</v>
      </c>
      <c r="G4" s="17">
        <v>52544</v>
      </c>
      <c r="H4" s="17">
        <v>51867</v>
      </c>
      <c r="I4" s="17">
        <v>38476</v>
      </c>
      <c r="J4" s="17">
        <v>19364</v>
      </c>
      <c r="K4" s="17">
        <v>12826</v>
      </c>
      <c r="L4" s="17">
        <v>4362</v>
      </c>
      <c r="M4" s="17">
        <v>1591</v>
      </c>
      <c r="N4" s="17">
        <v>565</v>
      </c>
      <c r="O4" s="17">
        <v>263</v>
      </c>
    </row>
    <row r="5" spans="1:15" ht="15" x14ac:dyDescent="0.3">
      <c r="A5" s="91" t="s">
        <v>228</v>
      </c>
      <c r="B5" s="16">
        <v>1</v>
      </c>
      <c r="C5" s="92">
        <f>C4/B4</f>
        <v>4.238945477749155E-2</v>
      </c>
      <c r="D5" s="92">
        <f>D4/B4</f>
        <v>0.14782100063810177</v>
      </c>
      <c r="E5" s="92">
        <f>E4/B4</f>
        <v>0.13958180700966605</v>
      </c>
      <c r="F5" s="92">
        <f>F4/B4</f>
        <v>0.13296740954316641</v>
      </c>
      <c r="G5" s="92">
        <f>G4/B4</f>
        <v>0.15522416278685039</v>
      </c>
      <c r="H5" s="92">
        <f>H4/B4</f>
        <v>0.1532241864202491</v>
      </c>
      <c r="I5" s="92">
        <f>I4/B4</f>
        <v>0.11366483113936615</v>
      </c>
      <c r="J5" s="92">
        <f>J4/B4</f>
        <v>5.7204641599508423E-2</v>
      </c>
      <c r="K5" s="92">
        <f>K4/B4</f>
        <v>3.7890246496348638E-2</v>
      </c>
      <c r="L5" s="92">
        <f>L4/B4</f>
        <v>1.2886110651572802E-2</v>
      </c>
      <c r="M5" s="92">
        <f>M4/B4</f>
        <v>4.700092170255004E-3</v>
      </c>
      <c r="N5" s="92">
        <f>N4/B4</f>
        <v>1.6691087845343039E-3</v>
      </c>
      <c r="O5" s="92">
        <f>O4/B4</f>
        <v>7.7694798288941932E-4</v>
      </c>
    </row>
    <row r="6" spans="1:15" ht="15" x14ac:dyDescent="0.3">
      <c r="A6" s="90" t="s">
        <v>229</v>
      </c>
      <c r="B6" s="17">
        <v>5315789</v>
      </c>
      <c r="C6" s="17">
        <v>155597</v>
      </c>
      <c r="D6" s="17">
        <v>744116</v>
      </c>
      <c r="E6" s="17">
        <v>814348</v>
      </c>
      <c r="F6" s="17">
        <v>796808</v>
      </c>
      <c r="G6" s="17">
        <v>880581</v>
      </c>
      <c r="H6" s="17">
        <v>790744</v>
      </c>
      <c r="I6" s="17">
        <v>568836</v>
      </c>
      <c r="J6" s="17">
        <v>274883</v>
      </c>
      <c r="K6" s="17">
        <v>178953</v>
      </c>
      <c r="L6" s="17">
        <v>65934</v>
      </c>
      <c r="M6" s="17">
        <v>27798</v>
      </c>
      <c r="N6" s="17">
        <v>11091</v>
      </c>
      <c r="O6" s="17">
        <v>6100</v>
      </c>
    </row>
    <row r="7" spans="1:15" ht="15" x14ac:dyDescent="0.3">
      <c r="A7" s="91" t="s">
        <v>230</v>
      </c>
      <c r="B7" s="92">
        <v>1</v>
      </c>
      <c r="C7" s="92">
        <f>C6/B6</f>
        <v>2.9270725380559689E-2</v>
      </c>
      <c r="D7" s="92">
        <f>D6/B6</f>
        <v>0.13998223029544626</v>
      </c>
      <c r="E7" s="92">
        <f>E6/B6</f>
        <v>0.15319419186878938</v>
      </c>
      <c r="F7" s="92">
        <f>F6/B6</f>
        <v>0.14989458761436919</v>
      </c>
      <c r="G7" s="92">
        <f>G6/B6</f>
        <v>0.16565386624638412</v>
      </c>
      <c r="H7" s="92">
        <f>H6/B6</f>
        <v>0.14875383503747044</v>
      </c>
      <c r="I7" s="92">
        <f>I6/B6</f>
        <v>0.10700876201068177</v>
      </c>
      <c r="J7" s="92">
        <f>J6/B6</f>
        <v>5.1710667974217937E-2</v>
      </c>
      <c r="K7" s="92">
        <f>K6/B6</f>
        <v>3.3664428742374838E-2</v>
      </c>
      <c r="L7" s="92">
        <f>L6/B6</f>
        <v>1.2403426847830116E-2</v>
      </c>
      <c r="M7" s="92">
        <f>M6/B6</f>
        <v>5.2293271986529185E-3</v>
      </c>
      <c r="N7" s="92">
        <f>N6/B6</f>
        <v>2.0864259284933996E-3</v>
      </c>
      <c r="O7" s="92">
        <f>O6/B6</f>
        <v>1.1475248547299375E-3</v>
      </c>
    </row>
    <row r="8" spans="1:15" ht="15" x14ac:dyDescent="0.3">
      <c r="A8" s="93" t="s">
        <v>231</v>
      </c>
      <c r="B8" s="15">
        <v>495991</v>
      </c>
      <c r="C8" s="15">
        <v>4201</v>
      </c>
      <c r="D8" s="15">
        <v>35552</v>
      </c>
      <c r="E8" s="15">
        <v>57240</v>
      </c>
      <c r="F8" s="15">
        <v>69689</v>
      </c>
      <c r="G8" s="15">
        <v>94645</v>
      </c>
      <c r="H8" s="15">
        <v>90995</v>
      </c>
      <c r="I8" s="15">
        <v>73623</v>
      </c>
      <c r="J8" s="15">
        <v>40412</v>
      </c>
      <c r="K8" s="15">
        <v>24095</v>
      </c>
      <c r="L8" s="15">
        <v>3757</v>
      </c>
      <c r="M8" s="15">
        <v>1231</v>
      </c>
      <c r="N8" s="15">
        <v>363</v>
      </c>
      <c r="O8" s="15">
        <v>188</v>
      </c>
    </row>
    <row r="9" spans="1:15" ht="15" x14ac:dyDescent="0.3">
      <c r="A9" s="94" t="s">
        <v>232</v>
      </c>
      <c r="B9" s="92">
        <v>1</v>
      </c>
      <c r="C9" s="92">
        <f>C8/B8</f>
        <v>8.4699117524309909E-3</v>
      </c>
      <c r="D9" s="92">
        <f>D8/B8</f>
        <v>7.1678719976773775E-2</v>
      </c>
      <c r="E9" s="92">
        <f>E8/B8</f>
        <v>0.11540531985459414</v>
      </c>
      <c r="F9" s="92">
        <f>F8/B8</f>
        <v>0.14050456560703722</v>
      </c>
      <c r="G9" s="92">
        <f>G8/B8</f>
        <v>0.19081999471764607</v>
      </c>
      <c r="H9" s="92">
        <f>H8/B8</f>
        <v>0.18346099021958059</v>
      </c>
      <c r="I9" s="92">
        <f>I8/B8</f>
        <v>0.14843616114002067</v>
      </c>
      <c r="J9" s="92">
        <f>J8/B8</f>
        <v>8.1477284870088373E-2</v>
      </c>
      <c r="K9" s="92">
        <f>K8/B8</f>
        <v>4.8579510515311772E-2</v>
      </c>
      <c r="L9" s="92">
        <f>L8/B8</f>
        <v>7.574734218967683E-3</v>
      </c>
      <c r="M9" s="92">
        <f>M8/B8</f>
        <v>2.481899873183183E-3</v>
      </c>
      <c r="N9" s="92">
        <f>N8/B8</f>
        <v>7.3186811857473217E-4</v>
      </c>
      <c r="O9" s="92">
        <f>O8/B8</f>
        <v>3.7903913579077041E-4</v>
      </c>
    </row>
    <row r="10" spans="1:15" ht="15" x14ac:dyDescent="0.3">
      <c r="A10" s="90" t="s">
        <v>233</v>
      </c>
      <c r="B10" s="95">
        <f>SUM(C10:O10)</f>
        <v>373771</v>
      </c>
      <c r="C10" s="15">
        <v>3178</v>
      </c>
      <c r="D10" s="15">
        <v>27543</v>
      </c>
      <c r="E10" s="15">
        <v>43468</v>
      </c>
      <c r="F10" s="15">
        <v>52357</v>
      </c>
      <c r="G10" s="15">
        <v>72250</v>
      </c>
      <c r="H10" s="15">
        <v>69011</v>
      </c>
      <c r="I10" s="15">
        <v>55005</v>
      </c>
      <c r="J10" s="15">
        <v>29919</v>
      </c>
      <c r="K10" s="15">
        <v>17435</v>
      </c>
      <c r="L10" s="15">
        <v>2486</v>
      </c>
      <c r="M10" s="15">
        <v>784</v>
      </c>
      <c r="N10" s="15">
        <v>201</v>
      </c>
      <c r="O10" s="15">
        <v>134</v>
      </c>
    </row>
    <row r="11" spans="1:15" ht="15" x14ac:dyDescent="0.3">
      <c r="A11" s="91" t="s">
        <v>234</v>
      </c>
      <c r="B11" s="92">
        <v>1</v>
      </c>
      <c r="C11" s="92">
        <f>C10/B10</f>
        <v>8.5025322991885404E-3</v>
      </c>
      <c r="D11" s="92">
        <f>D10/B10</f>
        <v>7.3689505071286965E-2</v>
      </c>
      <c r="E11" s="92">
        <f>E10/B10</f>
        <v>0.11629580679078902</v>
      </c>
      <c r="F11" s="92">
        <f>F10/B10</f>
        <v>0.14007774813990384</v>
      </c>
      <c r="G11" s="92">
        <f>G10/B10</f>
        <v>0.1933001757760768</v>
      </c>
      <c r="H11" s="92">
        <f>H10/B10</f>
        <v>0.1846344419443991</v>
      </c>
      <c r="I11" s="92">
        <f>I10/B10</f>
        <v>0.14716229991090801</v>
      </c>
      <c r="J11" s="92">
        <f>J10/B10</f>
        <v>8.0046338533487083E-2</v>
      </c>
      <c r="K11" s="92">
        <f>K10/B10</f>
        <v>4.6646208507348082E-2</v>
      </c>
      <c r="L11" s="92">
        <f>L10/B10</f>
        <v>6.6511313076723444E-3</v>
      </c>
      <c r="M11" s="92">
        <f>M10/B10</f>
        <v>2.0975410077293316E-3</v>
      </c>
      <c r="N11" s="92">
        <f>N10/B10</f>
        <v>5.3776242672652511E-4</v>
      </c>
      <c r="O11" s="92">
        <f>O10/B10</f>
        <v>3.5850828448435003E-4</v>
      </c>
    </row>
    <row r="12" spans="1:15" ht="15" x14ac:dyDescent="0.3">
      <c r="A12" s="91" t="s">
        <v>235</v>
      </c>
      <c r="B12" s="15">
        <v>46714</v>
      </c>
      <c r="C12" s="15">
        <v>487</v>
      </c>
      <c r="D12" s="15">
        <v>3692</v>
      </c>
      <c r="E12" s="15">
        <v>5715</v>
      </c>
      <c r="F12" s="15">
        <v>6479</v>
      </c>
      <c r="G12" s="15">
        <v>8358</v>
      </c>
      <c r="H12" s="15">
        <v>8262</v>
      </c>
      <c r="I12" s="15">
        <v>6830</v>
      </c>
      <c r="J12" s="15">
        <v>3849</v>
      </c>
      <c r="K12" s="15">
        <v>2362</v>
      </c>
      <c r="L12" s="15">
        <v>442</v>
      </c>
      <c r="M12" s="15">
        <v>167</v>
      </c>
      <c r="N12" s="15">
        <v>55</v>
      </c>
      <c r="O12" s="15">
        <v>16</v>
      </c>
    </row>
    <row r="13" spans="1:15" ht="15" x14ac:dyDescent="0.3">
      <c r="A13" s="91" t="s">
        <v>236</v>
      </c>
      <c r="B13" s="92">
        <v>1</v>
      </c>
      <c r="C13" s="92">
        <f>C12/B12</f>
        <v>1.0425140214924862E-2</v>
      </c>
      <c r="D13" s="92">
        <f>D12/B12</f>
        <v>7.9034122532859533E-2</v>
      </c>
      <c r="E13" s="92">
        <f>E12/B12</f>
        <v>0.12234019779937493</v>
      </c>
      <c r="F13" s="92">
        <f>F12/B12</f>
        <v>0.13869503789014001</v>
      </c>
      <c r="G13" s="92">
        <f>G12/B12</f>
        <v>0.17891852549556878</v>
      </c>
      <c r="H13" s="92">
        <f>H12/B12</f>
        <v>0.17686346705484438</v>
      </c>
      <c r="I13" s="92">
        <f>I12/B12</f>
        <v>0.1462088453140386</v>
      </c>
      <c r="J13" s="92">
        <f>J12/B12</f>
        <v>8.2394999357794235E-2</v>
      </c>
      <c r="K13" s="92">
        <f>K12/B12</f>
        <v>5.0563000385323457E-2</v>
      </c>
      <c r="L13" s="92">
        <f>L12/B12</f>
        <v>9.4618315708352961E-3</v>
      </c>
      <c r="M13" s="92">
        <f>M12/B12</f>
        <v>3.5749454125101683E-3</v>
      </c>
      <c r="N13" s="92">
        <f>N12/B12</f>
        <v>1.1773772316650256E-3</v>
      </c>
      <c r="O13" s="92">
        <f>O12/B12</f>
        <v>3.4250974012073467E-4</v>
      </c>
    </row>
    <row r="14" spans="1:15" ht="15" x14ac:dyDescent="0.3">
      <c r="A14" s="91" t="s">
        <v>237</v>
      </c>
      <c r="B14" s="15">
        <v>75506</v>
      </c>
      <c r="C14" s="15">
        <v>536</v>
      </c>
      <c r="D14" s="15">
        <v>4317</v>
      </c>
      <c r="E14" s="15">
        <v>8057</v>
      </c>
      <c r="F14" s="15">
        <v>10853</v>
      </c>
      <c r="G14" s="15">
        <v>14037</v>
      </c>
      <c r="H14" s="15">
        <v>13722</v>
      </c>
      <c r="I14" s="15">
        <v>11788</v>
      </c>
      <c r="J14" s="15">
        <v>6644</v>
      </c>
      <c r="K14" s="15">
        <v>4298</v>
      </c>
      <c r="L14" s="15">
        <v>829</v>
      </c>
      <c r="M14" s="15">
        <v>280</v>
      </c>
      <c r="N14" s="15">
        <v>107</v>
      </c>
      <c r="O14" s="15">
        <v>38</v>
      </c>
    </row>
    <row r="15" spans="1:15" ht="15" x14ac:dyDescent="0.3">
      <c r="A15" s="91" t="s">
        <v>238</v>
      </c>
      <c r="B15" s="92">
        <v>1</v>
      </c>
      <c r="C15" s="92">
        <f>C14/B14</f>
        <v>7.0987736073954387E-3</v>
      </c>
      <c r="D15" s="92">
        <f>D14/B14</f>
        <v>5.7174264296877067E-2</v>
      </c>
      <c r="E15" s="92">
        <f>E14/B14</f>
        <v>0.10670675178131539</v>
      </c>
      <c r="F15" s="92">
        <f>F14/B14</f>
        <v>0.14373692156914683</v>
      </c>
      <c r="G15" s="92">
        <f>G14/B14</f>
        <v>0.18590575583397345</v>
      </c>
      <c r="H15" s="92">
        <f>H14/B14</f>
        <v>0.18173390194156755</v>
      </c>
      <c r="I15" s="92">
        <f>I14/B14</f>
        <v>0.1561200434402564</v>
      </c>
      <c r="J15" s="92">
        <f>J14/B14</f>
        <v>8.7993007178237492E-2</v>
      </c>
      <c r="K15" s="92">
        <f>K14/B14</f>
        <v>5.6922628665271632E-2</v>
      </c>
      <c r="L15" s="92">
        <f>L14/B14</f>
        <v>1.0979259926363468E-2</v>
      </c>
      <c r="M15" s="92">
        <f>M14/B14</f>
        <v>3.7083145710274678E-3</v>
      </c>
      <c r="N15" s="92">
        <f>N14/B14</f>
        <v>1.4171059253569253E-3</v>
      </c>
      <c r="O15" s="92">
        <f>O14/B14</f>
        <v>5.0327126321087065E-4</v>
      </c>
    </row>
    <row r="16" spans="1:15" ht="15" x14ac:dyDescent="0.3">
      <c r="A16" s="96" t="s">
        <v>239</v>
      </c>
      <c r="B16" s="22">
        <v>2544704</v>
      </c>
      <c r="C16" s="22">
        <v>31147</v>
      </c>
      <c r="D16" s="22">
        <v>221808</v>
      </c>
      <c r="E16" s="22">
        <v>333759</v>
      </c>
      <c r="F16" s="22">
        <v>384626</v>
      </c>
      <c r="G16" s="22">
        <v>477300</v>
      </c>
      <c r="H16" s="22">
        <v>446483</v>
      </c>
      <c r="I16" s="22">
        <v>340940</v>
      </c>
      <c r="J16" s="22">
        <v>181139</v>
      </c>
      <c r="K16" s="22">
        <v>98202</v>
      </c>
      <c r="L16" s="22">
        <v>20189</v>
      </c>
      <c r="M16" s="22">
        <v>6084</v>
      </c>
      <c r="N16" s="22">
        <v>1875</v>
      </c>
      <c r="O16" s="22">
        <v>1152</v>
      </c>
    </row>
    <row r="17" spans="1:15" ht="15" x14ac:dyDescent="0.3">
      <c r="A17" s="96" t="s">
        <v>240</v>
      </c>
      <c r="B17" s="92">
        <v>1</v>
      </c>
      <c r="C17" s="23">
        <f>C16/B16</f>
        <v>1.2239930459495486E-2</v>
      </c>
      <c r="D17" s="23">
        <f>D16/B16</f>
        <v>8.7164558235456852E-2</v>
      </c>
      <c r="E17" s="23">
        <f>E16/B16</f>
        <v>0.13115828009858907</v>
      </c>
      <c r="F17" s="23">
        <f>F16/B16</f>
        <v>0.15114763838937653</v>
      </c>
      <c r="G17" s="23">
        <f>G16/B16</f>
        <v>0.18756601946631121</v>
      </c>
      <c r="H17" s="23">
        <f>H16/B16</f>
        <v>0.1754557701013556</v>
      </c>
      <c r="I17" s="23">
        <f>I16/B16</f>
        <v>0.13398021931037951</v>
      </c>
      <c r="J17" s="23">
        <f>J16/B16</f>
        <v>7.1182738738965315E-2</v>
      </c>
      <c r="K17" s="23">
        <f>K16/B16</f>
        <v>3.8590735896984481E-2</v>
      </c>
      <c r="L17" s="23">
        <f>L16/B16</f>
        <v>7.9337321747440966E-3</v>
      </c>
      <c r="M17" s="23">
        <f>M16/B16</f>
        <v>2.3908478156988004E-3</v>
      </c>
      <c r="N17" s="23">
        <f>N16/B16</f>
        <v>7.3682440079474859E-4</v>
      </c>
      <c r="O17" s="23">
        <f>O16/B16</f>
        <v>4.5270491184829355E-4</v>
      </c>
    </row>
    <row r="18" spans="1:15" ht="15" x14ac:dyDescent="0.3">
      <c r="A18" s="90" t="s">
        <v>241</v>
      </c>
      <c r="B18" s="15">
        <v>223215</v>
      </c>
      <c r="C18" s="15">
        <v>1741</v>
      </c>
      <c r="D18" s="15">
        <v>13030</v>
      </c>
      <c r="E18" s="15">
        <v>19735</v>
      </c>
      <c r="F18" s="15">
        <v>24498</v>
      </c>
      <c r="G18" s="15">
        <v>35223</v>
      </c>
      <c r="H18" s="15">
        <v>39841</v>
      </c>
      <c r="I18" s="15">
        <v>44183</v>
      </c>
      <c r="J18" s="15">
        <v>26033</v>
      </c>
      <c r="K18" s="15">
        <v>14564</v>
      </c>
      <c r="L18" s="15">
        <v>2489</v>
      </c>
      <c r="M18" s="15">
        <v>1086</v>
      </c>
      <c r="N18" s="15">
        <v>460</v>
      </c>
      <c r="O18" s="15">
        <v>332</v>
      </c>
    </row>
    <row r="19" spans="1:15" ht="15" x14ac:dyDescent="0.3">
      <c r="A19" s="90" t="s">
        <v>242</v>
      </c>
      <c r="B19" s="92">
        <v>1</v>
      </c>
      <c r="C19" s="23">
        <f>C18/B18</f>
        <v>7.7996550411038685E-3</v>
      </c>
      <c r="D19" s="23">
        <f>D18/B18</f>
        <v>5.8374213202517754E-2</v>
      </c>
      <c r="E19" s="23">
        <f>E18/B18</f>
        <v>8.8412517079945338E-2</v>
      </c>
      <c r="F19" s="23">
        <f>F18/B18</f>
        <v>0.10975068879779584</v>
      </c>
      <c r="G19" s="23">
        <f>G18/B18</f>
        <v>0.15779853504468785</v>
      </c>
      <c r="H19" s="23">
        <f>H18/B18</f>
        <v>0.17848710884125171</v>
      </c>
      <c r="I19" s="23">
        <f>I18/B18</f>
        <v>0.1979392065945389</v>
      </c>
      <c r="J19" s="23">
        <f>J18/B18</f>
        <v>0.11662746679210627</v>
      </c>
      <c r="K19" s="23">
        <f>K18/B18</f>
        <v>6.5246511211164121E-2</v>
      </c>
      <c r="L19" s="23">
        <f>L18/B18</f>
        <v>1.1150684317810184E-2</v>
      </c>
      <c r="M19" s="23">
        <f>M18/B18</f>
        <v>4.8652644311538203E-3</v>
      </c>
      <c r="N19" s="23">
        <f>N18/B18</f>
        <v>2.0607934054611026E-3</v>
      </c>
      <c r="O19" s="23">
        <f>O18/B18</f>
        <v>1.4873552404632306E-3</v>
      </c>
    </row>
    <row r="20" spans="1:15" ht="15" x14ac:dyDescent="0.3">
      <c r="A20" s="90" t="s">
        <v>243</v>
      </c>
      <c r="B20" s="15">
        <v>1355227</v>
      </c>
      <c r="C20" s="15">
        <v>18856</v>
      </c>
      <c r="D20" s="15">
        <v>125400</v>
      </c>
      <c r="E20" s="15">
        <v>187372</v>
      </c>
      <c r="F20" s="15">
        <v>218168</v>
      </c>
      <c r="G20" s="15">
        <v>266553</v>
      </c>
      <c r="H20" s="15">
        <v>239109</v>
      </c>
      <c r="I20" s="15">
        <v>164425</v>
      </c>
      <c r="J20" s="15">
        <v>80288</v>
      </c>
      <c r="K20" s="15">
        <v>42400</v>
      </c>
      <c r="L20" s="15">
        <v>9065</v>
      </c>
      <c r="M20" s="15">
        <v>2493</v>
      </c>
      <c r="N20" s="15">
        <v>667</v>
      </c>
      <c r="O20" s="15">
        <v>431</v>
      </c>
    </row>
    <row r="21" spans="1:15" ht="15" x14ac:dyDescent="0.3">
      <c r="A21" s="90" t="s">
        <v>244</v>
      </c>
      <c r="B21" s="92">
        <v>1</v>
      </c>
      <c r="C21" s="23">
        <f>C20/B20</f>
        <v>1.3913536256287691E-2</v>
      </c>
      <c r="D21" s="23">
        <f>D20/B20</f>
        <v>9.2530624020920479E-2</v>
      </c>
      <c r="E21" s="23">
        <f>E20/B20</f>
        <v>0.13825875665109977</v>
      </c>
      <c r="F21" s="23">
        <f>F20/B20</f>
        <v>0.16098262505100622</v>
      </c>
      <c r="G21" s="23">
        <f>G20/B20</f>
        <v>0.19668513097805754</v>
      </c>
      <c r="H21" s="23">
        <f>H20/B20</f>
        <v>0.17643464895548863</v>
      </c>
      <c r="I21" s="23">
        <f>I20/B20</f>
        <v>0.12132653791578828</v>
      </c>
      <c r="J21" s="23">
        <f>J20/B20</f>
        <v>5.924321165384102E-2</v>
      </c>
      <c r="K21" s="23">
        <f>K20/B20</f>
        <v>3.1286271598780127E-2</v>
      </c>
      <c r="L21" s="23">
        <f>L20/B20</f>
        <v>6.6889163217674977E-3</v>
      </c>
      <c r="M21" s="23">
        <f>M20/B20</f>
        <v>1.8395442239565771E-3</v>
      </c>
      <c r="N21" s="23">
        <f>N20/B20</f>
        <v>4.9216847066948935E-4</v>
      </c>
      <c r="O21" s="23">
        <f>O20/B20</f>
        <v>3.1802790233665654E-4</v>
      </c>
    </row>
    <row r="22" spans="1:15" ht="15" x14ac:dyDescent="0.3">
      <c r="A22" s="90" t="s">
        <v>245</v>
      </c>
      <c r="B22" s="15">
        <v>73118</v>
      </c>
      <c r="C22" s="15">
        <v>692</v>
      </c>
      <c r="D22" s="15">
        <v>6154</v>
      </c>
      <c r="E22" s="15">
        <v>8752</v>
      </c>
      <c r="F22" s="15">
        <v>8453</v>
      </c>
      <c r="G22" s="15">
        <v>10941</v>
      </c>
      <c r="H22" s="15">
        <v>12165</v>
      </c>
      <c r="I22" s="15">
        <v>11235</v>
      </c>
      <c r="J22" s="15">
        <v>8060</v>
      </c>
      <c r="K22" s="15">
        <v>5152</v>
      </c>
      <c r="L22" s="15">
        <v>1076</v>
      </c>
      <c r="M22" s="15">
        <v>297</v>
      </c>
      <c r="N22" s="15">
        <v>86</v>
      </c>
      <c r="O22" s="15">
        <v>55</v>
      </c>
    </row>
    <row r="23" spans="1:15" ht="15" x14ac:dyDescent="0.3">
      <c r="A23" s="90" t="s">
        <v>246</v>
      </c>
      <c r="B23" s="92">
        <v>1</v>
      </c>
      <c r="C23" s="23">
        <f>C22/B22</f>
        <v>9.464153833529363E-3</v>
      </c>
      <c r="D23" s="23">
        <f>D22/B22</f>
        <v>8.4165321808583382E-2</v>
      </c>
      <c r="E23" s="23">
        <f>E22/B22</f>
        <v>0.11969692825296097</v>
      </c>
      <c r="F23" s="23">
        <f>F22/B22</f>
        <v>0.11560764791159496</v>
      </c>
      <c r="G23" s="23">
        <f>G22/B22</f>
        <v>0.14963483683908202</v>
      </c>
      <c r="H23" s="23">
        <f>H22/B22</f>
        <v>0.16637490084520912</v>
      </c>
      <c r="I23" s="23">
        <f>I22/B22</f>
        <v>0.15365573456604392</v>
      </c>
      <c r="J23" s="23">
        <f>J22/B22</f>
        <v>0.11023277441943161</v>
      </c>
      <c r="K23" s="23">
        <f>K22/B22</f>
        <v>7.0461445881998958E-2</v>
      </c>
      <c r="L23" s="23">
        <f>L22/B22</f>
        <v>1.4715938619765312E-2</v>
      </c>
      <c r="M23" s="23">
        <f>M22/B22</f>
        <v>4.0619272956043655E-3</v>
      </c>
      <c r="N23" s="23">
        <f>N22/B22</f>
        <v>1.1761809677507591E-3</v>
      </c>
      <c r="O23" s="23">
        <f>O22/B22</f>
        <v>7.5220875844525287E-4</v>
      </c>
    </row>
    <row r="24" spans="1:15" ht="15" x14ac:dyDescent="0.3">
      <c r="A24" s="90" t="s">
        <v>247</v>
      </c>
      <c r="B24" s="15">
        <v>43768</v>
      </c>
      <c r="C24" s="15">
        <v>704</v>
      </c>
      <c r="D24" s="15">
        <v>7415</v>
      </c>
      <c r="E24" s="15">
        <v>10097</v>
      </c>
      <c r="F24" s="15">
        <v>6643</v>
      </c>
      <c r="G24" s="15">
        <v>6843</v>
      </c>
      <c r="H24" s="15">
        <v>5083</v>
      </c>
      <c r="I24" s="15">
        <v>3691</v>
      </c>
      <c r="J24" s="15">
        <v>1957</v>
      </c>
      <c r="K24" s="15">
        <v>1156</v>
      </c>
      <c r="L24" s="15">
        <v>125</v>
      </c>
      <c r="M24" s="15">
        <v>38</v>
      </c>
      <c r="N24" s="15">
        <v>7</v>
      </c>
      <c r="O24" s="15">
        <v>9</v>
      </c>
    </row>
    <row r="25" spans="1:15" ht="15" x14ac:dyDescent="0.3">
      <c r="A25" s="90" t="s">
        <v>248</v>
      </c>
      <c r="B25" s="92">
        <v>1</v>
      </c>
      <c r="C25" s="23">
        <f>C24/B24</f>
        <v>1.6084810820690916E-2</v>
      </c>
      <c r="D25" s="23">
        <f>D24/B24</f>
        <v>0.16941601169804424</v>
      </c>
      <c r="E25" s="23">
        <f>E24/B24</f>
        <v>0.2306936574666423</v>
      </c>
      <c r="F25" s="23">
        <f>F24/B24</f>
        <v>0.15177755437762749</v>
      </c>
      <c r="G25" s="23">
        <f>G24/B24</f>
        <v>0.15634710290623285</v>
      </c>
      <c r="H25" s="23">
        <f>H24/B24</f>
        <v>0.11613507585450558</v>
      </c>
      <c r="I25" s="23">
        <f>I24/B24</f>
        <v>8.4331018095412172E-2</v>
      </c>
      <c r="J25" s="23">
        <f>J24/B24</f>
        <v>4.4713032352403585E-2</v>
      </c>
      <c r="K25" s="23">
        <f>K24/B24</f>
        <v>2.6411990495339061E-2</v>
      </c>
      <c r="L25" s="23">
        <f>L24/B24</f>
        <v>2.8559678303783586E-3</v>
      </c>
      <c r="M25" s="23">
        <f>M24/B24</f>
        <v>8.68214220435021E-4</v>
      </c>
      <c r="N25" s="23">
        <f>N24/B24</f>
        <v>1.5993419850118809E-4</v>
      </c>
      <c r="O25" s="23">
        <f>O24/B24</f>
        <v>2.0562968378724181E-4</v>
      </c>
    </row>
    <row r="26" spans="1:15" ht="15" x14ac:dyDescent="0.3">
      <c r="A26" s="90" t="s">
        <v>249</v>
      </c>
      <c r="B26" s="15">
        <v>4495</v>
      </c>
      <c r="C26" s="15">
        <v>52</v>
      </c>
      <c r="D26" s="15">
        <v>312</v>
      </c>
      <c r="E26" s="15">
        <v>514</v>
      </c>
      <c r="F26" s="15">
        <v>656</v>
      </c>
      <c r="G26" s="15">
        <v>872</v>
      </c>
      <c r="H26" s="15">
        <v>774</v>
      </c>
      <c r="I26" s="15">
        <v>681</v>
      </c>
      <c r="J26" s="15">
        <v>359</v>
      </c>
      <c r="K26" s="15">
        <v>232</v>
      </c>
      <c r="L26" s="15">
        <v>26</v>
      </c>
      <c r="M26" s="15">
        <v>12</v>
      </c>
      <c r="N26" s="15">
        <v>2</v>
      </c>
      <c r="O26" s="15">
        <v>3</v>
      </c>
    </row>
    <row r="27" spans="1:15" ht="15" x14ac:dyDescent="0.3">
      <c r="A27" s="90" t="s">
        <v>250</v>
      </c>
      <c r="B27" s="92">
        <v>1</v>
      </c>
      <c r="C27" s="23">
        <f>C26/B26</f>
        <v>1.1568409343715239E-2</v>
      </c>
      <c r="D27" s="23">
        <f>D26/B26</f>
        <v>6.9410456062291431E-2</v>
      </c>
      <c r="E27" s="23">
        <f>E26/B26</f>
        <v>0.11434927697441602</v>
      </c>
      <c r="F27" s="23">
        <f>F26/B26</f>
        <v>0.14593993325917687</v>
      </c>
      <c r="G27" s="23">
        <f>G26/B26</f>
        <v>0.19399332591768631</v>
      </c>
      <c r="H27" s="23">
        <f>H26/B26</f>
        <v>0.17219132369299223</v>
      </c>
      <c r="I27" s="23">
        <f>I26/B26</f>
        <v>0.15150166852057842</v>
      </c>
      <c r="J27" s="23">
        <f>J26/B26</f>
        <v>7.9866518353726365E-2</v>
      </c>
      <c r="K27" s="23">
        <f>K26/B26</f>
        <v>5.1612903225806452E-2</v>
      </c>
      <c r="L27" s="23">
        <f>L26/B26</f>
        <v>5.7842046718576193E-3</v>
      </c>
      <c r="M27" s="23">
        <f>M26/B26</f>
        <v>2.6696329254727474E-3</v>
      </c>
      <c r="N27" s="23">
        <f>N26/B26</f>
        <v>4.449388209121246E-4</v>
      </c>
      <c r="O27" s="23">
        <f>O26/B26</f>
        <v>6.6740823136818685E-4</v>
      </c>
    </row>
    <row r="28" spans="1:15" ht="15" x14ac:dyDescent="0.3">
      <c r="A28" s="96" t="s">
        <v>251</v>
      </c>
      <c r="B28" s="22">
        <v>71099</v>
      </c>
      <c r="C28" s="22">
        <v>1086</v>
      </c>
      <c r="D28" s="22">
        <v>7041</v>
      </c>
      <c r="E28" s="22">
        <v>8682</v>
      </c>
      <c r="F28" s="22">
        <v>8727</v>
      </c>
      <c r="G28" s="22">
        <v>11143</v>
      </c>
      <c r="H28" s="22">
        <v>11915</v>
      </c>
      <c r="I28" s="22">
        <v>10990</v>
      </c>
      <c r="J28" s="22">
        <v>6341</v>
      </c>
      <c r="K28" s="22">
        <v>3796</v>
      </c>
      <c r="L28" s="22">
        <v>883</v>
      </c>
      <c r="M28" s="22">
        <v>332</v>
      </c>
      <c r="N28" s="22">
        <v>116</v>
      </c>
      <c r="O28" s="22">
        <v>47</v>
      </c>
    </row>
    <row r="29" spans="1:15" ht="15" x14ac:dyDescent="0.3">
      <c r="A29" s="96" t="s">
        <v>252</v>
      </c>
      <c r="B29" s="92">
        <v>1</v>
      </c>
      <c r="C29" s="23">
        <f>C28/B28</f>
        <v>1.5274476434267711E-2</v>
      </c>
      <c r="D29" s="23">
        <f>D28/B28</f>
        <v>9.9030928705045082E-2</v>
      </c>
      <c r="E29" s="23">
        <f>E28/B28</f>
        <v>0.12211142210157667</v>
      </c>
      <c r="F29" s="23">
        <f>F28/B28</f>
        <v>0.12274434239581429</v>
      </c>
      <c r="G29" s="23">
        <f>G28/B28</f>
        <v>0.15672512974866032</v>
      </c>
      <c r="H29" s="23">
        <f>H28/B28</f>
        <v>0.16758322901869224</v>
      </c>
      <c r="I29" s="23">
        <f>I28/B28</f>
        <v>0.15457320074825243</v>
      </c>
      <c r="J29" s="23">
        <f>J28/B28</f>
        <v>8.918550190579333E-2</v>
      </c>
      <c r="K29" s="23">
        <f>K28/B28</f>
        <v>5.3390343042799479E-2</v>
      </c>
      <c r="L29" s="23">
        <f>L28/B28</f>
        <v>1.2419302662484704E-2</v>
      </c>
      <c r="M29" s="23">
        <f>M28/B28</f>
        <v>4.6695452819308291E-3</v>
      </c>
      <c r="N29" s="23">
        <f>N28/B28</f>
        <v>1.6315278695902896E-3</v>
      </c>
      <c r="O29" s="23">
        <f>O28/B28</f>
        <v>6.6105008509261735E-4</v>
      </c>
    </row>
    <row r="30" spans="1:15" ht="15" x14ac:dyDescent="0.3">
      <c r="A30" s="96" t="s">
        <v>253</v>
      </c>
      <c r="B30" s="22">
        <v>88054</v>
      </c>
      <c r="C30" s="22">
        <v>1214</v>
      </c>
      <c r="D30" s="22">
        <v>11425</v>
      </c>
      <c r="E30" s="22">
        <v>15335</v>
      </c>
      <c r="F30" s="22">
        <v>14496</v>
      </c>
      <c r="G30" s="22">
        <v>15107</v>
      </c>
      <c r="H30" s="22">
        <v>12705</v>
      </c>
      <c r="I30" s="22">
        <v>10103</v>
      </c>
      <c r="J30" s="22">
        <v>4627</v>
      </c>
      <c r="K30" s="22">
        <v>2460</v>
      </c>
      <c r="L30" s="22">
        <v>344</v>
      </c>
      <c r="M30" s="22">
        <v>139</v>
      </c>
      <c r="N30" s="22">
        <v>66</v>
      </c>
      <c r="O30" s="22">
        <v>33</v>
      </c>
    </row>
    <row r="31" spans="1:15" ht="15" x14ac:dyDescent="0.3">
      <c r="A31" s="96" t="s">
        <v>254</v>
      </c>
      <c r="B31" s="92">
        <v>1</v>
      </c>
      <c r="C31" s="23">
        <f>C30/B30</f>
        <v>1.3786994344379586E-2</v>
      </c>
      <c r="D31" s="23">
        <f>D30/B30</f>
        <v>0.12974992618166126</v>
      </c>
      <c r="E31" s="23">
        <f>E30/B30</f>
        <v>0.17415449610466305</v>
      </c>
      <c r="F31" s="23">
        <f>F30/B30</f>
        <v>0.16462625207259182</v>
      </c>
      <c r="G31" s="23">
        <f>G30/B30</f>
        <v>0.17156517591477957</v>
      </c>
      <c r="H31" s="23">
        <f>H30/B30</f>
        <v>0.14428646058100711</v>
      </c>
      <c r="I31" s="23">
        <f>I30/B30</f>
        <v>0.11473641174733686</v>
      </c>
      <c r="J31" s="23">
        <f>J30/B30</f>
        <v>5.254730052013537E-2</v>
      </c>
      <c r="K31" s="23">
        <f>K30/B30</f>
        <v>2.7937402048742815E-2</v>
      </c>
      <c r="L31" s="23">
        <f>L30/B30</f>
        <v>3.9066936198241991E-3</v>
      </c>
      <c r="M31" s="23">
        <f>M30/B30</f>
        <v>1.578576782428964E-3</v>
      </c>
      <c r="N31" s="23">
        <f>N30/B30</f>
        <v>7.4954005496627072E-4</v>
      </c>
      <c r="O31" s="23">
        <f>O30/B30</f>
        <v>3.7477002748313536E-4</v>
      </c>
    </row>
    <row r="32" spans="1:15" ht="15" x14ac:dyDescent="0.3">
      <c r="A32" s="97" t="s">
        <v>255</v>
      </c>
      <c r="B32" s="15">
        <v>802859</v>
      </c>
      <c r="C32" s="15">
        <v>8999</v>
      </c>
      <c r="D32" s="15">
        <v>84029</v>
      </c>
      <c r="E32" s="15">
        <v>127683</v>
      </c>
      <c r="F32" s="15">
        <v>125593</v>
      </c>
      <c r="G32" s="15">
        <v>129207</v>
      </c>
      <c r="H32" s="15">
        <v>107167</v>
      </c>
      <c r="I32" s="15">
        <v>95262</v>
      </c>
      <c r="J32" s="15">
        <v>58842</v>
      </c>
      <c r="K32" s="15">
        <v>41184</v>
      </c>
      <c r="L32" s="15">
        <v>14445</v>
      </c>
      <c r="M32" s="15">
        <v>6835</v>
      </c>
      <c r="N32" s="15">
        <v>2515</v>
      </c>
      <c r="O32" s="15">
        <v>1098</v>
      </c>
    </row>
    <row r="33" spans="1:15" ht="15" x14ac:dyDescent="0.3">
      <c r="A33" s="97" t="s">
        <v>256</v>
      </c>
      <c r="B33" s="92">
        <v>1</v>
      </c>
      <c r="C33" s="23">
        <f>C32/B32</f>
        <v>1.1208692933628445E-2</v>
      </c>
      <c r="D33" s="23">
        <f>D32/B32</f>
        <v>0.10466221341480883</v>
      </c>
      <c r="E33" s="23">
        <f>E32/B32</f>
        <v>0.15903539724908108</v>
      </c>
      <c r="F33" s="23">
        <f>F32/B32</f>
        <v>0.15643220042373568</v>
      </c>
      <c r="G33" s="23">
        <f>G32/B32</f>
        <v>0.16093361349875882</v>
      </c>
      <c r="H33" s="23">
        <f>H32/B32</f>
        <v>0.13348171970420708</v>
      </c>
      <c r="I33" s="23">
        <f>I32/B32</f>
        <v>0.11865346218950028</v>
      </c>
      <c r="J33" s="23">
        <f>J32/B32</f>
        <v>7.3290577797595846E-2</v>
      </c>
      <c r="K33" s="23">
        <f>K32/B32</f>
        <v>5.1296678495227677E-2</v>
      </c>
      <c r="L33" s="23">
        <f>L32/B32</f>
        <v>1.7991951264169675E-2</v>
      </c>
      <c r="M33" s="23">
        <f>M32/B32</f>
        <v>8.5133255029837124E-3</v>
      </c>
      <c r="N33" s="23">
        <f>N32/B32</f>
        <v>3.1325550314563327E-3</v>
      </c>
      <c r="O33" s="23">
        <f>O32/B32</f>
        <v>1.3676124948465423E-3</v>
      </c>
    </row>
    <row r="34" spans="1:15" ht="15" x14ac:dyDescent="0.3">
      <c r="A34" s="97" t="s">
        <v>68</v>
      </c>
      <c r="B34" s="26">
        <v>232875</v>
      </c>
      <c r="C34" s="26">
        <v>2160</v>
      </c>
      <c r="D34" s="26">
        <v>14324</v>
      </c>
      <c r="E34" s="26">
        <v>18795</v>
      </c>
      <c r="F34" s="26">
        <v>19527</v>
      </c>
      <c r="G34" s="26">
        <v>28547</v>
      </c>
      <c r="H34" s="26">
        <v>36303</v>
      </c>
      <c r="I34" s="26">
        <v>42039</v>
      </c>
      <c r="J34" s="26">
        <v>29344</v>
      </c>
      <c r="K34" s="26">
        <v>24568</v>
      </c>
      <c r="L34" s="26">
        <v>10267</v>
      </c>
      <c r="M34" s="26">
        <v>4551</v>
      </c>
      <c r="N34" s="26">
        <v>1716</v>
      </c>
      <c r="O34" s="26">
        <v>734</v>
      </c>
    </row>
    <row r="35" spans="1:15" ht="15" x14ac:dyDescent="0.3">
      <c r="A35" s="97" t="s">
        <v>257</v>
      </c>
      <c r="B35" s="92">
        <v>1</v>
      </c>
      <c r="C35" s="23">
        <f>C34/B34</f>
        <v>9.2753623188405795E-3</v>
      </c>
      <c r="D35" s="23">
        <f>D34/B34</f>
        <v>6.1509393451422437E-2</v>
      </c>
      <c r="E35" s="23">
        <f>E34/B34</f>
        <v>8.0708534621578093E-2</v>
      </c>
      <c r="F35" s="23">
        <f>F34/B34</f>
        <v>8.3851851851851858E-2</v>
      </c>
      <c r="G35" s="23">
        <f>G34/B34</f>
        <v>0.12258507783145464</v>
      </c>
      <c r="H35" s="23">
        <f>H34/B34</f>
        <v>0.15589049919484702</v>
      </c>
      <c r="I35" s="23">
        <f>I34/B34</f>
        <v>0.18052173913043479</v>
      </c>
      <c r="J35" s="23">
        <f>J34/B34</f>
        <v>0.12600751476113795</v>
      </c>
      <c r="K35" s="23">
        <f>K34/B34</f>
        <v>0.10549865807836822</v>
      </c>
      <c r="L35" s="23">
        <f>L34/B34</f>
        <v>4.4088030059044554E-2</v>
      </c>
      <c r="M35" s="23">
        <f>M34/B34</f>
        <v>1.9542673107890499E-2</v>
      </c>
      <c r="N35" s="23">
        <f>N34/B34</f>
        <v>7.3687600644122379E-3</v>
      </c>
      <c r="O35" s="23">
        <f>O34/B34</f>
        <v>3.151905528717123E-3</v>
      </c>
    </row>
    <row r="36" spans="1:15" ht="15" x14ac:dyDescent="0.3">
      <c r="A36" s="97" t="s">
        <v>258</v>
      </c>
      <c r="B36" s="98">
        <v>17697</v>
      </c>
      <c r="C36" s="30">
        <v>141</v>
      </c>
      <c r="D36" s="30">
        <v>904</v>
      </c>
      <c r="E36" s="30">
        <v>1372</v>
      </c>
      <c r="F36" s="30">
        <v>1530</v>
      </c>
      <c r="G36" s="30">
        <v>2187</v>
      </c>
      <c r="H36" s="30">
        <v>3093</v>
      </c>
      <c r="I36" s="30">
        <v>3557</v>
      </c>
      <c r="J36" s="30">
        <v>2264</v>
      </c>
      <c r="K36" s="30">
        <v>1751</v>
      </c>
      <c r="L36" s="30">
        <v>528</v>
      </c>
      <c r="M36" s="30">
        <v>238</v>
      </c>
      <c r="N36" s="30">
        <v>87</v>
      </c>
      <c r="O36" s="30">
        <v>45</v>
      </c>
    </row>
    <row r="37" spans="1:15" ht="15" x14ac:dyDescent="0.3">
      <c r="A37" s="97" t="s">
        <v>259</v>
      </c>
      <c r="B37" s="92">
        <v>1</v>
      </c>
      <c r="C37" s="23">
        <f>C36/B36</f>
        <v>7.9674521105272088E-3</v>
      </c>
      <c r="D37" s="23">
        <f>D36/B36</f>
        <v>5.1082104311465218E-2</v>
      </c>
      <c r="E37" s="23">
        <f>E36/B36</f>
        <v>7.752726450810872E-2</v>
      </c>
      <c r="F37" s="23">
        <f>F36/B36</f>
        <v>8.645533141210375E-2</v>
      </c>
      <c r="G37" s="23">
        <f>G36/B36</f>
        <v>0.12358026784200712</v>
      </c>
      <c r="H37" s="23">
        <f>H36/B36</f>
        <v>0.17477538565858619</v>
      </c>
      <c r="I37" s="23">
        <f>I36/B36</f>
        <v>0.20099451884500197</v>
      </c>
      <c r="J37" s="23">
        <f>J36/B36</f>
        <v>0.12793128778889076</v>
      </c>
      <c r="K37" s="23">
        <f>K36/B36</f>
        <v>9.8943323727185395E-2</v>
      </c>
      <c r="L37" s="23">
        <f>L36/B36</f>
        <v>2.9835565350059334E-2</v>
      </c>
      <c r="M37" s="23">
        <f>M36/B36</f>
        <v>1.3448607108549471E-2</v>
      </c>
      <c r="N37" s="23">
        <f>N36/B36</f>
        <v>4.9160874724529582E-3</v>
      </c>
      <c r="O37" s="23">
        <f>O36/B36</f>
        <v>2.5428038650618747E-3</v>
      </c>
    </row>
    <row r="38" spans="1:15" ht="15" x14ac:dyDescent="0.3">
      <c r="A38" s="97" t="s">
        <v>260</v>
      </c>
      <c r="B38" s="99">
        <v>2300000</v>
      </c>
      <c r="C38" s="31">
        <v>249566</v>
      </c>
      <c r="D38" s="31">
        <v>1013618</v>
      </c>
      <c r="E38" s="31">
        <v>486635</v>
      </c>
      <c r="F38" s="31">
        <v>281633</v>
      </c>
      <c r="G38" s="31">
        <v>139636</v>
      </c>
      <c r="H38" s="31">
        <v>60504</v>
      </c>
      <c r="I38" s="31">
        <v>42850</v>
      </c>
      <c r="J38" s="31">
        <v>15623</v>
      </c>
      <c r="K38" s="31">
        <v>8548</v>
      </c>
      <c r="L38" s="31">
        <v>1387</v>
      </c>
      <c r="M38" s="100"/>
      <c r="N38" s="23"/>
      <c r="O38" s="23"/>
    </row>
    <row r="39" spans="1:15" ht="15" x14ac:dyDescent="0.3">
      <c r="A39" s="97" t="s">
        <v>261</v>
      </c>
      <c r="B39" s="92">
        <v>1</v>
      </c>
      <c r="C39" s="23">
        <f>C38/B38</f>
        <v>0.10850695652173913</v>
      </c>
      <c r="D39" s="23">
        <f>D38/B38</f>
        <v>0.44070347826086959</v>
      </c>
      <c r="E39" s="23">
        <f>E38/B38</f>
        <v>0.21158043478260868</v>
      </c>
      <c r="F39" s="23">
        <f>F38/B38</f>
        <v>0.1224491304347826</v>
      </c>
      <c r="G39" s="23">
        <f>G38/B38</f>
        <v>6.0711304347826088E-2</v>
      </c>
      <c r="H39" s="23">
        <f>H38/B38</f>
        <v>2.630608695652174E-2</v>
      </c>
      <c r="I39" s="23">
        <f>I38/B38</f>
        <v>1.8630434782608694E-2</v>
      </c>
      <c r="J39" s="23">
        <f>J38/B38</f>
        <v>6.7926086956521742E-3</v>
      </c>
      <c r="K39" s="23">
        <f>K38/B38</f>
        <v>3.7165217391304348E-3</v>
      </c>
      <c r="L39" s="23">
        <f>L38/B38</f>
        <v>6.0304347826086954E-4</v>
      </c>
      <c r="M39" s="100"/>
      <c r="N39" s="23"/>
      <c r="O39" s="23"/>
    </row>
  </sheetData>
  <phoneticPr fontId="24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90BEDA-2600-45D4-9583-08C712197D6E}">
  <dimension ref="A1:H32"/>
  <sheetViews>
    <sheetView workbookViewId="0">
      <selection activeCell="F4" sqref="F4"/>
    </sheetView>
  </sheetViews>
  <sheetFormatPr defaultRowHeight="14" x14ac:dyDescent="0.3"/>
  <cols>
    <col min="6" max="6" width="9" customWidth="1"/>
  </cols>
  <sheetData>
    <row r="1" spans="1:8" ht="15" x14ac:dyDescent="0.3">
      <c r="A1" s="53" t="s">
        <v>0</v>
      </c>
      <c r="B1" s="53" t="s">
        <v>1</v>
      </c>
      <c r="C1" s="53" t="s">
        <v>2</v>
      </c>
      <c r="D1" s="101" t="s">
        <v>703</v>
      </c>
      <c r="E1" s="101" t="s">
        <v>704</v>
      </c>
      <c r="F1" s="101" t="s">
        <v>683</v>
      </c>
      <c r="G1" s="101"/>
      <c r="H1" s="101" t="s">
        <v>706</v>
      </c>
    </row>
    <row r="2" spans="1:8" ht="15" x14ac:dyDescent="0.3">
      <c r="A2">
        <v>1</v>
      </c>
      <c r="B2" s="135" t="s">
        <v>653</v>
      </c>
      <c r="C2" s="102" t="s">
        <v>6</v>
      </c>
      <c r="D2">
        <v>0.15365243973856607</v>
      </c>
      <c r="E2" s="147">
        <v>64942</v>
      </c>
      <c r="F2" t="s">
        <v>684</v>
      </c>
      <c r="G2" s="135" t="s">
        <v>707</v>
      </c>
      <c r="H2" t="s">
        <v>705</v>
      </c>
    </row>
    <row r="3" spans="1:8" ht="15" x14ac:dyDescent="0.3">
      <c r="A3">
        <v>2</v>
      </c>
      <c r="B3" s="135" t="s">
        <v>669</v>
      </c>
      <c r="C3" s="102" t="s">
        <v>9</v>
      </c>
      <c r="D3">
        <v>1.8563955155538159E-2</v>
      </c>
      <c r="E3" s="147">
        <v>21168</v>
      </c>
      <c r="F3" t="s">
        <v>684</v>
      </c>
      <c r="G3" s="135" t="s">
        <v>707</v>
      </c>
      <c r="H3" t="s">
        <v>705</v>
      </c>
    </row>
    <row r="4" spans="1:8" ht="15" x14ac:dyDescent="0.3">
      <c r="A4">
        <v>3</v>
      </c>
      <c r="B4" s="135" t="s">
        <v>655</v>
      </c>
      <c r="C4" s="102" t="s">
        <v>11</v>
      </c>
      <c r="D4">
        <v>8.8284489413889985E-2</v>
      </c>
      <c r="E4" s="147">
        <v>14054</v>
      </c>
      <c r="F4" t="s">
        <v>684</v>
      </c>
      <c r="G4" s="135" t="s">
        <v>707</v>
      </c>
      <c r="H4" t="s">
        <v>705</v>
      </c>
    </row>
    <row r="5" spans="1:8" ht="15" x14ac:dyDescent="0.3">
      <c r="A5">
        <v>4</v>
      </c>
      <c r="B5" s="135" t="s">
        <v>656</v>
      </c>
      <c r="C5" s="102" t="s">
        <v>13</v>
      </c>
      <c r="D5">
        <v>6.530228688889074E-2</v>
      </c>
      <c r="E5" s="147">
        <v>3549</v>
      </c>
      <c r="F5" t="s">
        <v>684</v>
      </c>
      <c r="G5" s="135" t="s">
        <v>707</v>
      </c>
      <c r="H5" t="s">
        <v>705</v>
      </c>
    </row>
    <row r="6" spans="1:8" ht="15" x14ac:dyDescent="0.3">
      <c r="A6">
        <v>5</v>
      </c>
      <c r="B6" s="135" t="s">
        <v>662</v>
      </c>
      <c r="C6" s="102" t="s">
        <v>15</v>
      </c>
      <c r="D6">
        <v>3.2306410406570368E-2</v>
      </c>
      <c r="E6" s="147">
        <v>1661</v>
      </c>
      <c r="F6" t="s">
        <v>684</v>
      </c>
      <c r="G6" s="135" t="s">
        <v>707</v>
      </c>
      <c r="H6" t="s">
        <v>705</v>
      </c>
    </row>
    <row r="7" spans="1:8" ht="15" x14ac:dyDescent="0.3">
      <c r="A7">
        <v>6</v>
      </c>
      <c r="B7" s="135" t="s">
        <v>657</v>
      </c>
      <c r="C7" s="102" t="s">
        <v>17</v>
      </c>
      <c r="D7">
        <v>5.1266727489694755E-2</v>
      </c>
      <c r="E7" s="147">
        <v>53412</v>
      </c>
      <c r="F7" t="s">
        <v>684</v>
      </c>
      <c r="G7" s="135" t="s">
        <v>707</v>
      </c>
      <c r="H7" t="s">
        <v>705</v>
      </c>
    </row>
    <row r="8" spans="1:8" ht="15" x14ac:dyDescent="0.3">
      <c r="A8">
        <v>7</v>
      </c>
      <c r="B8" s="135" t="s">
        <v>663</v>
      </c>
      <c r="C8" s="102" t="s">
        <v>19</v>
      </c>
      <c r="D8">
        <v>3.0336507332999002E-2</v>
      </c>
      <c r="E8" s="147">
        <v>31266</v>
      </c>
      <c r="F8" t="s">
        <v>684</v>
      </c>
      <c r="G8" s="135" t="s">
        <v>707</v>
      </c>
      <c r="H8" t="s">
        <v>705</v>
      </c>
    </row>
    <row r="9" spans="1:8" ht="15" x14ac:dyDescent="0.3">
      <c r="A9">
        <v>8</v>
      </c>
      <c r="B9" s="135" t="s">
        <v>659</v>
      </c>
      <c r="C9" s="102" t="s">
        <v>21</v>
      </c>
      <c r="D9">
        <v>4.5110780384784235E-2</v>
      </c>
      <c r="E9" s="147">
        <v>3701</v>
      </c>
      <c r="F9" t="s">
        <v>684</v>
      </c>
      <c r="G9" s="135" t="s">
        <v>707</v>
      </c>
      <c r="H9" t="s">
        <v>705</v>
      </c>
    </row>
    <row r="10" spans="1:8" ht="15" x14ac:dyDescent="0.3">
      <c r="A10">
        <v>9</v>
      </c>
      <c r="B10" s="135" t="s">
        <v>680</v>
      </c>
      <c r="C10" s="102" t="s">
        <v>23</v>
      </c>
      <c r="D10">
        <v>1.2720512674067269E-3</v>
      </c>
      <c r="E10" s="147">
        <v>41445</v>
      </c>
      <c r="F10" t="s">
        <v>684</v>
      </c>
      <c r="G10" s="135" t="s">
        <v>707</v>
      </c>
      <c r="H10" t="s">
        <v>705</v>
      </c>
    </row>
    <row r="11" spans="1:8" ht="15" x14ac:dyDescent="0.3">
      <c r="A11">
        <v>10</v>
      </c>
      <c r="B11" s="135" t="s">
        <v>664</v>
      </c>
      <c r="C11" s="102" t="s">
        <v>25</v>
      </c>
      <c r="D11">
        <v>2.8120366375231218E-2</v>
      </c>
      <c r="E11" s="147">
        <v>98913</v>
      </c>
      <c r="F11" t="s">
        <v>684</v>
      </c>
      <c r="G11" s="135" t="s">
        <v>707</v>
      </c>
      <c r="H11" t="s">
        <v>705</v>
      </c>
    </row>
    <row r="12" spans="1:8" ht="15" x14ac:dyDescent="0.3">
      <c r="A12">
        <v>11</v>
      </c>
      <c r="B12" s="135" t="s">
        <v>665</v>
      </c>
      <c r="C12" s="102" t="s">
        <v>27</v>
      </c>
      <c r="D12">
        <v>2.4303489171819143E-2</v>
      </c>
      <c r="E12" s="147">
        <v>32582</v>
      </c>
      <c r="F12" t="s">
        <v>684</v>
      </c>
      <c r="G12" s="135" t="s">
        <v>707</v>
      </c>
      <c r="H12" t="s">
        <v>705</v>
      </c>
    </row>
    <row r="13" spans="1:8" ht="15" x14ac:dyDescent="0.3">
      <c r="A13">
        <v>12</v>
      </c>
      <c r="B13" s="135" t="s">
        <v>666</v>
      </c>
      <c r="C13" s="102" t="s">
        <v>29</v>
      </c>
      <c r="D13">
        <v>2.4303489171819143E-2</v>
      </c>
      <c r="E13" s="147">
        <v>15790</v>
      </c>
      <c r="F13" t="s">
        <v>684</v>
      </c>
      <c r="G13" s="135" t="s">
        <v>707</v>
      </c>
      <c r="H13" t="s">
        <v>705</v>
      </c>
    </row>
    <row r="14" spans="1:8" ht="15" x14ac:dyDescent="0.3">
      <c r="A14">
        <v>13</v>
      </c>
      <c r="B14" s="135" t="s">
        <v>673</v>
      </c>
      <c r="C14" s="102" t="s">
        <v>31</v>
      </c>
      <c r="D14">
        <v>7.9755044703300748E-3</v>
      </c>
      <c r="E14" s="147">
        <v>68168</v>
      </c>
      <c r="F14" t="s">
        <v>684</v>
      </c>
      <c r="G14" s="135" t="s">
        <v>707</v>
      </c>
      <c r="H14" t="s">
        <v>705</v>
      </c>
    </row>
    <row r="15" spans="1:8" ht="15" x14ac:dyDescent="0.3">
      <c r="A15">
        <v>14</v>
      </c>
      <c r="B15" s="135" t="s">
        <v>668</v>
      </c>
      <c r="C15" s="102" t="s">
        <v>33</v>
      </c>
      <c r="D15">
        <v>2.0444147333285395E-2</v>
      </c>
      <c r="E15" s="147">
        <v>15593</v>
      </c>
      <c r="F15" t="s">
        <v>684</v>
      </c>
      <c r="G15" s="135" t="s">
        <v>707</v>
      </c>
      <c r="H15" t="s">
        <v>705</v>
      </c>
    </row>
    <row r="16" spans="1:8" ht="15" x14ac:dyDescent="0.3">
      <c r="A16">
        <v>15</v>
      </c>
      <c r="B16" s="135" t="s">
        <v>654</v>
      </c>
      <c r="C16" s="102" t="s">
        <v>35</v>
      </c>
      <c r="D16">
        <v>0.14153753583610248</v>
      </c>
      <c r="E16" s="147">
        <v>133849</v>
      </c>
      <c r="F16" t="s">
        <v>684</v>
      </c>
      <c r="G16" s="135" t="s">
        <v>707</v>
      </c>
      <c r="H16" t="s">
        <v>705</v>
      </c>
    </row>
    <row r="17" spans="1:8" ht="15" x14ac:dyDescent="0.3">
      <c r="A17">
        <v>16</v>
      </c>
      <c r="B17" s="135" t="s">
        <v>658</v>
      </c>
      <c r="C17" s="102" t="s">
        <v>37</v>
      </c>
      <c r="D17">
        <v>4.6095731921569925E-2</v>
      </c>
      <c r="E17" s="147">
        <v>56608</v>
      </c>
      <c r="F17" t="s">
        <v>684</v>
      </c>
      <c r="G17" s="135" t="s">
        <v>707</v>
      </c>
      <c r="H17" t="s">
        <v>705</v>
      </c>
    </row>
    <row r="18" spans="1:8" ht="15" x14ac:dyDescent="0.3">
      <c r="A18">
        <v>17</v>
      </c>
      <c r="B18" s="135" t="s">
        <v>661</v>
      </c>
      <c r="C18" s="102" t="s">
        <v>39</v>
      </c>
      <c r="D18">
        <v>4.141721212183793E-2</v>
      </c>
      <c r="E18" s="147">
        <v>27097</v>
      </c>
      <c r="F18" t="s">
        <v>684</v>
      </c>
      <c r="G18" s="135" t="s">
        <v>707</v>
      </c>
      <c r="H18" t="s">
        <v>705</v>
      </c>
    </row>
    <row r="19" spans="1:8" ht="15" x14ac:dyDescent="0.3">
      <c r="A19">
        <v>18</v>
      </c>
      <c r="B19" s="135" t="s">
        <v>682</v>
      </c>
      <c r="C19" s="102" t="s">
        <v>41</v>
      </c>
      <c r="D19">
        <v>2.984403156460616E-2</v>
      </c>
      <c r="E19" s="147">
        <v>52610</v>
      </c>
      <c r="F19" t="s">
        <v>684</v>
      </c>
      <c r="G19" s="135" t="s">
        <v>707</v>
      </c>
      <c r="H19" t="s">
        <v>705</v>
      </c>
    </row>
    <row r="20" spans="1:8" ht="15" x14ac:dyDescent="0.3">
      <c r="A20">
        <v>19</v>
      </c>
      <c r="B20" s="135" t="s">
        <v>670</v>
      </c>
      <c r="C20" s="102" t="s">
        <v>43</v>
      </c>
      <c r="D20">
        <v>1.5694188147397665E-2</v>
      </c>
      <c r="E20" s="147">
        <v>93241</v>
      </c>
      <c r="F20" t="s">
        <v>684</v>
      </c>
      <c r="G20" s="135" t="s">
        <v>707</v>
      </c>
      <c r="H20" t="s">
        <v>705</v>
      </c>
    </row>
    <row r="21" spans="1:8" ht="15" x14ac:dyDescent="0.3">
      <c r="A21">
        <v>20</v>
      </c>
      <c r="B21" s="135" t="s">
        <v>627</v>
      </c>
      <c r="C21" s="102" t="s">
        <v>45</v>
      </c>
      <c r="D21">
        <v>8.7671643346447156E-3</v>
      </c>
      <c r="E21" s="147">
        <v>3530</v>
      </c>
      <c r="F21" t="s">
        <v>684</v>
      </c>
      <c r="G21" s="135" t="s">
        <v>707</v>
      </c>
      <c r="H21" t="s">
        <v>705</v>
      </c>
    </row>
    <row r="22" spans="1:8" ht="15" x14ac:dyDescent="0.3">
      <c r="A22">
        <v>21</v>
      </c>
      <c r="B22" s="135" t="s">
        <v>679</v>
      </c>
      <c r="C22" s="102" t="s">
        <v>47</v>
      </c>
      <c r="D22">
        <v>1.7301877629591759E-3</v>
      </c>
      <c r="E22" s="147">
        <v>0</v>
      </c>
      <c r="F22" t="s">
        <v>684</v>
      </c>
      <c r="G22" s="135" t="s">
        <v>707</v>
      </c>
      <c r="H22" t="s">
        <v>705</v>
      </c>
    </row>
    <row r="23" spans="1:8" ht="15" x14ac:dyDescent="0.3">
      <c r="A23">
        <v>22</v>
      </c>
      <c r="B23" s="135" t="s">
        <v>674</v>
      </c>
      <c r="C23" s="102" t="s">
        <v>49</v>
      </c>
      <c r="D23">
        <v>7.9755044703300748E-3</v>
      </c>
      <c r="E23" s="147">
        <v>3364</v>
      </c>
      <c r="F23" t="s">
        <v>684</v>
      </c>
      <c r="G23" s="135" t="s">
        <v>707</v>
      </c>
      <c r="H23" t="s">
        <v>705</v>
      </c>
    </row>
    <row r="24" spans="1:8" ht="15" x14ac:dyDescent="0.3">
      <c r="A24">
        <v>23</v>
      </c>
      <c r="B24" s="135" t="s">
        <v>667</v>
      </c>
      <c r="C24" s="102" t="s">
        <v>51</v>
      </c>
      <c r="D24">
        <v>2.2225382027993269E-2</v>
      </c>
      <c r="E24" s="147">
        <v>16715</v>
      </c>
      <c r="F24" t="s">
        <v>684</v>
      </c>
      <c r="G24" s="135" t="s">
        <v>707</v>
      </c>
      <c r="H24" t="s">
        <v>705</v>
      </c>
    </row>
    <row r="25" spans="1:8" ht="15" x14ac:dyDescent="0.3">
      <c r="A25">
        <v>24</v>
      </c>
      <c r="B25" s="135" t="s">
        <v>677</v>
      </c>
      <c r="C25" s="102" t="s">
        <v>53</v>
      </c>
      <c r="D25">
        <v>6.6890571908188165E-3</v>
      </c>
      <c r="E25" s="147">
        <v>1829</v>
      </c>
      <c r="F25" t="s">
        <v>684</v>
      </c>
      <c r="G25" s="135" t="s">
        <v>707</v>
      </c>
      <c r="H25" t="s">
        <v>705</v>
      </c>
    </row>
    <row r="26" spans="1:8" ht="15" x14ac:dyDescent="0.3">
      <c r="A26">
        <v>25</v>
      </c>
      <c r="B26" s="135" t="s">
        <v>675</v>
      </c>
      <c r="C26" s="102" t="s">
        <v>350</v>
      </c>
      <c r="D26">
        <v>7.5796745381727631E-3</v>
      </c>
      <c r="E26" s="147">
        <v>10264</v>
      </c>
      <c r="F26" t="s">
        <v>684</v>
      </c>
      <c r="G26" s="135" t="s">
        <v>707</v>
      </c>
      <c r="H26" t="s">
        <v>705</v>
      </c>
    </row>
    <row r="27" spans="1:8" ht="15" x14ac:dyDescent="0.3">
      <c r="A27">
        <v>26</v>
      </c>
      <c r="B27" s="135" t="s">
        <v>681</v>
      </c>
      <c r="C27" s="102" t="s">
        <v>56</v>
      </c>
      <c r="D27">
        <v>8.139147718542783E-4</v>
      </c>
      <c r="E27" s="147">
        <v>0</v>
      </c>
      <c r="F27" t="s">
        <v>684</v>
      </c>
      <c r="G27" s="135" t="s">
        <v>707</v>
      </c>
      <c r="H27" t="s">
        <v>705</v>
      </c>
    </row>
    <row r="28" spans="1:8" ht="15" x14ac:dyDescent="0.3">
      <c r="A28">
        <v>27</v>
      </c>
      <c r="B28" s="135" t="s">
        <v>660</v>
      </c>
      <c r="C28" s="102" t="s">
        <v>58</v>
      </c>
      <c r="D28">
        <v>4.2648401542820034E-2</v>
      </c>
      <c r="E28" s="147">
        <v>15076</v>
      </c>
      <c r="F28" t="s">
        <v>684</v>
      </c>
      <c r="G28" s="135" t="s">
        <v>707</v>
      </c>
      <c r="H28" t="s">
        <v>705</v>
      </c>
    </row>
    <row r="29" spans="1:8" ht="15" x14ac:dyDescent="0.3">
      <c r="A29">
        <v>28</v>
      </c>
      <c r="B29" s="135" t="s">
        <v>671</v>
      </c>
      <c r="C29" s="102" t="s">
        <v>60</v>
      </c>
      <c r="D29">
        <v>1.351712352053243E-2</v>
      </c>
      <c r="E29" s="147">
        <v>7583</v>
      </c>
      <c r="F29" t="s">
        <v>684</v>
      </c>
      <c r="G29" s="135" t="s">
        <v>707</v>
      </c>
      <c r="H29" t="s">
        <v>705</v>
      </c>
    </row>
    <row r="30" spans="1:8" ht="15" x14ac:dyDescent="0.3">
      <c r="A30">
        <v>29</v>
      </c>
      <c r="B30" s="135" t="s">
        <v>678</v>
      </c>
      <c r="C30" s="102" t="s">
        <v>62</v>
      </c>
      <c r="D30">
        <v>3.1045972496164921E-3</v>
      </c>
      <c r="E30">
        <v>548</v>
      </c>
      <c r="F30" t="s">
        <v>684</v>
      </c>
      <c r="G30" s="135" t="s">
        <v>707</v>
      </c>
      <c r="H30" t="s">
        <v>705</v>
      </c>
    </row>
    <row r="31" spans="1:8" ht="15" x14ac:dyDescent="0.3">
      <c r="A31">
        <v>30</v>
      </c>
      <c r="B31" s="135" t="s">
        <v>676</v>
      </c>
      <c r="C31" s="102" t="s">
        <v>64</v>
      </c>
      <c r="D31">
        <v>7.2828020890547875E-3</v>
      </c>
      <c r="E31">
        <v>715</v>
      </c>
      <c r="F31" t="s">
        <v>684</v>
      </c>
      <c r="G31" s="135" t="s">
        <v>707</v>
      </c>
      <c r="H31" t="s">
        <v>705</v>
      </c>
    </row>
    <row r="32" spans="1:8" ht="15" x14ac:dyDescent="0.3">
      <c r="A32">
        <v>31</v>
      </c>
      <c r="B32" s="135" t="s">
        <v>672</v>
      </c>
      <c r="C32" s="102" t="s">
        <v>66</v>
      </c>
      <c r="D32">
        <v>1.1834846308863819E-2</v>
      </c>
      <c r="E32" s="147">
        <f>1549+1285</f>
        <v>2834</v>
      </c>
      <c r="F32" t="s">
        <v>684</v>
      </c>
      <c r="G32" s="135" t="s">
        <v>707</v>
      </c>
      <c r="H32" t="s">
        <v>705</v>
      </c>
    </row>
  </sheetData>
  <phoneticPr fontId="24" type="noConversion"/>
  <conditionalFormatting sqref="B1:C1048576 D1:H1">
    <cfRule type="duplicateValues" dxfId="1" priority="1"/>
  </conditionalFormatting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97CD06-0FBC-4CEC-97FA-902EA265B0A0}">
  <dimension ref="A1:K3"/>
  <sheetViews>
    <sheetView workbookViewId="0">
      <selection activeCell="K3" sqref="K3"/>
    </sheetView>
  </sheetViews>
  <sheetFormatPr defaultRowHeight="14" x14ac:dyDescent="0.3"/>
  <cols>
    <col min="1" max="1" width="9.25" bestFit="1" customWidth="1"/>
    <col min="2" max="2" width="17.58203125" bestFit="1" customWidth="1"/>
    <col min="3" max="3" width="22.58203125" bestFit="1" customWidth="1"/>
    <col min="4" max="4" width="10.33203125" bestFit="1" customWidth="1"/>
    <col min="5" max="9" width="8.75" bestFit="1" customWidth="1"/>
    <col min="10" max="10" width="45" customWidth="1"/>
  </cols>
  <sheetData>
    <row r="1" spans="1:11" ht="15" x14ac:dyDescent="0.3">
      <c r="A1" s="136" t="s">
        <v>685</v>
      </c>
      <c r="B1" s="136" t="s">
        <v>686</v>
      </c>
      <c r="C1" s="136" t="s">
        <v>687</v>
      </c>
      <c r="D1" s="136" t="s">
        <v>692</v>
      </c>
      <c r="E1" s="139" t="s">
        <v>698</v>
      </c>
      <c r="F1" s="139" t="s">
        <v>699</v>
      </c>
      <c r="G1" s="139" t="s">
        <v>700</v>
      </c>
      <c r="H1" s="139" t="s">
        <v>701</v>
      </c>
      <c r="I1" s="139" t="s">
        <v>702</v>
      </c>
      <c r="J1" s="141" t="s">
        <v>683</v>
      </c>
      <c r="K1" s="144" t="s">
        <v>695</v>
      </c>
    </row>
    <row r="2" spans="1:11" ht="28" x14ac:dyDescent="0.3">
      <c r="A2" s="137">
        <v>2020</v>
      </c>
      <c r="B2" s="137" t="s">
        <v>688</v>
      </c>
      <c r="C2" s="137" t="s">
        <v>689</v>
      </c>
      <c r="D2" s="138">
        <f>160*10000</f>
        <v>1600000</v>
      </c>
      <c r="E2" s="140">
        <v>0.34943046456223997</v>
      </c>
      <c r="F2" s="140">
        <v>0.5326173813778039</v>
      </c>
      <c r="G2" s="140">
        <v>9.6237219575144597E-2</v>
      </c>
      <c r="H2" s="140">
        <v>1.5581571371849243E-2</v>
      </c>
      <c r="I2" s="140">
        <v>6.1333631129622292E-3</v>
      </c>
      <c r="J2" s="143" t="s">
        <v>694</v>
      </c>
      <c r="K2" s="145" t="s">
        <v>696</v>
      </c>
    </row>
    <row r="3" spans="1:11" ht="16.5" x14ac:dyDescent="0.3">
      <c r="A3" s="137">
        <v>2020</v>
      </c>
      <c r="B3" s="137" t="s">
        <v>690</v>
      </c>
      <c r="C3" s="137" t="s">
        <v>691</v>
      </c>
      <c r="D3" s="138">
        <f>63.1*10000</f>
        <v>631000</v>
      </c>
      <c r="J3" s="142" t="s">
        <v>693</v>
      </c>
      <c r="K3" s="146" t="s">
        <v>697</v>
      </c>
    </row>
  </sheetData>
  <phoneticPr fontId="24" type="noConversion"/>
  <hyperlinks>
    <hyperlink ref="K3" r:id="rId1" xr:uid="{D774BB59-8424-4801-8F20-A6DCBB2932C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HCW</vt:lpstr>
      <vt:lpstr>law enforcement</vt:lpstr>
      <vt:lpstr>community workers</vt:lpstr>
      <vt:lpstr>energy, food, transport</vt:lpstr>
      <vt:lpstr>social welfare</vt:lpstr>
      <vt:lpstr>occupation age by province</vt:lpstr>
      <vt:lpstr>t_occupation age profile</vt:lpstr>
      <vt:lpstr>abroad_province</vt:lpstr>
      <vt:lpstr>abroad age profile</vt:lpstr>
      <vt:lpstr>age profile_2010</vt:lpstr>
      <vt:lpstr>age profile_2019</vt:lpstr>
      <vt:lpstr>age5-9</vt:lpstr>
      <vt:lpstr>underlying conditions</vt:lpstr>
      <vt:lpstr>contraindications</vt:lpstr>
      <vt:lpstr>pregnant women</vt:lpstr>
      <vt:lpstr>school-aged</vt:lpstr>
      <vt:lpstr>population by province</vt:lpstr>
      <vt:lpstr>Population size in China</vt:lpstr>
      <vt:lpstr>population by age (1 year)</vt:lpstr>
      <vt:lpstr>Childbearing age profile_2018</vt:lpstr>
      <vt:lpstr>occupation age profile_2010</vt:lpstr>
      <vt:lpstr>translation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Wen Zheng</dc:creator>
  <cp:lastModifiedBy>Wen Zheng</cp:lastModifiedBy>
  <dcterms:created xsi:type="dcterms:W3CDTF">2020-08-26T07:55:00Z</dcterms:created>
  <dcterms:modified xsi:type="dcterms:W3CDTF">2021-10-03T03:39:31Z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2052-11.1.0.9912</vt:lpwstr>
  </property>
</Properties>
</file>